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10" yWindow="-110" windowWidth="23255" windowHeight="12455"/>
  </bookViews>
  <sheets>
    <sheet name="Cover" sheetId="6" r:id="rId1"/>
    <sheet name="Summary" sheetId="5" r:id="rId2"/>
    <sheet name="Scenario" sheetId="4" r:id="rId3"/>
    <sheet name="Assumptions" sheetId="3" r:id="rId4"/>
    <sheet name="Model" sheetId="1" r:id="rId5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3">Assumptions!$C$7:$N$38</definedName>
    <definedName name="_xlnm.Print_Area" localSheetId="0">Cover!$B$6:$F$11</definedName>
    <definedName name="_xlnm.Print_Area" localSheetId="4">Model!$B$5:$N$38,Model!$B$42:$N$77,Model!$B$80:$N$126,Model!$B$129:$N$141,Model!$B$143:$N$177,Model!$B$179:$N$193,Model!$B$195:$N$231</definedName>
    <definedName name="_xlnm.Print_Area" localSheetId="2">Scenario!$B$1:$N$29</definedName>
    <definedName name="_xlnm.Print_Area" localSheetId="1">Summary!$B$3:$L$52</definedName>
    <definedName name="_xlnm.Print_Titles" localSheetId="3">Assumptions!$3:$5</definedName>
    <definedName name="_xlnm.Print_Titles" localSheetId="4">Model!$2:$3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3" i="1" l="1"/>
  <c r="M193" i="1"/>
  <c r="L193" i="1"/>
  <c r="K193" i="1"/>
  <c r="J193" i="1"/>
  <c r="J191" i="1"/>
  <c r="O15" i="5" l="1"/>
  <c r="O10" i="5"/>
  <c r="Z6" i="5"/>
  <c r="T6" i="5"/>
  <c r="S6" i="5"/>
  <c r="R6" i="5"/>
  <c r="O6" i="5"/>
  <c r="S4" i="5"/>
  <c r="T4" i="5" s="1"/>
  <c r="U4" i="5" s="1"/>
  <c r="V4" i="5" s="1"/>
  <c r="W4" i="5" s="1"/>
  <c r="X4" i="5" s="1"/>
  <c r="Y4" i="5" s="1"/>
  <c r="N57" i="1"/>
  <c r="M57" i="1"/>
  <c r="L57" i="1"/>
  <c r="K57" i="1"/>
  <c r="J57" i="1"/>
  <c r="N71" i="1"/>
  <c r="N223" i="1" s="1"/>
  <c r="M71" i="1"/>
  <c r="M223" i="1" s="1"/>
  <c r="L71" i="1"/>
  <c r="K71" i="1"/>
  <c r="K223" i="1" s="1"/>
  <c r="J71" i="1"/>
  <c r="J223" i="1" s="1"/>
  <c r="N58" i="1"/>
  <c r="M58" i="1"/>
  <c r="L58" i="1"/>
  <c r="K58" i="1"/>
  <c r="J58" i="1"/>
  <c r="J119" i="1"/>
  <c r="K119" i="1" s="1"/>
  <c r="L119" i="1" s="1"/>
  <c r="M119" i="1" s="1"/>
  <c r="N119" i="1" s="1"/>
  <c r="J111" i="1"/>
  <c r="K111" i="1" s="1"/>
  <c r="L111" i="1" s="1"/>
  <c r="M111" i="1" s="1"/>
  <c r="N111" i="1" s="1"/>
  <c r="J94" i="1"/>
  <c r="K94" i="1" s="1"/>
  <c r="L94" i="1" s="1"/>
  <c r="M94" i="1" s="1"/>
  <c r="N94" i="1" s="1"/>
  <c r="J93" i="1"/>
  <c r="K93" i="1" s="1"/>
  <c r="L93" i="1" s="1"/>
  <c r="M93" i="1" s="1"/>
  <c r="N93" i="1" s="1"/>
  <c r="J92" i="1"/>
  <c r="K92" i="1" s="1"/>
  <c r="L92" i="1" s="1"/>
  <c r="M92" i="1" s="1"/>
  <c r="N92" i="1" s="1"/>
  <c r="N26" i="1"/>
  <c r="N59" i="1" s="1"/>
  <c r="M26" i="1"/>
  <c r="M59" i="1" s="1"/>
  <c r="L26" i="1"/>
  <c r="L59" i="1" s="1"/>
  <c r="K26" i="1"/>
  <c r="K59" i="1" s="1"/>
  <c r="J26" i="1"/>
  <c r="J59" i="1" s="1"/>
  <c r="N20" i="1"/>
  <c r="N52" i="1" s="1"/>
  <c r="M20" i="1"/>
  <c r="M52" i="1" s="1"/>
  <c r="L20" i="1"/>
  <c r="L52" i="1" s="1"/>
  <c r="K20" i="1"/>
  <c r="K52" i="1" s="1"/>
  <c r="J20" i="1"/>
  <c r="J52" i="1" s="1"/>
  <c r="C69" i="1"/>
  <c r="N68" i="1"/>
  <c r="N222" i="1" s="1"/>
  <c r="M68" i="1"/>
  <c r="M222" i="1" s="1"/>
  <c r="L68" i="1"/>
  <c r="L222" i="1" s="1"/>
  <c r="K68" i="1"/>
  <c r="K222" i="1" s="1"/>
  <c r="J68" i="1"/>
  <c r="J222" i="1" s="1"/>
  <c r="N66" i="1"/>
  <c r="N220" i="1" s="1"/>
  <c r="M66" i="1"/>
  <c r="M220" i="1" s="1"/>
  <c r="L66" i="1"/>
  <c r="L220" i="1" s="1"/>
  <c r="K66" i="1"/>
  <c r="K220" i="1" s="1"/>
  <c r="J66" i="1"/>
  <c r="J220" i="1" s="1"/>
  <c r="N65" i="1"/>
  <c r="N219" i="1" s="1"/>
  <c r="M65" i="1"/>
  <c r="M219" i="1" s="1"/>
  <c r="L65" i="1"/>
  <c r="L219" i="1" s="1"/>
  <c r="K65" i="1"/>
  <c r="J65" i="1"/>
  <c r="J219" i="1" s="1"/>
  <c r="I228" i="1"/>
  <c r="J226" i="1" s="1"/>
  <c r="L223" i="1"/>
  <c r="K219" i="1"/>
  <c r="C223" i="1"/>
  <c r="C222" i="1"/>
  <c r="C221" i="1"/>
  <c r="C220" i="1"/>
  <c r="C219" i="1"/>
  <c r="C218" i="1"/>
  <c r="C217" i="1"/>
  <c r="G215" i="1"/>
  <c r="C215" i="1"/>
  <c r="N211" i="1"/>
  <c r="M211" i="1"/>
  <c r="L211" i="1"/>
  <c r="K211" i="1"/>
  <c r="I212" i="1"/>
  <c r="J210" i="1" s="1"/>
  <c r="J211" i="1"/>
  <c r="C211" i="1"/>
  <c r="C209" i="1"/>
  <c r="N205" i="1"/>
  <c r="M205" i="1"/>
  <c r="L205" i="1"/>
  <c r="K205" i="1"/>
  <c r="J205" i="1"/>
  <c r="I206" i="1"/>
  <c r="J204" i="1" s="1"/>
  <c r="I200" i="1"/>
  <c r="J198" i="1" s="1"/>
  <c r="C205" i="1"/>
  <c r="G203" i="1"/>
  <c r="C203" i="1"/>
  <c r="G197" i="1"/>
  <c r="C197" i="1"/>
  <c r="M37" i="3"/>
  <c r="G209" i="1" s="1"/>
  <c r="N67" i="1"/>
  <c r="N221" i="1" s="1"/>
  <c r="M67" i="1"/>
  <c r="M221" i="1" s="1"/>
  <c r="L67" i="1"/>
  <c r="L221" i="1" s="1"/>
  <c r="K67" i="1"/>
  <c r="K221" i="1" s="1"/>
  <c r="J67" i="1"/>
  <c r="J221" i="1" s="1"/>
  <c r="N191" i="1"/>
  <c r="M191" i="1"/>
  <c r="L191" i="1"/>
  <c r="K191" i="1"/>
  <c r="I192" i="1"/>
  <c r="J190" i="1" s="1"/>
  <c r="C191" i="1"/>
  <c r="G188" i="1"/>
  <c r="C188" i="1"/>
  <c r="N184" i="1"/>
  <c r="M184" i="1"/>
  <c r="L184" i="1"/>
  <c r="K184" i="1"/>
  <c r="J184" i="1"/>
  <c r="I185" i="1"/>
  <c r="J183" i="1" s="1"/>
  <c r="C184" i="1"/>
  <c r="G181" i="1"/>
  <c r="C181" i="1"/>
  <c r="I89" i="1"/>
  <c r="K47" i="3"/>
  <c r="L47" i="3" s="1"/>
  <c r="I58" i="3"/>
  <c r="H58" i="3"/>
  <c r="G58" i="3"/>
  <c r="I57" i="3"/>
  <c r="H57" i="3"/>
  <c r="G57" i="3"/>
  <c r="C58" i="3"/>
  <c r="C57" i="3"/>
  <c r="I67" i="3"/>
  <c r="H67" i="3"/>
  <c r="G67" i="3"/>
  <c r="I66" i="3"/>
  <c r="H66" i="3"/>
  <c r="G66" i="3"/>
  <c r="I65" i="3"/>
  <c r="H65" i="3"/>
  <c r="G65" i="3"/>
  <c r="I64" i="3"/>
  <c r="H64" i="3"/>
  <c r="G64" i="3"/>
  <c r="I62" i="3"/>
  <c r="H62" i="3"/>
  <c r="G62" i="3"/>
  <c r="I61" i="3"/>
  <c r="H61" i="3"/>
  <c r="G61" i="3"/>
  <c r="I60" i="3"/>
  <c r="H60" i="3"/>
  <c r="G60" i="3"/>
  <c r="C67" i="3"/>
  <c r="C66" i="3"/>
  <c r="C65" i="3"/>
  <c r="C64" i="3"/>
  <c r="C62" i="3"/>
  <c r="C61" i="3"/>
  <c r="C60" i="3"/>
  <c r="G42" i="3"/>
  <c r="N173" i="1"/>
  <c r="M173" i="1"/>
  <c r="L173" i="1"/>
  <c r="K173" i="1"/>
  <c r="J173" i="1"/>
  <c r="J177" i="1" s="1"/>
  <c r="C173" i="1"/>
  <c r="C172" i="1"/>
  <c r="G170" i="1"/>
  <c r="C170" i="1"/>
  <c r="D156" i="1"/>
  <c r="D157" i="1" s="1"/>
  <c r="D158" i="1" s="1"/>
  <c r="D159" i="1" s="1"/>
  <c r="G152" i="1"/>
  <c r="C152" i="1"/>
  <c r="I150" i="1"/>
  <c r="J148" i="1" s="1"/>
  <c r="G146" i="1"/>
  <c r="C146" i="1"/>
  <c r="G144" i="1"/>
  <c r="C144" i="1"/>
  <c r="H5" i="3"/>
  <c r="I5" i="3" s="1"/>
  <c r="J5" i="3" s="1"/>
  <c r="K5" i="3" s="1"/>
  <c r="L5" i="3" s="1"/>
  <c r="M5" i="3" s="1"/>
  <c r="N5" i="3" s="1"/>
  <c r="N42" i="3" s="1"/>
  <c r="J17" i="1"/>
  <c r="K141" i="1"/>
  <c r="C141" i="1"/>
  <c r="N25" i="4"/>
  <c r="M25" i="4"/>
  <c r="L25" i="4"/>
  <c r="K25" i="4"/>
  <c r="J25" i="4"/>
  <c r="J139" i="1" s="1"/>
  <c r="K139" i="1" s="1"/>
  <c r="L139" i="1" s="1"/>
  <c r="I136" i="1"/>
  <c r="C136" i="1"/>
  <c r="N19" i="4"/>
  <c r="M19" i="4"/>
  <c r="L19" i="4"/>
  <c r="K19" i="4"/>
  <c r="J19" i="4"/>
  <c r="J131" i="1" s="1"/>
  <c r="K131" i="1" s="1"/>
  <c r="L131" i="1" s="1"/>
  <c r="I7" i="4"/>
  <c r="I132" i="1" s="1"/>
  <c r="I138" i="1" s="1"/>
  <c r="J138" i="1" s="1"/>
  <c r="N13" i="4"/>
  <c r="M13" i="4"/>
  <c r="L13" i="4"/>
  <c r="K13" i="4"/>
  <c r="J13" i="4"/>
  <c r="N7" i="4"/>
  <c r="M7" i="4"/>
  <c r="L7" i="4"/>
  <c r="K7" i="4"/>
  <c r="J7" i="4"/>
  <c r="H5" i="4"/>
  <c r="I5" i="4" s="1"/>
  <c r="J5" i="4" s="1"/>
  <c r="K5" i="4" s="1"/>
  <c r="L5" i="4" s="1"/>
  <c r="M5" i="4" s="1"/>
  <c r="N5" i="4" s="1"/>
  <c r="I130" i="1"/>
  <c r="C130" i="1"/>
  <c r="B2" i="1"/>
  <c r="I10" i="1"/>
  <c r="H3" i="1"/>
  <c r="I3" i="1" s="1"/>
  <c r="J3" i="1" s="1"/>
  <c r="K3" i="1" s="1"/>
  <c r="L3" i="1" s="1"/>
  <c r="M3" i="1" s="1"/>
  <c r="N3" i="1" s="1"/>
  <c r="H89" i="1"/>
  <c r="G89" i="1"/>
  <c r="H120" i="1"/>
  <c r="I120" i="1"/>
  <c r="G120" i="1"/>
  <c r="H112" i="1"/>
  <c r="I112" i="1"/>
  <c r="G112" i="1"/>
  <c r="H106" i="1"/>
  <c r="I106" i="1"/>
  <c r="G106" i="1"/>
  <c r="H95" i="1"/>
  <c r="I95" i="1"/>
  <c r="G95" i="1"/>
  <c r="O13" i="5" l="1"/>
  <c r="J201" i="1"/>
  <c r="J60" i="1"/>
  <c r="S8" i="5"/>
  <c r="O18" i="5"/>
  <c r="T8" i="5"/>
  <c r="L141" i="1"/>
  <c r="M141" i="1" s="1"/>
  <c r="M139" i="1"/>
  <c r="N139" i="1" s="1"/>
  <c r="K60" i="1"/>
  <c r="K218" i="1" s="1"/>
  <c r="L60" i="1"/>
  <c r="L218" i="1" s="1"/>
  <c r="M60" i="1"/>
  <c r="M218" i="1" s="1"/>
  <c r="N60" i="1"/>
  <c r="N218" i="1" s="1"/>
  <c r="J229" i="1"/>
  <c r="J206" i="1"/>
  <c r="J109" i="1" s="1"/>
  <c r="J218" i="1"/>
  <c r="J213" i="1"/>
  <c r="J212" i="1"/>
  <c r="J207" i="1"/>
  <c r="J192" i="1"/>
  <c r="K190" i="1" s="1"/>
  <c r="K192" i="1" s="1"/>
  <c r="J185" i="1"/>
  <c r="J116" i="1" s="1"/>
  <c r="K157" i="1"/>
  <c r="J158" i="1"/>
  <c r="L158" i="1"/>
  <c r="J159" i="1"/>
  <c r="K158" i="1"/>
  <c r="K159" i="1"/>
  <c r="J156" i="1"/>
  <c r="L159" i="1"/>
  <c r="J157" i="1"/>
  <c r="M159" i="1"/>
  <c r="G50" i="3"/>
  <c r="E158" i="1"/>
  <c r="N158" i="1" s="1"/>
  <c r="G51" i="3"/>
  <c r="G47" i="3"/>
  <c r="G48" i="3"/>
  <c r="G52" i="3"/>
  <c r="G53" i="3"/>
  <c r="M47" i="3"/>
  <c r="M177" i="1"/>
  <c r="M31" i="1" s="1"/>
  <c r="M50" i="1" s="1"/>
  <c r="G69" i="3"/>
  <c r="H69" i="3"/>
  <c r="I69" i="3"/>
  <c r="G46" i="3"/>
  <c r="E159" i="1"/>
  <c r="N159" i="1" s="1"/>
  <c r="N177" i="1"/>
  <c r="N31" i="1" s="1"/>
  <c r="N50" i="1" s="1"/>
  <c r="H42" i="3"/>
  <c r="H48" i="3" s="1"/>
  <c r="I42" i="3"/>
  <c r="I48" i="3" s="1"/>
  <c r="E155" i="1"/>
  <c r="M155" i="1" s="1"/>
  <c r="E156" i="1"/>
  <c r="N156" i="1" s="1"/>
  <c r="K177" i="1"/>
  <c r="K31" i="1" s="1"/>
  <c r="K50" i="1" s="1"/>
  <c r="E157" i="1"/>
  <c r="L177" i="1"/>
  <c r="L31" i="1" s="1"/>
  <c r="L50" i="1" s="1"/>
  <c r="J42" i="3"/>
  <c r="J149" i="1"/>
  <c r="K42" i="3"/>
  <c r="L42" i="3"/>
  <c r="M42" i="3"/>
  <c r="K138" i="1"/>
  <c r="L17" i="1"/>
  <c r="I133" i="1"/>
  <c r="J133" i="1" s="1"/>
  <c r="K133" i="1" s="1"/>
  <c r="L133" i="1" s="1"/>
  <c r="M133" i="1" s="1"/>
  <c r="N133" i="1" s="1"/>
  <c r="K17" i="1"/>
  <c r="J132" i="1"/>
  <c r="J137" i="1" s="1"/>
  <c r="J136" i="1" s="1"/>
  <c r="J16" i="1" s="1"/>
  <c r="J18" i="1" s="1"/>
  <c r="M131" i="1"/>
  <c r="L132" i="1"/>
  <c r="K132" i="1"/>
  <c r="G97" i="1"/>
  <c r="H114" i="1"/>
  <c r="H122" i="1" s="1"/>
  <c r="G114" i="1"/>
  <c r="G122" i="1" s="1"/>
  <c r="I114" i="1"/>
  <c r="I97" i="1"/>
  <c r="H97" i="1"/>
  <c r="I60" i="1"/>
  <c r="H60" i="1"/>
  <c r="G60" i="1"/>
  <c r="I53" i="1"/>
  <c r="H53" i="1"/>
  <c r="G53" i="1"/>
  <c r="I32" i="1"/>
  <c r="H32" i="1"/>
  <c r="G32" i="1"/>
  <c r="I18" i="1"/>
  <c r="H18" i="1"/>
  <c r="G18" i="1"/>
  <c r="K204" i="1" l="1"/>
  <c r="K206" i="1" s="1"/>
  <c r="J231" i="1"/>
  <c r="J27" i="1" s="1"/>
  <c r="K210" i="1"/>
  <c r="J108" i="1"/>
  <c r="K183" i="1"/>
  <c r="K185" i="1" s="1"/>
  <c r="K116" i="1" s="1"/>
  <c r="J117" i="1"/>
  <c r="J186" i="1"/>
  <c r="J36" i="1" s="1"/>
  <c r="J69" i="1" s="1"/>
  <c r="J31" i="1"/>
  <c r="J50" i="1" s="1"/>
  <c r="J110" i="1"/>
  <c r="L190" i="1"/>
  <c r="L192" i="1" s="1"/>
  <c r="K117" i="1"/>
  <c r="J58" i="3"/>
  <c r="J67" i="3" s="1"/>
  <c r="J105" i="1" s="1"/>
  <c r="L156" i="1"/>
  <c r="M158" i="1"/>
  <c r="I51" i="3"/>
  <c r="I53" i="3"/>
  <c r="H47" i="3"/>
  <c r="H51" i="3"/>
  <c r="H50" i="3"/>
  <c r="H52" i="3"/>
  <c r="H70" i="3"/>
  <c r="I70" i="3"/>
  <c r="I52" i="3"/>
  <c r="I47" i="3"/>
  <c r="M156" i="1"/>
  <c r="H53" i="3"/>
  <c r="N47" i="3"/>
  <c r="H46" i="3"/>
  <c r="I46" i="3"/>
  <c r="I50" i="3"/>
  <c r="N157" i="1"/>
  <c r="M157" i="1"/>
  <c r="L157" i="1"/>
  <c r="L155" i="1"/>
  <c r="J155" i="1"/>
  <c r="J163" i="1" s="1"/>
  <c r="J164" i="1" s="1"/>
  <c r="K162" i="1" s="1"/>
  <c r="K155" i="1"/>
  <c r="N155" i="1"/>
  <c r="K156" i="1"/>
  <c r="K149" i="1"/>
  <c r="J150" i="1"/>
  <c r="L130" i="1"/>
  <c r="L14" i="1" s="1"/>
  <c r="W6" i="5" s="1"/>
  <c r="N141" i="1"/>
  <c r="N17" i="1" s="1"/>
  <c r="M17" i="1"/>
  <c r="K137" i="1"/>
  <c r="K136" i="1" s="1"/>
  <c r="K16" i="1" s="1"/>
  <c r="K130" i="1"/>
  <c r="K14" i="1" s="1"/>
  <c r="V6" i="5" s="1"/>
  <c r="J130" i="1"/>
  <c r="J14" i="1" s="1"/>
  <c r="L138" i="1"/>
  <c r="L137" i="1" s="1"/>
  <c r="L136" i="1" s="1"/>
  <c r="L16" i="1" s="1"/>
  <c r="L58" i="3" s="1"/>
  <c r="L61" i="3" s="1"/>
  <c r="L87" i="1" s="1"/>
  <c r="N131" i="1"/>
  <c r="N132" i="1" s="1"/>
  <c r="N130" i="1" s="1"/>
  <c r="N14" i="1" s="1"/>
  <c r="M132" i="1"/>
  <c r="M130" i="1" s="1"/>
  <c r="M14" i="1" s="1"/>
  <c r="X6" i="5" s="1"/>
  <c r="X8" i="5" s="1"/>
  <c r="G126" i="1"/>
  <c r="H126" i="1"/>
  <c r="H21" i="1"/>
  <c r="I21" i="1"/>
  <c r="G21" i="1"/>
  <c r="I72" i="1"/>
  <c r="H72" i="1"/>
  <c r="G72" i="1"/>
  <c r="H10" i="1"/>
  <c r="H11" i="1"/>
  <c r="I11" i="1"/>
  <c r="H12" i="1"/>
  <c r="I12" i="1"/>
  <c r="I24" i="1" l="1"/>
  <c r="I28" i="1" s="1"/>
  <c r="I34" i="1" s="1"/>
  <c r="T10" i="5"/>
  <c r="T13" i="5" s="1"/>
  <c r="H24" i="1"/>
  <c r="H28" i="1" s="1"/>
  <c r="H34" i="1" s="1"/>
  <c r="S10" i="5"/>
  <c r="G24" i="1"/>
  <c r="G28" i="1" s="1"/>
  <c r="G34" i="1" s="1"/>
  <c r="R10" i="5"/>
  <c r="R13" i="5" s="1"/>
  <c r="J112" i="1"/>
  <c r="W8" i="5"/>
  <c r="J10" i="1"/>
  <c r="U6" i="5"/>
  <c r="U8" i="5" s="1"/>
  <c r="J21" i="1"/>
  <c r="Y6" i="5"/>
  <c r="Y8" i="5" s="1"/>
  <c r="K207" i="1"/>
  <c r="J65" i="3"/>
  <c r="J103" i="1" s="1"/>
  <c r="L204" i="1"/>
  <c r="K109" i="1"/>
  <c r="K186" i="1"/>
  <c r="K36" i="1" s="1"/>
  <c r="K69" i="1" s="1"/>
  <c r="L183" i="1"/>
  <c r="L185" i="1" s="1"/>
  <c r="L116" i="1" s="1"/>
  <c r="K213" i="1"/>
  <c r="K212" i="1"/>
  <c r="J61" i="3"/>
  <c r="J87" i="1" s="1"/>
  <c r="M190" i="1"/>
  <c r="M192" i="1" s="1"/>
  <c r="L117" i="1"/>
  <c r="K110" i="1"/>
  <c r="M138" i="1"/>
  <c r="N138" i="1" s="1"/>
  <c r="N137" i="1" s="1"/>
  <c r="N136" i="1" s="1"/>
  <c r="N16" i="1" s="1"/>
  <c r="J64" i="3"/>
  <c r="J102" i="1" s="1"/>
  <c r="L64" i="3"/>
  <c r="L102" i="1" s="1"/>
  <c r="L66" i="3"/>
  <c r="L104" i="1" s="1"/>
  <c r="L62" i="3"/>
  <c r="L88" i="1" s="1"/>
  <c r="M57" i="3"/>
  <c r="M60" i="3" s="1"/>
  <c r="M86" i="1" s="1"/>
  <c r="L10" i="1"/>
  <c r="K57" i="3"/>
  <c r="K60" i="3" s="1"/>
  <c r="K86" i="1" s="1"/>
  <c r="N57" i="3"/>
  <c r="N60" i="3" s="1"/>
  <c r="N86" i="1" s="1"/>
  <c r="K18" i="1"/>
  <c r="K21" i="1" s="1"/>
  <c r="V10" i="5" s="1"/>
  <c r="K58" i="3"/>
  <c r="J62" i="3"/>
  <c r="J88" i="1" s="1"/>
  <c r="J12" i="1"/>
  <c r="J57" i="3"/>
  <c r="J60" i="3" s="1"/>
  <c r="J86" i="1" s="1"/>
  <c r="L57" i="3"/>
  <c r="L60" i="3" s="1"/>
  <c r="L86" i="1" s="1"/>
  <c r="L65" i="3"/>
  <c r="L103" i="1" s="1"/>
  <c r="J66" i="3"/>
  <c r="J104" i="1" s="1"/>
  <c r="J11" i="1"/>
  <c r="L12" i="1"/>
  <c r="L67" i="3"/>
  <c r="L105" i="1" s="1"/>
  <c r="M163" i="1"/>
  <c r="K163" i="1"/>
  <c r="K164" i="1" s="1"/>
  <c r="L162" i="1" s="1"/>
  <c r="L163" i="1"/>
  <c r="N163" i="1"/>
  <c r="J166" i="1"/>
  <c r="J23" i="1" s="1"/>
  <c r="J49" i="1" s="1"/>
  <c r="L149" i="1"/>
  <c r="K148" i="1"/>
  <c r="K150" i="1" s="1"/>
  <c r="J167" i="1"/>
  <c r="J91" i="1" s="1"/>
  <c r="J95" i="1" s="1"/>
  <c r="L18" i="1"/>
  <c r="L21" i="1" s="1"/>
  <c r="W10" i="5" s="1"/>
  <c r="L11" i="1"/>
  <c r="K11" i="1"/>
  <c r="K10" i="1"/>
  <c r="K12" i="1"/>
  <c r="M10" i="1"/>
  <c r="M12" i="1"/>
  <c r="N10" i="1"/>
  <c r="N12" i="1"/>
  <c r="G11" i="1"/>
  <c r="G12" i="1"/>
  <c r="B82" i="1"/>
  <c r="B44" i="1"/>
  <c r="T12" i="5" l="1"/>
  <c r="S12" i="5"/>
  <c r="S13" i="5"/>
  <c r="H37" i="1"/>
  <c r="S15" i="5"/>
  <c r="G37" i="1"/>
  <c r="R15" i="5"/>
  <c r="R18" i="5" s="1"/>
  <c r="I37" i="1"/>
  <c r="T15" i="5"/>
  <c r="V13" i="5"/>
  <c r="W12" i="5"/>
  <c r="W13" i="5"/>
  <c r="V8" i="5"/>
  <c r="J24" i="1"/>
  <c r="J28" i="1" s="1"/>
  <c r="U10" i="5"/>
  <c r="L186" i="1"/>
  <c r="L36" i="1" s="1"/>
  <c r="L69" i="1" s="1"/>
  <c r="L210" i="1"/>
  <c r="K108" i="1"/>
  <c r="K112" i="1" s="1"/>
  <c r="M183" i="1"/>
  <c r="M185" i="1" s="1"/>
  <c r="M116" i="1" s="1"/>
  <c r="L206" i="1"/>
  <c r="L207" i="1"/>
  <c r="L110" i="1"/>
  <c r="M137" i="1"/>
  <c r="M136" i="1" s="1"/>
  <c r="M16" i="1" s="1"/>
  <c r="M58" i="3" s="1"/>
  <c r="N190" i="1"/>
  <c r="N192" i="1" s="1"/>
  <c r="M117" i="1"/>
  <c r="J69" i="3"/>
  <c r="J70" i="3" s="1"/>
  <c r="J51" i="1" s="1"/>
  <c r="N18" i="1"/>
  <c r="N21" i="1" s="1"/>
  <c r="Y10" i="5" s="1"/>
  <c r="N58" i="3"/>
  <c r="K166" i="1"/>
  <c r="K23" i="1" s="1"/>
  <c r="K49" i="1" s="1"/>
  <c r="K67" i="3"/>
  <c r="K105" i="1" s="1"/>
  <c r="K65" i="3"/>
  <c r="K103" i="1" s="1"/>
  <c r="K66" i="3"/>
  <c r="K104" i="1" s="1"/>
  <c r="K62" i="3"/>
  <c r="K88" i="1" s="1"/>
  <c r="K61" i="3"/>
  <c r="K64" i="3"/>
  <c r="K102" i="1" s="1"/>
  <c r="L69" i="3"/>
  <c r="L164" i="1"/>
  <c r="M162" i="1" s="1"/>
  <c r="M164" i="1" s="1"/>
  <c r="N162" i="1" s="1"/>
  <c r="N164" i="1" s="1"/>
  <c r="J172" i="1"/>
  <c r="J174" i="1" s="1"/>
  <c r="J176" i="1" s="1"/>
  <c r="L148" i="1"/>
  <c r="L150" i="1" s="1"/>
  <c r="K167" i="1"/>
  <c r="K91" i="1" s="1"/>
  <c r="K95" i="1" s="1"/>
  <c r="M149" i="1"/>
  <c r="L166" i="1"/>
  <c r="L23" i="1" s="1"/>
  <c r="N11" i="1"/>
  <c r="G74" i="1"/>
  <c r="G76" i="1" s="1"/>
  <c r="H75" i="1" s="1"/>
  <c r="T18" i="5" l="1"/>
  <c r="T17" i="5"/>
  <c r="S17" i="5"/>
  <c r="S18" i="5"/>
  <c r="Y13" i="5"/>
  <c r="U13" i="5"/>
  <c r="U12" i="5"/>
  <c r="V12" i="5"/>
  <c r="J30" i="1"/>
  <c r="J32" i="1" s="1"/>
  <c r="J34" i="1" s="1"/>
  <c r="M18" i="1"/>
  <c r="M21" i="1" s="1"/>
  <c r="X10" i="5" s="1"/>
  <c r="Y12" i="5" s="1"/>
  <c r="M204" i="1"/>
  <c r="L109" i="1"/>
  <c r="L212" i="1"/>
  <c r="L213" i="1"/>
  <c r="M186" i="1"/>
  <c r="M36" i="1" s="1"/>
  <c r="M69" i="1" s="1"/>
  <c r="N183" i="1"/>
  <c r="N185" i="1" s="1"/>
  <c r="N186" i="1" s="1"/>
  <c r="N36" i="1" s="1"/>
  <c r="N69" i="1" s="1"/>
  <c r="M11" i="1"/>
  <c r="N117" i="1"/>
  <c r="K24" i="1"/>
  <c r="M110" i="1"/>
  <c r="K87" i="1"/>
  <c r="K69" i="3"/>
  <c r="N62" i="3"/>
  <c r="N88" i="1" s="1"/>
  <c r="N65" i="3"/>
  <c r="N103" i="1" s="1"/>
  <c r="N67" i="3"/>
  <c r="N105" i="1" s="1"/>
  <c r="N64" i="3"/>
  <c r="N102" i="1" s="1"/>
  <c r="N66" i="3"/>
  <c r="N104" i="1" s="1"/>
  <c r="N61" i="3"/>
  <c r="M67" i="3"/>
  <c r="M105" i="1" s="1"/>
  <c r="M66" i="3"/>
  <c r="M104" i="1" s="1"/>
  <c r="M65" i="3"/>
  <c r="M103" i="1" s="1"/>
  <c r="M62" i="3"/>
  <c r="M88" i="1" s="1"/>
  <c r="M64" i="3"/>
  <c r="M102" i="1" s="1"/>
  <c r="M61" i="3"/>
  <c r="N149" i="1"/>
  <c r="N166" i="1" s="1"/>
  <c r="N23" i="1" s="1"/>
  <c r="M166" i="1"/>
  <c r="M23" i="1" s="1"/>
  <c r="L49" i="1"/>
  <c r="L24" i="1"/>
  <c r="M148" i="1"/>
  <c r="M150" i="1" s="1"/>
  <c r="L167" i="1"/>
  <c r="L91" i="1" s="1"/>
  <c r="L95" i="1" s="1"/>
  <c r="I122" i="1"/>
  <c r="I126" i="1" s="1"/>
  <c r="X13" i="5" l="1"/>
  <c r="X12" i="5"/>
  <c r="J37" i="1"/>
  <c r="U15" i="5"/>
  <c r="J48" i="1"/>
  <c r="J53" i="1" s="1"/>
  <c r="J217" i="1" s="1"/>
  <c r="J224" i="1" s="1"/>
  <c r="J227" i="1" s="1"/>
  <c r="M210" i="1"/>
  <c r="L108" i="1"/>
  <c r="L112" i="1" s="1"/>
  <c r="N116" i="1"/>
  <c r="M206" i="1"/>
  <c r="M207" i="1"/>
  <c r="N110" i="1"/>
  <c r="K70" i="3"/>
  <c r="K51" i="1" s="1"/>
  <c r="L70" i="3"/>
  <c r="L51" i="1" s="1"/>
  <c r="N69" i="3"/>
  <c r="N87" i="1"/>
  <c r="M87" i="1"/>
  <c r="M69" i="3"/>
  <c r="N148" i="1"/>
  <c r="N150" i="1" s="1"/>
  <c r="N167" i="1" s="1"/>
  <c r="N91" i="1" s="1"/>
  <c r="N95" i="1" s="1"/>
  <c r="M167" i="1"/>
  <c r="M91" i="1" s="1"/>
  <c r="M95" i="1" s="1"/>
  <c r="M49" i="1"/>
  <c r="M24" i="1"/>
  <c r="N49" i="1"/>
  <c r="N24" i="1"/>
  <c r="I74" i="1"/>
  <c r="H74" i="1"/>
  <c r="H76" i="1" s="1"/>
  <c r="J70" i="1" l="1"/>
  <c r="J72" i="1" s="1"/>
  <c r="J118" i="1"/>
  <c r="J120" i="1" s="1"/>
  <c r="U18" i="5"/>
  <c r="U17" i="5"/>
  <c r="M213" i="1"/>
  <c r="M212" i="1"/>
  <c r="J64" i="1"/>
  <c r="J228" i="1"/>
  <c r="N204" i="1"/>
  <c r="M109" i="1"/>
  <c r="N70" i="3"/>
  <c r="N51" i="1" s="1"/>
  <c r="M70" i="3"/>
  <c r="M51" i="1" s="1"/>
  <c r="I75" i="1"/>
  <c r="I76" i="1" s="1"/>
  <c r="J75" i="1" s="1"/>
  <c r="J74" i="1" l="1"/>
  <c r="K226" i="1"/>
  <c r="K229" i="1" s="1"/>
  <c r="J101" i="1"/>
  <c r="J106" i="1" s="1"/>
  <c r="J114" i="1" s="1"/>
  <c r="J122" i="1" s="1"/>
  <c r="N210" i="1"/>
  <c r="M108" i="1"/>
  <c r="M112" i="1" s="1"/>
  <c r="N206" i="1"/>
  <c r="N109" i="1" s="1"/>
  <c r="N207" i="1"/>
  <c r="J76" i="1" l="1"/>
  <c r="K75" i="1" s="1"/>
  <c r="J85" i="1"/>
  <c r="J89" i="1" s="1"/>
  <c r="J97" i="1" s="1"/>
  <c r="J126" i="1" s="1"/>
  <c r="J199" i="1"/>
  <c r="J200" i="1" s="1"/>
  <c r="K198" i="1" s="1"/>
  <c r="K201" i="1" s="1"/>
  <c r="K231" i="1" s="1"/>
  <c r="K27" i="1" s="1"/>
  <c r="K28" i="1" s="1"/>
  <c r="K172" i="1" s="1"/>
  <c r="K174" i="1" s="1"/>
  <c r="K176" i="1" s="1"/>
  <c r="K30" i="1" s="1"/>
  <c r="K32" i="1" s="1"/>
  <c r="K34" i="1" s="1"/>
  <c r="V15" i="5" s="1"/>
  <c r="N212" i="1"/>
  <c r="N108" i="1" s="1"/>
  <c r="N112" i="1" s="1"/>
  <c r="N213" i="1"/>
  <c r="V18" i="5" l="1"/>
  <c r="V17" i="5"/>
  <c r="K37" i="1"/>
  <c r="K48" i="1"/>
  <c r="K53" i="1" s="1"/>
  <c r="K70" i="1" l="1"/>
  <c r="K217" i="1"/>
  <c r="K224" i="1" s="1"/>
  <c r="K227" i="1" s="1"/>
  <c r="K118" i="1" l="1"/>
  <c r="K120" i="1" s="1"/>
  <c r="K228" i="1"/>
  <c r="L226" i="1" s="1"/>
  <c r="L229" i="1" s="1"/>
  <c r="K64" i="1"/>
  <c r="K72" i="1" l="1"/>
  <c r="K74" i="1" s="1"/>
  <c r="K101" i="1"/>
  <c r="K106" i="1" s="1"/>
  <c r="K114" i="1" s="1"/>
  <c r="K122" i="1" s="1"/>
  <c r="K76" i="1" l="1"/>
  <c r="L75" i="1" s="1"/>
  <c r="K85" i="1"/>
  <c r="K89" i="1" s="1"/>
  <c r="K97" i="1" s="1"/>
  <c r="K199" i="1"/>
  <c r="K200" i="1" s="1"/>
  <c r="L198" i="1" s="1"/>
  <c r="L201" i="1" s="1"/>
  <c r="L231" i="1" s="1"/>
  <c r="L27" i="1" s="1"/>
  <c r="L28" i="1" s="1"/>
  <c r="L172" i="1" s="1"/>
  <c r="L174" i="1" s="1"/>
  <c r="L176" i="1" s="1"/>
  <c r="L30" i="1" s="1"/>
  <c r="L32" i="1" s="1"/>
  <c r="L34" i="1" s="1"/>
  <c r="W15" i="5" s="1"/>
  <c r="W18" i="5" s="1"/>
  <c r="K126" i="1"/>
  <c r="L37" i="1" l="1"/>
  <c r="W17" i="5"/>
  <c r="L48" i="1"/>
  <c r="L53" i="1" s="1"/>
  <c r="L217" i="1" s="1"/>
  <c r="L224" i="1" s="1"/>
  <c r="L227" i="1" s="1"/>
  <c r="L70" i="1"/>
  <c r="L118" i="1" l="1"/>
  <c r="L120" i="1" s="1"/>
  <c r="L228" i="1"/>
  <c r="M226" i="1" s="1"/>
  <c r="M229" i="1" s="1"/>
  <c r="L64" i="1"/>
  <c r="L72" i="1" l="1"/>
  <c r="L74" i="1" s="1"/>
  <c r="L101" i="1"/>
  <c r="L106" i="1" s="1"/>
  <c r="L114" i="1" s="1"/>
  <c r="L122" i="1" s="1"/>
  <c r="L199" i="1" l="1"/>
  <c r="L200" i="1" s="1"/>
  <c r="M198" i="1" s="1"/>
  <c r="M201" i="1" s="1"/>
  <c r="M231" i="1" s="1"/>
  <c r="M27" i="1" s="1"/>
  <c r="M28" i="1" s="1"/>
  <c r="M172" i="1" s="1"/>
  <c r="M174" i="1" s="1"/>
  <c r="M176" i="1" s="1"/>
  <c r="M30" i="1" s="1"/>
  <c r="M32" i="1" s="1"/>
  <c r="M34" i="1" s="1"/>
  <c r="X15" i="5" s="1"/>
  <c r="X18" i="5" s="1"/>
  <c r="L85" i="1"/>
  <c r="L89" i="1" s="1"/>
  <c r="L97" i="1" s="1"/>
  <c r="L126" i="1" s="1"/>
  <c r="L76" i="1"/>
  <c r="M75" i="1" s="1"/>
  <c r="M37" i="1"/>
  <c r="X17" i="5" l="1"/>
  <c r="M48" i="1"/>
  <c r="M53" i="1" s="1"/>
  <c r="M217" i="1" s="1"/>
  <c r="M224" i="1" s="1"/>
  <c r="M227" i="1" s="1"/>
  <c r="M70" i="1"/>
  <c r="M118" i="1" l="1"/>
  <c r="M120" i="1" s="1"/>
  <c r="M228" i="1"/>
  <c r="M101" i="1" s="1"/>
  <c r="M106" i="1" s="1"/>
  <c r="M114" i="1" s="1"/>
  <c r="M64" i="1"/>
  <c r="M72" i="1" l="1"/>
  <c r="M74" i="1" s="1"/>
  <c r="M122" i="1"/>
  <c r="N226" i="1"/>
  <c r="N229" i="1" s="1"/>
  <c r="M199" i="1" l="1"/>
  <c r="M200" i="1" s="1"/>
  <c r="N198" i="1" s="1"/>
  <c r="N201" i="1" s="1"/>
  <c r="N231" i="1" s="1"/>
  <c r="N27" i="1" s="1"/>
  <c r="N28" i="1" s="1"/>
  <c r="N172" i="1" s="1"/>
  <c r="N174" i="1" s="1"/>
  <c r="N176" i="1" s="1"/>
  <c r="N30" i="1" s="1"/>
  <c r="N32" i="1" s="1"/>
  <c r="N34" i="1" s="1"/>
  <c r="M76" i="1"/>
  <c r="N75" i="1" s="1"/>
  <c r="M85" i="1"/>
  <c r="M89" i="1" s="1"/>
  <c r="M97" i="1" s="1"/>
  <c r="M126" i="1" s="1"/>
  <c r="N48" i="1" l="1"/>
  <c r="N53" i="1" s="1"/>
  <c r="N217" i="1" s="1"/>
  <c r="N224" i="1" s="1"/>
  <c r="N227" i="1" s="1"/>
  <c r="Y15" i="5"/>
  <c r="N37" i="1"/>
  <c r="N70" i="1" l="1"/>
  <c r="Y17" i="5"/>
  <c r="Y18" i="5"/>
  <c r="N228" i="1"/>
  <c r="N101" i="1" s="1"/>
  <c r="N106" i="1" s="1"/>
  <c r="N114" i="1" s="1"/>
  <c r="N64" i="1"/>
  <c r="N72" i="1" s="1"/>
  <c r="N74" i="1" l="1"/>
  <c r="N199" i="1" s="1"/>
  <c r="N200" i="1" s="1"/>
  <c r="N118" i="1"/>
  <c r="N120" i="1" s="1"/>
  <c r="N122" i="1" s="1"/>
  <c r="N76" i="1" l="1"/>
  <c r="N85" i="1"/>
  <c r="N89" i="1" s="1"/>
  <c r="N97" i="1" s="1"/>
  <c r="N126" i="1" s="1"/>
</calcChain>
</file>

<file path=xl/sharedStrings.xml><?xml version="1.0" encoding="utf-8"?>
<sst xmlns="http://schemas.openxmlformats.org/spreadsheetml/2006/main" count="234" uniqueCount="139">
  <si>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</si>
  <si>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</si>
  <si>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</si>
  <si>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</si>
  <si>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</si>
  <si>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</si>
  <si>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</si>
  <si>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</si>
  <si>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</si>
  <si>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</si>
  <si>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</si>
  <si>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</si>
  <si>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</si>
  <si>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</si>
  <si>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</si>
  <si>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</si>
  <si>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</si>
  <si>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</si>
  <si>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</si>
  <si>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</si>
  <si>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</si>
  <si>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</si>
  <si>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</si>
  <si>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</si>
  <si>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</si>
  <si>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Financing Cash Flow</t>
  </si>
  <si>
    <t>Balance Sheet</t>
  </si>
  <si>
    <t>ASSETS</t>
  </si>
  <si>
    <t>Accounts Receivable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</si>
  <si>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</si>
  <si>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</si>
  <si>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</si>
  <si>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</si>
  <si>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</si>
  <si>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</si>
  <si>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</si>
  <si>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</si>
  <si>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</si>
  <si>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</si>
  <si>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</si>
  <si>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</si>
  <si>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</si>
  <si>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</si>
  <si>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</si>
  <si>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</si>
  <si>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</si>
  <si>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</si>
  <si>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</si>
  <si>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</si>
  <si>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</si>
  <si>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</si>
  <si>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</si>
  <si>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</si>
  <si>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</si>
  <si>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Common Shares</t>
  </si>
  <si>
    <t>Net Interest Expense</t>
  </si>
  <si>
    <t>Millions for the Year Ended December 31</t>
  </si>
  <si>
    <t>Common Share Issuance / (Buy-Back)</t>
  </si>
  <si>
    <t>Revenue</t>
  </si>
  <si>
    <t>Operating Costs</t>
  </si>
  <si>
    <t>Cash and Equivalents</t>
  </si>
  <si>
    <t>Prepaid Expenses</t>
  </si>
  <si>
    <t>Accrued Expenses</t>
  </si>
  <si>
    <t>Deferred Revenue</t>
  </si>
  <si>
    <t>SecureIT Data Centres LLC</t>
  </si>
  <si>
    <t>Financial Model</t>
  </si>
  <si>
    <t>created: 22/02/2025</t>
  </si>
  <si>
    <t>Sales</t>
  </si>
  <si>
    <t>number of properties</t>
  </si>
  <si>
    <t>properties occupied</t>
  </si>
  <si>
    <t>% of properties occupied</t>
  </si>
  <si>
    <t>Scenario</t>
  </si>
  <si>
    <t>Best</t>
  </si>
  <si>
    <t>Worst</t>
  </si>
  <si>
    <t>Base</t>
  </si>
  <si>
    <t>rent increases</t>
  </si>
  <si>
    <t>new properties</t>
  </si>
  <si>
    <t>average rent</t>
  </si>
  <si>
    <t>Operating costs</t>
  </si>
  <si>
    <t>Total variable costs</t>
  </si>
  <si>
    <t>Total fixed costs</t>
  </si>
  <si>
    <t>Cost inflation</t>
  </si>
  <si>
    <t>Variable costs per property</t>
  </si>
  <si>
    <t>Assumptions</t>
  </si>
  <si>
    <t>Capex</t>
  </si>
  <si>
    <t>method of depreciation</t>
  </si>
  <si>
    <t>straight line</t>
  </si>
  <si>
    <t>years of depreciation - existing assets</t>
  </si>
  <si>
    <t>years of depreciation - new assets</t>
  </si>
  <si>
    <t>Capex and Depreciation</t>
  </si>
  <si>
    <t>balance b/f</t>
  </si>
  <si>
    <t>depreciation</t>
  </si>
  <si>
    <t>balance c/f</t>
  </si>
  <si>
    <t>year</t>
  </si>
  <si>
    <t>CapEx</t>
  </si>
  <si>
    <t>Total depreciation</t>
  </si>
  <si>
    <t>Total balance c/f</t>
  </si>
  <si>
    <t>Tax rate</t>
  </si>
  <si>
    <t>income timing differences for accounting purposes</t>
  </si>
  <si>
    <t>Tax</t>
  </si>
  <si>
    <t>Taxable income</t>
  </si>
  <si>
    <t>Deferred tax</t>
  </si>
  <si>
    <t>Working capital</t>
  </si>
  <si>
    <t>days in year</t>
  </si>
  <si>
    <t>year end balances</t>
  </si>
  <si>
    <t>Net working capital</t>
  </si>
  <si>
    <t>changes in working capital</t>
  </si>
  <si>
    <t>working capital in days</t>
  </si>
  <si>
    <t>Equity</t>
  </si>
  <si>
    <t>Preferrence Share Issuance / (Buy-Back)</t>
  </si>
  <si>
    <t>dividend yield of preferrence shares</t>
  </si>
  <si>
    <t>dividend payout common shares</t>
  </si>
  <si>
    <t>Preferrence Shares</t>
  </si>
  <si>
    <t>Dividend</t>
  </si>
  <si>
    <t>Debt</t>
  </si>
  <si>
    <t>Interest rates</t>
  </si>
  <si>
    <t>fixed rate debt</t>
  </si>
  <si>
    <t>revolver</t>
  </si>
  <si>
    <t>excess cash</t>
  </si>
  <si>
    <t>SOFR</t>
  </si>
  <si>
    <t>spread on variable rate debt(basis points)</t>
  </si>
  <si>
    <t>Varaiable rate debt</t>
  </si>
  <si>
    <t>There was no row for preferrence shares on the statement.It is assumed that this is the first time preferrence shares have been issued</t>
  </si>
  <si>
    <t>Interest Received</t>
  </si>
  <si>
    <t>Interest Paid</t>
  </si>
  <si>
    <t>Total</t>
  </si>
  <si>
    <t>Borrowing</t>
  </si>
  <si>
    <t>Deposit</t>
  </si>
  <si>
    <t>Dividend to Common Shares</t>
  </si>
  <si>
    <t>Net Interest</t>
  </si>
  <si>
    <t>% growth</t>
  </si>
  <si>
    <t>% growth/(decline)</t>
  </si>
  <si>
    <t>It is assumed that the company will receive tax back when it is making losses</t>
  </si>
  <si>
    <t>EBITDA/Revenue</t>
  </si>
  <si>
    <t>Net Income/Revenue</t>
  </si>
  <si>
    <t>Scenario: Base</t>
  </si>
  <si>
    <t>Scenario: Best</t>
  </si>
  <si>
    <t>Scenario: Worst</t>
  </si>
  <si>
    <t>It is assumed no prefference shares were issued prior to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</si>
</sst>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0\A"/>
    <numFmt numFmtId="169" formatCode="0.0%;\(0.0%\)"/>
    <numFmt numFmtId="170" formatCode="#,##0.0_);\(#,##0.0\)"/>
    <numFmt numFmtId="171" formatCode="0%;\(0%\)"/>
    <numFmt numFmtId="172" formatCode="#,##0.000_);\(#,##0.000\)"/>
    <numFmt numFmtId="173" formatCode="_(* #,##0.0_);_(* \(#,##0.0\);_(* &quot;-&quot;??_);_(@_)"/>
    <numFmt numFmtId="174" formatCode="_-* #,##0_-;\-* #,##0_-;_-* &quot;-&quot;??_-;_-@_-"/>
    <numFmt numFmtId="175" formatCode="#,##0.0000_);\(#,##0.0000\)"/>
    <numFmt numFmtId="176" formatCode="0\F"/>
    <numFmt numFmtId="177" formatCode="0.0%"/>
    <numFmt numFmtId="178" formatCode="0.0"/>
    <numFmt numFmtId="179" formatCode="#,##0.0"/>
  </numFmts>
  <fonts count="23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vertAlign val="superscript"/>
      <sz val="7"/>
      <name val="Calibri"/>
      <family val="2"/>
      <scheme val="minor"/>
    </font>
    <font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6" fontId="3" fillId="0" borderId="0" applyFont="0" applyFill="0" applyBorder="0" applyAlignment="0" applyProtection="0"/>
    <xf numFmtId="0" fontId="2" fillId="0" borderId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165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4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7" fillId="0" borderId="0" xfId="0" applyFont="1" applyAlignment="1">
      <alignment horizontal="centerContinuous"/>
    </xf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10" fillId="0" borderId="0" xfId="0" quotePrefix="1" applyFont="1"/>
    <xf numFmtId="0" fontId="11" fillId="0" borderId="0" xfId="0" applyFont="1" applyAlignment="1">
      <alignment horizontal="centerContinuous"/>
    </xf>
    <xf numFmtId="0" fontId="12" fillId="0" borderId="0" xfId="0" applyFont="1"/>
    <xf numFmtId="1" fontId="12" fillId="0" borderId="0" xfId="0" quotePrefix="1" applyNumberFormat="1" applyFont="1" applyAlignment="1">
      <alignment horizontal="right"/>
    </xf>
    <xf numFmtId="0" fontId="11" fillId="0" borderId="0" xfId="0" applyFont="1"/>
    <xf numFmtId="170" fontId="13" fillId="0" borderId="0" xfId="1" applyNumberFormat="1" applyFont="1" applyAlignment="1" applyProtection="1">
      <alignment horizontal="right"/>
      <protection locked="0"/>
    </xf>
    <xf numFmtId="0" fontId="8" fillId="0" borderId="0" xfId="0" quotePrefix="1" applyFont="1" applyAlignment="1">
      <alignment horizontal="left"/>
    </xf>
    <xf numFmtId="170" fontId="13" fillId="0" borderId="2" xfId="1" applyNumberFormat="1" applyFont="1" applyBorder="1" applyAlignment="1" applyProtection="1">
      <alignment horizontal="right"/>
      <protection locked="0"/>
    </xf>
    <xf numFmtId="0" fontId="11" fillId="0" borderId="0" xfId="0" quotePrefix="1" applyFont="1" applyAlignment="1">
      <alignment horizontal="left"/>
    </xf>
    <xf numFmtId="170" fontId="11" fillId="0" borderId="0" xfId="1" applyNumberFormat="1" applyFont="1" applyAlignment="1">
      <alignment horizontal="right"/>
    </xf>
    <xf numFmtId="170" fontId="11" fillId="0" borderId="0" xfId="1" applyNumberFormat="1" applyFont="1"/>
    <xf numFmtId="170" fontId="13" fillId="0" borderId="2" xfId="1" applyNumberFormat="1" applyFont="1" applyBorder="1" applyProtection="1">
      <protection locked="0"/>
    </xf>
    <xf numFmtId="170" fontId="13" fillId="0" borderId="0" xfId="1" applyNumberFormat="1" applyFont="1" applyProtection="1">
      <protection locked="0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0" fontId="8" fillId="0" borderId="0" xfId="0" applyNumberFormat="1" applyFont="1"/>
    <xf numFmtId="164" fontId="11" fillId="0" borderId="0" xfId="0" quotePrefix="1" applyNumberFormat="1" applyFont="1" applyAlignment="1">
      <alignment horizontal="left"/>
    </xf>
    <xf numFmtId="170" fontId="11" fillId="0" borderId="16" xfId="1" applyNumberFormat="1" applyFont="1" applyBorder="1" applyAlignment="1">
      <alignment horizontal="right"/>
    </xf>
    <xf numFmtId="164" fontId="8" fillId="0" borderId="0" xfId="0" quotePrefix="1" applyNumberFormat="1" applyFont="1" applyAlignment="1">
      <alignment horizontal="left"/>
    </xf>
    <xf numFmtId="170" fontId="11" fillId="0" borderId="7" xfId="1" applyNumberFormat="1" applyFont="1" applyBorder="1" applyAlignment="1">
      <alignment horizontal="right"/>
    </xf>
    <xf numFmtId="0" fontId="8" fillId="0" borderId="2" xfId="0" applyFont="1" applyBorder="1"/>
    <xf numFmtId="167" fontId="8" fillId="0" borderId="2" xfId="1" applyNumberFormat="1" applyFont="1" applyBorder="1"/>
    <xf numFmtId="0" fontId="14" fillId="0" borderId="0" xfId="0" quotePrefix="1" applyFont="1"/>
    <xf numFmtId="171" fontId="10" fillId="0" borderId="0" xfId="0" applyNumberFormat="1" applyFont="1"/>
    <xf numFmtId="167" fontId="8" fillId="0" borderId="0" xfId="1" applyNumberFormat="1" applyFont="1"/>
    <xf numFmtId="0" fontId="8" fillId="0" borderId="0" xfId="0" applyFont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10" fillId="0" borderId="0" xfId="0" quotePrefix="1" applyFont="1" applyAlignment="1">
      <alignment horizontal="left"/>
    </xf>
    <xf numFmtId="168" fontId="12" fillId="0" borderId="0" xfId="0" applyNumberFormat="1" applyFont="1" applyAlignment="1">
      <alignment horizontal="right"/>
    </xf>
    <xf numFmtId="37" fontId="8" fillId="0" borderId="0" xfId="1" applyNumberFormat="1" applyFont="1"/>
    <xf numFmtId="170" fontId="15" fillId="0" borderId="0" xfId="1" applyNumberFormat="1" applyFont="1" applyProtection="1">
      <protection locked="0"/>
    </xf>
    <xf numFmtId="37" fontId="13" fillId="0" borderId="0" xfId="1" applyNumberFormat="1" applyFont="1"/>
    <xf numFmtId="170" fontId="15" fillId="0" borderId="2" xfId="1" applyNumberFormat="1" applyFont="1" applyBorder="1" applyAlignment="1" applyProtection="1">
      <alignment horizontal="right"/>
      <protection locked="0"/>
    </xf>
    <xf numFmtId="37" fontId="11" fillId="0" borderId="0" xfId="1" applyNumberFormat="1" applyFont="1"/>
    <xf numFmtId="170" fontId="11" fillId="0" borderId="0" xfId="1" applyNumberFormat="1" applyFont="1" applyProtection="1">
      <protection locked="0"/>
    </xf>
    <xf numFmtId="9" fontId="8" fillId="0" borderId="0" xfId="12" applyFont="1"/>
    <xf numFmtId="170" fontId="8" fillId="0" borderId="0" xfId="1" applyNumberFormat="1" applyFont="1"/>
    <xf numFmtId="170" fontId="8" fillId="0" borderId="2" xfId="1" applyNumberFormat="1" applyFont="1" applyBorder="1"/>
    <xf numFmtId="0" fontId="16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170" fontId="8" fillId="0" borderId="4" xfId="1" applyNumberFormat="1" applyFont="1" applyBorder="1"/>
    <xf numFmtId="175" fontId="8" fillId="0" borderId="0" xfId="1" applyNumberFormat="1" applyFont="1"/>
    <xf numFmtId="170" fontId="11" fillId="0" borderId="3" xfId="1" applyNumberFormat="1" applyFont="1" applyBorder="1"/>
    <xf numFmtId="172" fontId="13" fillId="0" borderId="0" xfId="1" applyNumberFormat="1" applyFont="1"/>
    <xf numFmtId="173" fontId="8" fillId="0" borderId="0" xfId="1" applyNumberFormat="1" applyFont="1"/>
    <xf numFmtId="0" fontId="10" fillId="0" borderId="2" xfId="0" quotePrefix="1" applyFont="1" applyBorder="1" applyAlignment="1">
      <alignment horizontal="left"/>
    </xf>
    <xf numFmtId="0" fontId="17" fillId="0" borderId="8" xfId="2" applyFont="1" applyBorder="1" applyAlignment="1">
      <alignment horizontal="left" vertical="center"/>
    </xf>
    <xf numFmtId="0" fontId="17" fillId="0" borderId="9" xfId="0" applyFont="1" applyBorder="1"/>
    <xf numFmtId="0" fontId="18" fillId="0" borderId="9" xfId="0" applyFont="1" applyBorder="1"/>
    <xf numFmtId="169" fontId="17" fillId="0" borderId="9" xfId="0" applyNumberFormat="1" applyFont="1" applyBorder="1"/>
    <xf numFmtId="169" fontId="17" fillId="0" borderId="10" xfId="0" applyNumberFormat="1" applyFont="1" applyBorder="1"/>
    <xf numFmtId="0" fontId="17" fillId="0" borderId="11" xfId="2" applyFont="1" applyBorder="1" applyAlignment="1">
      <alignment horizontal="left" vertical="center"/>
    </xf>
    <xf numFmtId="0" fontId="17" fillId="0" borderId="0" xfId="0" applyFont="1"/>
    <xf numFmtId="0" fontId="18" fillId="0" borderId="0" xfId="0" applyFont="1"/>
    <xf numFmtId="169" fontId="17" fillId="0" borderId="0" xfId="0" applyNumberFormat="1" applyFont="1"/>
    <xf numFmtId="169" fontId="17" fillId="0" borderId="12" xfId="0" applyNumberFormat="1" applyFont="1" applyBorder="1"/>
    <xf numFmtId="0" fontId="17" fillId="0" borderId="13" xfId="2" applyFont="1" applyBorder="1" applyAlignment="1">
      <alignment horizontal="left" vertical="center"/>
    </xf>
    <xf numFmtId="0" fontId="17" fillId="0" borderId="14" xfId="0" applyFont="1" applyBorder="1"/>
    <xf numFmtId="0" fontId="18" fillId="0" borderId="14" xfId="0" applyFont="1" applyBorder="1"/>
    <xf numFmtId="169" fontId="17" fillId="0" borderId="14" xfId="0" applyNumberFormat="1" applyFont="1" applyBorder="1"/>
    <xf numFmtId="169" fontId="17" fillId="0" borderId="15" xfId="0" applyNumberFormat="1" applyFont="1" applyBorder="1"/>
    <xf numFmtId="170" fontId="19" fillId="0" borderId="0" xfId="1" applyNumberFormat="1" applyFont="1" applyAlignment="1" applyProtection="1">
      <alignment horizontal="right"/>
      <protection locked="0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76" fontId="12" fillId="0" borderId="0" xfId="0" applyNumberFormat="1" applyFont="1"/>
    <xf numFmtId="0" fontId="20" fillId="0" borderId="0" xfId="0" applyFont="1"/>
    <xf numFmtId="0" fontId="21" fillId="0" borderId="0" xfId="0" applyFont="1"/>
    <xf numFmtId="0" fontId="15" fillId="0" borderId="0" xfId="0" applyFont="1"/>
    <xf numFmtId="9" fontId="0" fillId="0" borderId="0" xfId="0" applyNumberFormat="1"/>
    <xf numFmtId="177" fontId="20" fillId="0" borderId="0" xfId="0" applyNumberFormat="1" applyFont="1"/>
    <xf numFmtId="10" fontId="0" fillId="0" borderId="0" xfId="0" applyNumberFormat="1"/>
    <xf numFmtId="1" fontId="20" fillId="0" borderId="0" xfId="0" applyNumberFormat="1" applyFont="1"/>
    <xf numFmtId="178" fontId="8" fillId="0" borderId="0" xfId="0" applyNumberFormat="1" applyFont="1"/>
    <xf numFmtId="178" fontId="11" fillId="0" borderId="0" xfId="0" applyNumberFormat="1" applyFont="1"/>
    <xf numFmtId="0" fontId="19" fillId="0" borderId="0" xfId="0" applyFont="1"/>
    <xf numFmtId="170" fontId="13" fillId="0" borderId="0" xfId="1" applyNumberFormat="1" applyFont="1" applyBorder="1" applyAlignment="1" applyProtection="1">
      <alignment horizontal="right"/>
      <protection locked="0"/>
    </xf>
    <xf numFmtId="170" fontId="11" fillId="0" borderId="4" xfId="1" applyNumberFormat="1" applyFont="1" applyBorder="1" applyAlignment="1">
      <alignment horizontal="right"/>
    </xf>
    <xf numFmtId="0" fontId="21" fillId="2" borderId="0" xfId="0" applyFont="1" applyFill="1"/>
    <xf numFmtId="0" fontId="0" fillId="2" borderId="0" xfId="0" applyFill="1"/>
    <xf numFmtId="179" fontId="8" fillId="0" borderId="0" xfId="0" applyNumberFormat="1" applyFont="1"/>
    <xf numFmtId="4" fontId="8" fillId="0" borderId="0" xfId="0" applyNumberFormat="1" applyFont="1"/>
    <xf numFmtId="170" fontId="11" fillId="0" borderId="4" xfId="1" applyNumberFormat="1" applyFont="1" applyBorder="1"/>
    <xf numFmtId="170" fontId="13" fillId="0" borderId="0" xfId="1" applyNumberFormat="1" applyFont="1" applyBorder="1" applyProtection="1">
      <protection locked="0"/>
    </xf>
    <xf numFmtId="170" fontId="8" fillId="0" borderId="0" xfId="0" applyNumberFormat="1" applyFont="1" applyBorder="1"/>
    <xf numFmtId="170" fontId="11" fillId="0" borderId="0" xfId="1" applyNumberFormat="1" applyFont="1" applyBorder="1" applyAlignment="1">
      <alignment horizontal="right"/>
    </xf>
    <xf numFmtId="170" fontId="11" fillId="0" borderId="3" xfId="1" applyNumberFormat="1" applyFont="1" applyBorder="1" applyAlignment="1">
      <alignment horizontal="right"/>
    </xf>
    <xf numFmtId="171" fontId="10" fillId="0" borderId="0" xfId="0" applyNumberFormat="1" applyFont="1" applyBorder="1"/>
    <xf numFmtId="0" fontId="11" fillId="0" borderId="0" xfId="0" applyFont="1" applyBorder="1"/>
    <xf numFmtId="167" fontId="8" fillId="0" borderId="0" xfId="1" applyNumberFormat="1" applyFont="1" applyBorder="1"/>
    <xf numFmtId="0" fontId="8" fillId="0" borderId="0" xfId="0" applyFont="1" applyBorder="1" applyAlignment="1">
      <alignment horizontal="centerContinuous"/>
    </xf>
    <xf numFmtId="0" fontId="8" fillId="0" borderId="0" xfId="0" applyFont="1" applyBorder="1"/>
    <xf numFmtId="168" fontId="12" fillId="0" borderId="0" xfId="0" applyNumberFormat="1" applyFont="1" applyBorder="1" applyAlignment="1">
      <alignment horizontal="right"/>
    </xf>
    <xf numFmtId="170" fontId="11" fillId="0" borderId="4" xfId="1" applyNumberFormat="1" applyFont="1" applyBorder="1" applyProtection="1">
      <protection locked="0"/>
    </xf>
    <xf numFmtId="170" fontId="8" fillId="0" borderId="0" xfId="1" applyNumberFormat="1" applyFont="1" applyBorder="1"/>
    <xf numFmtId="170" fontId="11" fillId="0" borderId="0" xfId="1" applyNumberFormat="1" applyFont="1" applyBorder="1"/>
    <xf numFmtId="0" fontId="16" fillId="0" borderId="0" xfId="0" applyFont="1" applyBorder="1" applyAlignment="1">
      <alignment horizontal="centerContinuous"/>
    </xf>
    <xf numFmtId="175" fontId="8" fillId="0" borderId="0" xfId="1" applyNumberFormat="1" applyFont="1" applyBorder="1"/>
    <xf numFmtId="37" fontId="8" fillId="0" borderId="0" xfId="1" applyNumberFormat="1" applyFont="1" applyBorder="1"/>
    <xf numFmtId="173" fontId="8" fillId="0" borderId="0" xfId="1" applyNumberFormat="1" applyFont="1" applyBorder="1"/>
    <xf numFmtId="177" fontId="11" fillId="0" borderId="0" xfId="0" applyNumberFormat="1" applyFont="1"/>
    <xf numFmtId="178" fontId="0" fillId="0" borderId="0" xfId="0" applyNumberFormat="1"/>
    <xf numFmtId="178" fontId="22" fillId="0" borderId="0" xfId="0" applyNumberFormat="1" applyFont="1"/>
    <xf numFmtId="0" fontId="8" fillId="3" borderId="0" xfId="0" applyFont="1" applyFill="1" applyAlignment="1">
      <alignment horizontal="left"/>
    </xf>
    <xf numFmtId="0" fontId="0" fillId="3" borderId="0" xfId="0" applyFill="1"/>
    <xf numFmtId="2" fontId="0" fillId="0" borderId="0" xfId="0" applyNumberFormat="1"/>
    <xf numFmtId="10" fontId="11" fillId="0" borderId="0" xfId="0" applyNumberFormat="1" applyFont="1"/>
    <xf numFmtId="2" fontId="8" fillId="0" borderId="0" xfId="0" applyNumberFormat="1" applyFont="1"/>
    <xf numFmtId="2" fontId="11" fillId="0" borderId="0" xfId="0" applyNumberFormat="1" applyFont="1"/>
    <xf numFmtId="164" fontId="8" fillId="0" borderId="0" xfId="0" applyNumberFormat="1" applyFont="1"/>
    <xf numFmtId="4" fontId="10" fillId="0" borderId="0" xfId="1" applyNumberFormat="1" applyFont="1"/>
    <xf numFmtId="4" fontId="10" fillId="0" borderId="0" xfId="1" applyNumberFormat="1" applyFont="1" applyBorder="1"/>
    <xf numFmtId="177" fontId="0" fillId="0" borderId="0" xfId="0" applyNumberFormat="1"/>
    <xf numFmtId="1" fontId="12" fillId="2" borderId="0" xfId="0" quotePrefix="1" applyNumberFormat="1" applyFont="1" applyFill="1" applyAlignment="1">
      <alignment horizontal="right"/>
    </xf>
    <xf numFmtId="176" fontId="12" fillId="2" borderId="0" xfId="0" applyNumberFormat="1" applyFont="1" applyFill="1"/>
    <xf numFmtId="2" fontId="20" fillId="0" borderId="0" xfId="0" applyNumberFormat="1" applyFont="1"/>
    <xf numFmtId="9" fontId="20" fillId="0" borderId="0" xfId="12" applyFont="1"/>
  </cellXfs>
  <cellStyles count="13">
    <cellStyle name="Across" xfId="3"/>
    <cellStyle name="Bottom" xfId="4"/>
    <cellStyle name="Center" xfId="5"/>
    <cellStyle name="Comma" xfId="1" builtinId="3"/>
    <cellStyle name="Currency [2]" xfId="6"/>
    <cellStyle name="Double" xfId="7"/>
    <cellStyle name="Normal" xfId="0" builtinId="0"/>
    <cellStyle name="Normal_TrainingDCF1" xfId="2"/>
    <cellStyle name="Numbers" xfId="8"/>
    <cellStyle name="Numbers - Bold - Italic" xfId="9"/>
    <cellStyle name="Outline" xfId="10"/>
    <cellStyle name="Percent" xfId="12" builtinId="5"/>
    <cellStyle name="Percent 2" xfId="11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fmlaLink="$C$2" fmlaRange="$C$9:$C$11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603250</xdr:colOff>
          <xdr:row>0</xdr:row>
          <xdr:rowOff>76200</xdr:rowOff>
        </xdr:from>
        <xdr:to>
          <xdr:col>3</xdr:col>
          <xdr:colOff>298450</xdr:colOff>
          <xdr:row>2</xdr:row>
          <xdr:rowOff>38100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0"/>
  <sheetViews>
    <sheetView showGridLines="0" tabSelected="1" workbookViewId="0">
      <selection activeCell="N65" sqref="N65"/>
    </sheetView>
  </sheetViews>
  <sheetFormatPr defaultRowHeight="12.5"/>
  <sheetData>
    <row r="6" spans="2:4" ht="23">
      <c r="B6" s="67" t="s">
        <v>64</v>
      </c>
      <c r="C6" s="1"/>
      <c r="D6" s="1"/>
    </row>
    <row r="8" spans="2:4" ht="17.5">
      <c r="B8" s="71" t="s">
        <v>65</v>
      </c>
    </row>
    <row r="9" spans="2:4">
      <c r="B9" s="70"/>
    </row>
    <row r="10" spans="2:4">
      <c r="B10" s="120" t="s">
        <v>66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&amp;LC:\Users\caspe\OneDrive\Desktop\&amp;F&amp;Cpage &amp;P of &amp;N&amp;R&amp;D&amp;T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2"/>
  <sheetViews>
    <sheetView showGridLines="0" topLeftCell="A21" zoomScale="85" zoomScaleNormal="85" workbookViewId="0">
      <selection activeCell="N65" sqref="N65"/>
    </sheetView>
  </sheetViews>
  <sheetFormatPr defaultRowHeight="12.5"/>
  <cols>
    <col min="6" max="8" width="9" bestFit="1" customWidth="1"/>
    <col min="9" max="9" width="12" bestFit="1" customWidth="1"/>
    <col min="10" max="12" width="9" bestFit="1" customWidth="1"/>
  </cols>
  <sheetData>
    <row r="3" spans="2:26">
      <c r="B3" s="83" t="s">
        <v>135</v>
      </c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2:26" ht="13">
      <c r="B4" s="83"/>
      <c r="C4" s="83"/>
      <c r="D4" s="83"/>
      <c r="E4" s="117">
        <v>2022</v>
      </c>
      <c r="F4" s="117">
        <v>2023</v>
      </c>
      <c r="G4" s="117">
        <v>2024</v>
      </c>
      <c r="H4" s="118">
        <v>2025</v>
      </c>
      <c r="I4" s="118">
        <v>2026</v>
      </c>
      <c r="J4" s="118">
        <v>2027</v>
      </c>
      <c r="K4" s="118">
        <v>2028</v>
      </c>
      <c r="L4" s="118">
        <v>2029</v>
      </c>
      <c r="R4" s="8">
        <v>2022</v>
      </c>
      <c r="S4" s="8">
        <f>R4+1</f>
        <v>2023</v>
      </c>
      <c r="T4" s="8">
        <f>S4+1</f>
        <v>2024</v>
      </c>
      <c r="U4" s="69">
        <f>T4+1</f>
        <v>2025</v>
      </c>
      <c r="V4" s="69">
        <f t="shared" ref="V4:Y4" si="0">U4+1</f>
        <v>2026</v>
      </c>
      <c r="W4" s="69">
        <f t="shared" si="0"/>
        <v>2027</v>
      </c>
      <c r="X4" s="69">
        <f t="shared" si="0"/>
        <v>2028</v>
      </c>
      <c r="Y4" s="69">
        <f t="shared" si="0"/>
        <v>2029</v>
      </c>
    </row>
    <row r="6" spans="2:26">
      <c r="B6" s="70" t="s">
        <v>58</v>
      </c>
      <c r="C6" s="70"/>
      <c r="D6" s="70"/>
      <c r="E6" s="119">
        <v>690.5</v>
      </c>
      <c r="F6" s="119">
        <v>703.7</v>
      </c>
      <c r="G6" s="119">
        <v>746</v>
      </c>
      <c r="H6" s="119">
        <v>788.17769230769238</v>
      </c>
      <c r="I6" s="119">
        <v>831.99801923076916</v>
      </c>
      <c r="J6" s="119">
        <v>877.51675144230751</v>
      </c>
      <c r="K6" s="119">
        <v>924.79142150240364</v>
      </c>
      <c r="L6" s="119">
        <v>973.88137709585305</v>
      </c>
      <c r="O6" t="str">
        <f>Model!C14</f>
        <v>Revenue</v>
      </c>
      <c r="R6">
        <f>Model!G14</f>
        <v>690.5</v>
      </c>
      <c r="S6">
        <f>Model!H14</f>
        <v>703.7</v>
      </c>
      <c r="T6">
        <f>Model!I14</f>
        <v>746</v>
      </c>
      <c r="U6">
        <f>Model!J14</f>
        <v>807.74584615384606</v>
      </c>
      <c r="V6">
        <f>Model!K14</f>
        <v>872.9000515384613</v>
      </c>
      <c r="W6">
        <f>Model!L14</f>
        <v>941.62556263846125</v>
      </c>
      <c r="X6">
        <f>Model!M14</f>
        <v>1014.0925569523265</v>
      </c>
      <c r="Y6">
        <f>Model!N14</f>
        <v>1090.4787495539304</v>
      </c>
      <c r="Z6">
        <f>Model!O14</f>
        <v>0</v>
      </c>
    </row>
    <row r="8" spans="2:26">
      <c r="B8" t="s">
        <v>130</v>
      </c>
      <c r="F8" s="116">
        <v>1.9116582186821211E-2</v>
      </c>
      <c r="G8" s="116">
        <v>6.0110842688645659E-2</v>
      </c>
      <c r="H8" s="116">
        <v>5.6538461538461642E-2</v>
      </c>
      <c r="I8" s="116">
        <v>5.5597014925372945E-2</v>
      </c>
      <c r="J8" s="116">
        <v>5.4710144927536099E-2</v>
      </c>
      <c r="K8" s="116">
        <v>5.3873239436619702E-2</v>
      </c>
      <c r="L8" s="116">
        <v>5.3082191780821818E-2</v>
      </c>
      <c r="O8" t="s">
        <v>130</v>
      </c>
      <c r="S8" s="116">
        <f>(S6-R6)/R6</f>
        <v>1.9116582186821211E-2</v>
      </c>
      <c r="T8" s="116">
        <f t="shared" ref="T8:Y8" si="1">(T6-S6)/S6</f>
        <v>6.0110842688645659E-2</v>
      </c>
      <c r="U8" s="116">
        <f t="shared" si="1"/>
        <v>8.2769230769230637E-2</v>
      </c>
      <c r="V8" s="116">
        <f t="shared" si="1"/>
        <v>8.0661764705882183E-2</v>
      </c>
      <c r="W8" s="116">
        <f t="shared" si="1"/>
        <v>7.8732394366197139E-2</v>
      </c>
      <c r="X8" s="116">
        <f t="shared" si="1"/>
        <v>7.6959459459459353E-2</v>
      </c>
      <c r="Y8" s="116">
        <f t="shared" si="1"/>
        <v>7.5324675324675364E-2</v>
      </c>
    </row>
    <row r="10" spans="2:26">
      <c r="B10" s="70" t="s">
        <v>7</v>
      </c>
      <c r="C10" s="70"/>
      <c r="D10" s="70"/>
      <c r="E10" s="119">
        <v>194.2</v>
      </c>
      <c r="F10" s="119">
        <v>192.90000000000003</v>
      </c>
      <c r="G10" s="119">
        <v>194.50000000000006</v>
      </c>
      <c r="H10" s="119">
        <v>225.34446153846159</v>
      </c>
      <c r="I10" s="119">
        <v>255.05902846153845</v>
      </c>
      <c r="J10" s="119">
        <v>286.13290356538448</v>
      </c>
      <c r="K10" s="119">
        <v>318.61569782978825</v>
      </c>
      <c r="L10" s="119">
        <v>352.55865613486844</v>
      </c>
      <c r="O10" t="str">
        <f>Model!C21</f>
        <v>EBITDA</v>
      </c>
      <c r="R10">
        <f>Model!G21</f>
        <v>194.2</v>
      </c>
      <c r="S10">
        <f>Model!H21</f>
        <v>192.90000000000003</v>
      </c>
      <c r="T10">
        <f>Model!I21</f>
        <v>194.50000000000006</v>
      </c>
      <c r="U10">
        <f>Model!J21</f>
        <v>247.5770769230769</v>
      </c>
      <c r="V10">
        <f>Model!K21</f>
        <v>302.9393376923075</v>
      </c>
      <c r="W10">
        <f>Model!L21</f>
        <v>361.73308216153816</v>
      </c>
      <c r="X10">
        <f>Model!M21</f>
        <v>424.12667058340344</v>
      </c>
      <c r="Y10">
        <f>Model!N21</f>
        <v>490.29597842321493</v>
      </c>
    </row>
    <row r="12" spans="2:26">
      <c r="B12" t="s">
        <v>130</v>
      </c>
      <c r="F12" s="116">
        <v>-6.6941297631305588E-3</v>
      </c>
      <c r="G12" s="116">
        <v>8.294453084499857E-3</v>
      </c>
      <c r="H12" s="116">
        <v>0.15858334981214151</v>
      </c>
      <c r="I12" s="116">
        <v>0.13186286771909503</v>
      </c>
      <c r="J12" s="116">
        <v>0.12183013199445246</v>
      </c>
      <c r="K12" s="116">
        <v>0.11352344962655123</v>
      </c>
      <c r="L12" s="116">
        <v>0.10653259878994818</v>
      </c>
      <c r="O12" t="s">
        <v>130</v>
      </c>
      <c r="S12" s="116">
        <f>(S10-R10)/R10</f>
        <v>-6.6941297631305588E-3</v>
      </c>
      <c r="T12" s="116">
        <f t="shared" ref="T12:Y12" si="2">(T10-S10)/S10</f>
        <v>8.294453084499857E-3</v>
      </c>
      <c r="U12" s="116">
        <f t="shared" si="2"/>
        <v>0.27288985564563922</v>
      </c>
      <c r="V12" s="116">
        <f t="shared" si="2"/>
        <v>0.22361626309382374</v>
      </c>
      <c r="W12" s="116">
        <f t="shared" si="2"/>
        <v>0.19407761605706977</v>
      </c>
      <c r="X12" s="116">
        <f t="shared" si="2"/>
        <v>0.17248515963492203</v>
      </c>
      <c r="Y12" s="116">
        <f t="shared" si="2"/>
        <v>0.15601307917937093</v>
      </c>
    </row>
    <row r="13" spans="2:26">
      <c r="B13" t="s">
        <v>133</v>
      </c>
      <c r="E13" s="116">
        <v>0.28124547429398983</v>
      </c>
      <c r="F13" s="116">
        <v>0.27412249538155464</v>
      </c>
      <c r="G13" s="116">
        <v>0.2607238605898124</v>
      </c>
      <c r="H13" s="116">
        <v>0.28590565774410498</v>
      </c>
      <c r="I13" s="116">
        <v>0.30656206212769044</v>
      </c>
      <c r="J13" s="116">
        <v>0.32607115829423156</v>
      </c>
      <c r="K13" s="116">
        <v>0.34452709056510222</v>
      </c>
      <c r="L13" s="116">
        <v>0.36201396230227773</v>
      </c>
      <c r="O13" t="str">
        <f>O10&amp;"/"&amp;O$6</f>
        <v>EBITDA/Revenue</v>
      </c>
      <c r="R13" s="116">
        <f>R10/R$6</f>
        <v>0.28124547429398983</v>
      </c>
      <c r="S13" s="116">
        <f t="shared" ref="S13:Y13" si="3">S10/S$6</f>
        <v>0.27412249538155464</v>
      </c>
      <c r="T13" s="116">
        <f t="shared" si="3"/>
        <v>0.2607238605898124</v>
      </c>
      <c r="U13" s="116">
        <f t="shared" si="3"/>
        <v>0.30650368318442894</v>
      </c>
      <c r="V13" s="116">
        <f t="shared" si="3"/>
        <v>0.34704928377353811</v>
      </c>
      <c r="W13" s="116">
        <f t="shared" si="3"/>
        <v>0.38415809480357765</v>
      </c>
      <c r="X13" s="116">
        <f t="shared" si="3"/>
        <v>0.41823270240542948</v>
      </c>
      <c r="Y13" s="116">
        <f t="shared" si="3"/>
        <v>0.44961534429146344</v>
      </c>
    </row>
    <row r="15" spans="2:26">
      <c r="B15" s="70" t="s">
        <v>14</v>
      </c>
      <c r="C15" s="70"/>
      <c r="D15" s="70"/>
      <c r="E15" s="119">
        <v>-26.200000000000017</v>
      </c>
      <c r="F15" s="119">
        <v>-37.899999999999963</v>
      </c>
      <c r="G15" s="119">
        <v>-36.099999999999945</v>
      </c>
      <c r="H15" s="119">
        <v>-14.452310714285701</v>
      </c>
      <c r="I15" s="119">
        <v>0.39422658985077064</v>
      </c>
      <c r="J15" s="119">
        <v>16.366774817499895</v>
      </c>
      <c r="K15" s="119">
        <v>32.810336099802484</v>
      </c>
      <c r="L15" s="119">
        <v>50.359942559093057</v>
      </c>
      <c r="O15" t="str">
        <f>Model!C34</f>
        <v>Net Income</v>
      </c>
      <c r="R15">
        <f>Model!G34</f>
        <v>-26.200000000000017</v>
      </c>
      <c r="S15">
        <f>Model!H34</f>
        <v>-37.899999999999963</v>
      </c>
      <c r="T15">
        <f>Model!I34</f>
        <v>-36.099999999999945</v>
      </c>
      <c r="U15">
        <f>Model!J34</f>
        <v>-1.1107142857476049E-3</v>
      </c>
      <c r="V15">
        <f>Model!K34</f>
        <v>31.893652483232497</v>
      </c>
      <c r="W15">
        <f>Model!L34</f>
        <v>65.73580710470705</v>
      </c>
      <c r="X15">
        <f>Model!M34</f>
        <v>101.85838646498615</v>
      </c>
      <c r="Y15">
        <f>Model!N34</f>
        <v>140.62611086492518</v>
      </c>
    </row>
    <row r="17" spans="2:25">
      <c r="B17" t="s">
        <v>131</v>
      </c>
      <c r="F17" s="116">
        <v>0.44656488549618084</v>
      </c>
      <c r="G17" s="116">
        <v>-4.7493403693931929E-2</v>
      </c>
      <c r="H17" s="116">
        <v>-0.59965898298377496</v>
      </c>
      <c r="I17" s="116">
        <v>-1.0272777549309875</v>
      </c>
      <c r="J17" s="116">
        <v>40.516161615824352</v>
      </c>
      <c r="K17" s="116">
        <v>1.0046916063585474</v>
      </c>
      <c r="L17" s="116">
        <v>0.53488042322724694</v>
      </c>
      <c r="O17" t="s">
        <v>131</v>
      </c>
      <c r="S17" s="116">
        <f>(S15-R15)/R15</f>
        <v>0.44656488549618084</v>
      </c>
      <c r="T17" s="116">
        <f t="shared" ref="T17:Y17" si="4">(T15-S15)/S15</f>
        <v>-4.7493403693931929E-2</v>
      </c>
      <c r="U17" s="116">
        <f t="shared" si="4"/>
        <v>-0.99996923229125345</v>
      </c>
      <c r="V17" s="116">
        <f t="shared" si="4"/>
        <v>-28715.54242777238</v>
      </c>
      <c r="W17" s="116">
        <f t="shared" si="4"/>
        <v>1.061093728266665</v>
      </c>
      <c r="X17" s="116">
        <f t="shared" si="4"/>
        <v>0.54951146036347254</v>
      </c>
      <c r="Y17" s="116">
        <f t="shared" si="4"/>
        <v>0.38060414802727549</v>
      </c>
    </row>
    <row r="18" spans="2:25">
      <c r="B18" t="s">
        <v>134</v>
      </c>
      <c r="E18" s="116">
        <v>-3.794351918899351E-2</v>
      </c>
      <c r="F18" s="116">
        <v>-5.3858178200937842E-2</v>
      </c>
      <c r="G18" s="116">
        <v>-4.8391420911528073E-2</v>
      </c>
      <c r="H18" s="116">
        <v>-1.8336361020280873E-2</v>
      </c>
      <c r="I18" s="116">
        <v>4.7383116394346251E-4</v>
      </c>
      <c r="J18" s="116">
        <v>1.8651239182157005E-2</v>
      </c>
      <c r="K18" s="116">
        <v>3.5478633708019541E-2</v>
      </c>
      <c r="L18" s="116">
        <v>5.1710550939240769E-2</v>
      </c>
      <c r="O18" t="str">
        <f>O15&amp;"/"&amp;O$6</f>
        <v>Net Income/Revenue</v>
      </c>
      <c r="R18" s="116">
        <f t="shared" ref="R18:Y18" si="5">R15/R$6</f>
        <v>-3.794351918899351E-2</v>
      </c>
      <c r="S18" s="116">
        <f t="shared" si="5"/>
        <v>-5.3858178200937842E-2</v>
      </c>
      <c r="T18" s="116">
        <f t="shared" si="5"/>
        <v>-4.8391420911528073E-2</v>
      </c>
      <c r="U18" s="116">
        <f t="shared" si="5"/>
        <v>-1.3750789199800532E-6</v>
      </c>
      <c r="V18" s="116">
        <f t="shared" si="5"/>
        <v>3.6537576583963824E-2</v>
      </c>
      <c r="W18" s="116">
        <f t="shared" si="5"/>
        <v>6.9810984018438785E-2</v>
      </c>
      <c r="X18" s="116">
        <f t="shared" si="5"/>
        <v>0.1004428893266935</v>
      </c>
      <c r="Y18" s="116">
        <f t="shared" si="5"/>
        <v>0.12895813964504077</v>
      </c>
    </row>
    <row r="19" spans="2:25">
      <c r="R19" s="116"/>
      <c r="S19" s="116"/>
      <c r="T19" s="116"/>
      <c r="U19" s="116"/>
      <c r="V19" s="116"/>
      <c r="W19" s="116"/>
      <c r="X19" s="116"/>
      <c r="Y19" s="116"/>
    </row>
    <row r="20" spans="2:25">
      <c r="B20" s="83" t="s">
        <v>137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2:25" ht="13">
      <c r="B21" s="83"/>
      <c r="C21" s="83"/>
      <c r="D21" s="83"/>
      <c r="E21" s="117">
        <v>2022</v>
      </c>
      <c r="F21" s="117">
        <v>2023</v>
      </c>
      <c r="G21" s="117">
        <v>2024</v>
      </c>
      <c r="H21" s="118">
        <v>2025</v>
      </c>
      <c r="I21" s="118">
        <v>2026</v>
      </c>
      <c r="J21" s="118">
        <v>2027</v>
      </c>
      <c r="K21" s="118">
        <v>2028</v>
      </c>
      <c r="L21" s="118">
        <v>2029</v>
      </c>
    </row>
    <row r="23" spans="2:25" s="70" customFormat="1">
      <c r="B23" s="70" t="s">
        <v>58</v>
      </c>
      <c r="E23" s="119">
        <v>690.5</v>
      </c>
      <c r="F23" s="119">
        <v>703.7</v>
      </c>
      <c r="G23" s="119">
        <v>746</v>
      </c>
      <c r="H23" s="119">
        <v>768.83907692307685</v>
      </c>
      <c r="I23" s="119">
        <v>792.19547615384602</v>
      </c>
      <c r="J23" s="119">
        <v>816.07957856923065</v>
      </c>
      <c r="K23" s="119">
        <v>840.50196007494208</v>
      </c>
      <c r="L23" s="119">
        <v>865.47339512064684</v>
      </c>
    </row>
    <row r="25" spans="2:25">
      <c r="B25" t="s">
        <v>130</v>
      </c>
      <c r="F25" s="116">
        <v>1.9116582186821211E-2</v>
      </c>
      <c r="G25" s="116">
        <v>6.0110842688645659E-2</v>
      </c>
      <c r="H25" s="116">
        <v>3.0615384615384513E-2</v>
      </c>
      <c r="I25" s="116">
        <v>3.0378787878787804E-2</v>
      </c>
      <c r="J25" s="116">
        <v>3.014925373134331E-2</v>
      </c>
      <c r="K25" s="116">
        <v>2.9926470588235162E-2</v>
      </c>
      <c r="L25" s="116">
        <v>2.9710144927536191E-2</v>
      </c>
    </row>
    <row r="27" spans="2:25" s="70" customFormat="1">
      <c r="B27" s="70" t="s">
        <v>7</v>
      </c>
      <c r="E27" s="119">
        <v>194.2</v>
      </c>
      <c r="F27" s="119">
        <v>192.90000000000003</v>
      </c>
      <c r="G27" s="119">
        <v>194.50000000000006</v>
      </c>
      <c r="H27" s="119">
        <v>203.3687692307692</v>
      </c>
      <c r="I27" s="119">
        <v>208.30844230769219</v>
      </c>
      <c r="J27" s="119">
        <v>213.17973827692299</v>
      </c>
      <c r="K27" s="119">
        <v>217.97404328017285</v>
      </c>
      <c r="L27" s="119">
        <v>222.68232708953144</v>
      </c>
    </row>
    <row r="29" spans="2:25">
      <c r="B29" t="s">
        <v>130</v>
      </c>
      <c r="F29" s="116">
        <v>-6.6941297631305588E-3</v>
      </c>
      <c r="G29" s="116">
        <v>8.294453084499857E-3</v>
      </c>
      <c r="H29" s="116">
        <v>4.5597785248170403E-2</v>
      </c>
      <c r="I29" s="116">
        <v>2.428924114359849E-2</v>
      </c>
      <c r="J29" s="116">
        <v>2.3385014621900988E-2</v>
      </c>
      <c r="K29" s="116">
        <v>2.2489496619148681E-2</v>
      </c>
      <c r="L29" s="116">
        <v>2.160020403579338E-2</v>
      </c>
    </row>
    <row r="30" spans="2:25">
      <c r="B30" t="s">
        <v>133</v>
      </c>
      <c r="E30" s="116">
        <v>0.28124547429398983</v>
      </c>
      <c r="F30" s="116">
        <v>0.27412249538155464</v>
      </c>
      <c r="G30" s="116">
        <v>0.2607238605898124</v>
      </c>
      <c r="H30" s="116">
        <v>0.26451409057492076</v>
      </c>
      <c r="I30" s="116">
        <v>0.2629508102205298</v>
      </c>
      <c r="J30" s="116">
        <v>0.26122420395652418</v>
      </c>
      <c r="K30" s="116">
        <v>0.25933793570301433</v>
      </c>
      <c r="L30" s="116">
        <v>0.25729540427812869</v>
      </c>
    </row>
    <row r="32" spans="2:25" s="70" customFormat="1">
      <c r="B32" s="70" t="s">
        <v>14</v>
      </c>
      <c r="E32" s="119">
        <v>-26.200000000000017</v>
      </c>
      <c r="F32" s="119">
        <v>-37.899999999999963</v>
      </c>
      <c r="G32" s="119">
        <v>-36.099999999999945</v>
      </c>
      <c r="H32" s="119">
        <v>-28.736510714285753</v>
      </c>
      <c r="I32" s="119">
        <v>-30.434765860697251</v>
      </c>
      <c r="J32" s="119">
        <v>-32.139058486758458</v>
      </c>
      <c r="K32" s="119">
        <v>-35.346354886310444</v>
      </c>
      <c r="L32" s="119">
        <v>-38.346279073382661</v>
      </c>
    </row>
    <row r="34" spans="2:12">
      <c r="B34" t="s">
        <v>131</v>
      </c>
      <c r="F34" s="116">
        <v>0.44656488549618084</v>
      </c>
      <c r="G34" s="116">
        <v>-4.7493403693931929E-2</v>
      </c>
      <c r="H34" s="116">
        <v>-0.20397477245745713</v>
      </c>
      <c r="I34" s="116">
        <v>5.9097472316541402E-2</v>
      </c>
      <c r="J34" s="116">
        <v>5.5998217100204174E-2</v>
      </c>
      <c r="K34" s="116">
        <v>9.9794348389932355E-2</v>
      </c>
      <c r="L34" s="116">
        <v>8.4872236379714514E-2</v>
      </c>
    </row>
    <row r="35" spans="2:12">
      <c r="B35" t="s">
        <v>134</v>
      </c>
      <c r="E35" s="116">
        <v>-3.794351918899351E-2</v>
      </c>
      <c r="F35" s="116">
        <v>-5.3858178200937842E-2</v>
      </c>
      <c r="G35" s="116">
        <v>-4.8391420911528073E-2</v>
      </c>
      <c r="H35" s="116">
        <v>-3.7376496040355235E-2</v>
      </c>
      <c r="I35" s="116">
        <v>-3.8418252535926824E-2</v>
      </c>
      <c r="J35" s="116">
        <v>-3.9382260420123966E-2</v>
      </c>
      <c r="K35" s="116">
        <v>-4.2053863721101661E-2</v>
      </c>
      <c r="L35" s="116">
        <v>-4.4306710396380462E-2</v>
      </c>
    </row>
    <row r="37" spans="2:12">
      <c r="B37" s="83" t="s">
        <v>136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2:12" ht="13">
      <c r="B38" s="83"/>
      <c r="C38" s="83"/>
      <c r="D38" s="83"/>
      <c r="E38" s="117">
        <v>2022</v>
      </c>
      <c r="F38" s="117">
        <v>2023</v>
      </c>
      <c r="G38" s="117">
        <v>2024</v>
      </c>
      <c r="H38" s="118">
        <v>2025</v>
      </c>
      <c r="I38" s="118">
        <v>2026</v>
      </c>
      <c r="J38" s="118">
        <v>2027</v>
      </c>
      <c r="K38" s="118">
        <v>2028</v>
      </c>
      <c r="L38" s="118">
        <v>2029</v>
      </c>
    </row>
    <row r="40" spans="2:12" s="70" customFormat="1">
      <c r="B40" s="70" t="s">
        <v>58</v>
      </c>
      <c r="E40" s="119">
        <v>690.5</v>
      </c>
      <c r="F40" s="119">
        <v>703.7</v>
      </c>
      <c r="G40" s="119">
        <v>746</v>
      </c>
      <c r="H40" s="119">
        <v>807.74584615384606</v>
      </c>
      <c r="I40" s="119">
        <v>872.9000515384613</v>
      </c>
      <c r="J40" s="119">
        <v>941.62556263846125</v>
      </c>
      <c r="K40" s="119">
        <v>1014.0925569523265</v>
      </c>
      <c r="L40" s="119">
        <v>1090.4787495539304</v>
      </c>
    </row>
    <row r="42" spans="2:12">
      <c r="B42" t="s">
        <v>130</v>
      </c>
      <c r="F42" s="116">
        <v>1.9116582186821211E-2</v>
      </c>
      <c r="G42" s="116">
        <v>6.0110842688645659E-2</v>
      </c>
      <c r="H42" s="116">
        <v>8.2769230769230637E-2</v>
      </c>
      <c r="I42" s="116">
        <v>8.0661764705882183E-2</v>
      </c>
      <c r="J42" s="116">
        <v>7.8732394366197139E-2</v>
      </c>
      <c r="K42" s="116">
        <v>7.6959459459459353E-2</v>
      </c>
      <c r="L42" s="116">
        <v>7.5324675324675364E-2</v>
      </c>
    </row>
    <row r="44" spans="2:12" s="70" customFormat="1">
      <c r="B44" s="70" t="s">
        <v>7</v>
      </c>
      <c r="E44" s="119">
        <v>194.2</v>
      </c>
      <c r="F44" s="119">
        <v>192.90000000000003</v>
      </c>
      <c r="G44" s="119">
        <v>194.50000000000006</v>
      </c>
      <c r="H44" s="119">
        <v>247.5770769230769</v>
      </c>
      <c r="I44" s="119">
        <v>302.9393376923075</v>
      </c>
      <c r="J44" s="119">
        <v>361.73308216153816</v>
      </c>
      <c r="K44" s="119">
        <v>424.12667058340344</v>
      </c>
      <c r="L44" s="119">
        <v>490.29597842321493</v>
      </c>
    </row>
    <row r="46" spans="2:12">
      <c r="B46" t="s">
        <v>130</v>
      </c>
      <c r="F46" s="116">
        <v>-6.6941297631305588E-3</v>
      </c>
      <c r="G46" s="116">
        <v>8.294453084499857E-3</v>
      </c>
      <c r="H46" s="116">
        <v>0.27288985564563922</v>
      </c>
      <c r="I46" s="116">
        <v>0.22361626309382374</v>
      </c>
      <c r="J46" s="116">
        <v>0.19407761605706977</v>
      </c>
      <c r="K46" s="116">
        <v>0.17248515963492203</v>
      </c>
      <c r="L46" s="116">
        <v>0.15601307917937093</v>
      </c>
    </row>
    <row r="47" spans="2:12">
      <c r="B47" t="s">
        <v>133</v>
      </c>
      <c r="E47" s="116">
        <v>0.28124547429398983</v>
      </c>
      <c r="F47" s="116">
        <v>0.27412249538155464</v>
      </c>
      <c r="G47" s="116">
        <v>0.2607238605898124</v>
      </c>
      <c r="H47" s="116">
        <v>0.30650368318442894</v>
      </c>
      <c r="I47" s="116">
        <v>0.34704928377353811</v>
      </c>
      <c r="J47" s="116">
        <v>0.38415809480357765</v>
      </c>
      <c r="K47" s="116">
        <v>0.41823270240542948</v>
      </c>
      <c r="L47" s="116">
        <v>0.44961534429146344</v>
      </c>
    </row>
    <row r="49" spans="2:12" s="70" customFormat="1">
      <c r="B49" s="70" t="s">
        <v>14</v>
      </c>
      <c r="E49" s="119">
        <v>-26.200000000000017</v>
      </c>
      <c r="F49" s="119">
        <v>-37.899999999999963</v>
      </c>
      <c r="G49" s="119">
        <v>-36.099999999999945</v>
      </c>
      <c r="H49" s="119">
        <v>-1.1107142857476049E-3</v>
      </c>
      <c r="I49" s="119">
        <v>31.882742714285577</v>
      </c>
      <c r="J49" s="119">
        <v>65.506890904999793</v>
      </c>
      <c r="K49" s="119">
        <v>101.47093766492651</v>
      </c>
      <c r="L49" s="119">
        <v>139.88920204651831</v>
      </c>
    </row>
    <row r="51" spans="2:12">
      <c r="B51" t="s">
        <v>131</v>
      </c>
      <c r="E51" s="116"/>
      <c r="F51" s="116">
        <v>0.44656488549618084</v>
      </c>
      <c r="G51" s="116">
        <v>-4.7493403693931929E-2</v>
      </c>
      <c r="H51" s="116">
        <v>-0.99996923229125345</v>
      </c>
      <c r="I51" s="116">
        <v>-28705.720127756154</v>
      </c>
      <c r="J51" s="116">
        <v>1.0546190612280157</v>
      </c>
      <c r="K51" s="116">
        <v>0.54901165759924309</v>
      </c>
      <c r="L51" s="116">
        <v>0.37861347559884717</v>
      </c>
    </row>
    <row r="52" spans="2:12">
      <c r="B52" t="s">
        <v>134</v>
      </c>
      <c r="E52" s="116">
        <v>-3.794351918899351E-2</v>
      </c>
      <c r="F52" s="116">
        <v>-5.3858178200937842E-2</v>
      </c>
      <c r="G52" s="116">
        <v>-4.8391420911528073E-2</v>
      </c>
      <c r="H52" s="116">
        <v>-1.3750789199800532E-6</v>
      </c>
      <c r="I52" s="116">
        <v>3.6525078281405936E-2</v>
      </c>
      <c r="J52" s="116">
        <v>6.9567876557479646E-2</v>
      </c>
      <c r="K52" s="116">
        <v>0.10006082479283669</v>
      </c>
      <c r="L52" s="116">
        <v>0.12828237331882092</v>
      </c>
    </row>
  </sheetData>
  <printOptions horizontalCentered="1"/>
  <pageMargins left="0.11811023622047245" right="0.11811023622047245" top="0.11811023622047245" bottom="0.19685039370078741" header="0.11811023622047245" footer="0.11811023622047245"/>
  <pageSetup paperSize="9" scale="85" orientation="landscape" r:id="rId1"/>
  <headerFooter>
    <oddFooter>&amp;LC:\Users\caspe\OneDrive\Desktop\&amp;F&amp;Cpage &amp;P of &amp;N&amp;R&amp;D&amp;T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showGridLines="0" zoomScale="85" zoomScaleNormal="85" workbookViewId="0">
      <selection activeCell="N65" sqref="N65"/>
    </sheetView>
  </sheetViews>
  <sheetFormatPr defaultRowHeight="12.5"/>
  <sheetData>
    <row r="2" spans="2:14">
      <c r="B2" t="s">
        <v>71</v>
      </c>
      <c r="C2">
        <v>3</v>
      </c>
    </row>
    <row r="5" spans="2:14" ht="13">
      <c r="G5" s="8">
        <v>2022</v>
      </c>
      <c r="H5" s="8">
        <f>G5+1</f>
        <v>2023</v>
      </c>
      <c r="I5" s="8">
        <f>H5+1</f>
        <v>2024</v>
      </c>
      <c r="J5" s="69">
        <f>I5+1</f>
        <v>2025</v>
      </c>
      <c r="K5" s="69">
        <f t="shared" ref="K5:N5" si="0">J5+1</f>
        <v>2026</v>
      </c>
      <c r="L5" s="69">
        <f t="shared" si="0"/>
        <v>2027</v>
      </c>
      <c r="M5" s="69">
        <f t="shared" si="0"/>
        <v>2028</v>
      </c>
      <c r="N5" s="69">
        <f t="shared" si="0"/>
        <v>2029</v>
      </c>
    </row>
    <row r="7" spans="2:14" s="70" customFormat="1">
      <c r="C7" s="70" t="s">
        <v>70</v>
      </c>
      <c r="I7" s="74">
        <f>CHOOSE($C$2,I9,I10,I11)</f>
        <v>1</v>
      </c>
      <c r="J7" s="74">
        <f>CHOOSE($C$2,J9,J10,J11)</f>
        <v>1</v>
      </c>
      <c r="K7" s="74">
        <f t="shared" ref="K7:N7" si="1">CHOOSE($C$2,K9,K10,K11)</f>
        <v>1</v>
      </c>
      <c r="L7" s="74">
        <f t="shared" si="1"/>
        <v>1</v>
      </c>
      <c r="M7" s="74">
        <f t="shared" si="1"/>
        <v>1</v>
      </c>
      <c r="N7" s="74">
        <f t="shared" si="1"/>
        <v>1</v>
      </c>
    </row>
    <row r="9" spans="2:14">
      <c r="C9" t="s">
        <v>74</v>
      </c>
      <c r="I9" s="73">
        <v>0.9</v>
      </c>
      <c r="J9" s="73">
        <v>0.9</v>
      </c>
      <c r="K9" s="73">
        <v>0.9</v>
      </c>
      <c r="L9" s="73">
        <v>0.9</v>
      </c>
      <c r="M9" s="73">
        <v>0.9</v>
      </c>
      <c r="N9" s="73">
        <v>0.9</v>
      </c>
    </row>
    <row r="10" spans="2:14">
      <c r="C10" t="s">
        <v>73</v>
      </c>
      <c r="I10" s="73">
        <v>0.8</v>
      </c>
      <c r="J10" s="73">
        <v>0.8</v>
      </c>
      <c r="K10" s="73">
        <v>0.8</v>
      </c>
      <c r="L10" s="73">
        <v>0.8</v>
      </c>
      <c r="M10" s="73">
        <v>0.8</v>
      </c>
      <c r="N10" s="73">
        <v>0.8</v>
      </c>
    </row>
    <row r="11" spans="2:14">
      <c r="C11" t="s">
        <v>72</v>
      </c>
      <c r="I11" s="73">
        <v>1</v>
      </c>
      <c r="J11" s="73">
        <v>1</v>
      </c>
      <c r="K11" s="73">
        <v>1</v>
      </c>
      <c r="L11" s="73">
        <v>1</v>
      </c>
      <c r="M11" s="73">
        <v>1</v>
      </c>
      <c r="N11" s="73">
        <v>1</v>
      </c>
    </row>
    <row r="13" spans="2:14" s="70" customFormat="1">
      <c r="C13" s="70" t="s">
        <v>75</v>
      </c>
      <c r="J13" s="74">
        <f>CHOOSE($C$2,J15,J16,J17)</f>
        <v>3.5000000000000003E-2</v>
      </c>
      <c r="K13" s="74">
        <f t="shared" ref="K13:N13" si="2">CHOOSE($C$2,K15,K16,K17)</f>
        <v>3.5000000000000003E-2</v>
      </c>
      <c r="L13" s="74">
        <f t="shared" si="2"/>
        <v>3.5000000000000003E-2</v>
      </c>
      <c r="M13" s="74">
        <f t="shared" si="2"/>
        <v>3.5000000000000003E-2</v>
      </c>
      <c r="N13" s="74">
        <f t="shared" si="2"/>
        <v>3.5000000000000003E-2</v>
      </c>
    </row>
    <row r="15" spans="2:14">
      <c r="C15" t="s">
        <v>74</v>
      </c>
      <c r="J15" s="75">
        <v>2.5000000000000001E-2</v>
      </c>
      <c r="K15" s="75">
        <v>2.5000000000000001E-2</v>
      </c>
      <c r="L15" s="75">
        <v>2.5000000000000001E-2</v>
      </c>
      <c r="M15" s="75">
        <v>2.5000000000000001E-2</v>
      </c>
      <c r="N15" s="75">
        <v>2.5000000000000001E-2</v>
      </c>
    </row>
    <row r="16" spans="2:14">
      <c r="C16" t="s">
        <v>73</v>
      </c>
      <c r="J16" s="75">
        <v>1.4999999999999999E-2</v>
      </c>
      <c r="K16" s="75">
        <v>1.4999999999999999E-2</v>
      </c>
      <c r="L16" s="75">
        <v>1.4999999999999999E-2</v>
      </c>
      <c r="M16" s="75">
        <v>1.4999999999999999E-2</v>
      </c>
      <c r="N16" s="75">
        <v>1.4999999999999999E-2</v>
      </c>
    </row>
    <row r="17" spans="3:14">
      <c r="C17" t="s">
        <v>72</v>
      </c>
      <c r="J17" s="75">
        <v>3.5000000000000003E-2</v>
      </c>
      <c r="K17" s="75">
        <v>3.5000000000000003E-2</v>
      </c>
      <c r="L17" s="75">
        <v>3.5000000000000003E-2</v>
      </c>
      <c r="M17" s="75">
        <v>3.5000000000000003E-2</v>
      </c>
      <c r="N17" s="75">
        <v>3.5000000000000003E-2</v>
      </c>
    </row>
    <row r="19" spans="3:14" s="70" customFormat="1">
      <c r="C19" s="70" t="s">
        <v>76</v>
      </c>
      <c r="J19" s="76">
        <f t="shared" ref="J19:N19" si="3">CHOOSE($C$2,J21,J22,J23)</f>
        <v>3</v>
      </c>
      <c r="K19" s="76">
        <f t="shared" si="3"/>
        <v>3</v>
      </c>
      <c r="L19" s="76">
        <f t="shared" si="3"/>
        <v>3</v>
      </c>
      <c r="M19" s="76">
        <f t="shared" si="3"/>
        <v>3</v>
      </c>
      <c r="N19" s="76">
        <f t="shared" si="3"/>
        <v>3</v>
      </c>
    </row>
    <row r="21" spans="3:14">
      <c r="C21" t="s">
        <v>74</v>
      </c>
      <c r="J21">
        <v>2</v>
      </c>
      <c r="K21">
        <v>2</v>
      </c>
      <c r="L21">
        <v>2</v>
      </c>
      <c r="M21">
        <v>2</v>
      </c>
      <c r="N21">
        <v>2</v>
      </c>
    </row>
    <row r="22" spans="3:14">
      <c r="C22" t="s">
        <v>73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3:14">
      <c r="C23" t="s">
        <v>72</v>
      </c>
      <c r="J23">
        <v>3</v>
      </c>
      <c r="K23">
        <v>3</v>
      </c>
      <c r="L23">
        <v>3</v>
      </c>
      <c r="M23">
        <v>3</v>
      </c>
      <c r="N23">
        <v>3</v>
      </c>
    </row>
    <row r="25" spans="3:14" s="70" customFormat="1">
      <c r="C25" s="70" t="s">
        <v>81</v>
      </c>
      <c r="J25" s="74">
        <f>CHOOSE($C$2,J27,J28,J29)</f>
        <v>0.01</v>
      </c>
      <c r="K25" s="74">
        <f t="shared" ref="K25:N25" si="4">CHOOSE($C$2,K27,K28,K29)</f>
        <v>0.01</v>
      </c>
      <c r="L25" s="74">
        <f t="shared" si="4"/>
        <v>0.01</v>
      </c>
      <c r="M25" s="74">
        <f t="shared" si="4"/>
        <v>0.01</v>
      </c>
      <c r="N25" s="74">
        <f t="shared" si="4"/>
        <v>0.01</v>
      </c>
    </row>
    <row r="27" spans="3:14">
      <c r="C27" t="s">
        <v>74</v>
      </c>
      <c r="J27" s="73">
        <v>0.02</v>
      </c>
      <c r="K27" s="73">
        <v>0.02</v>
      </c>
      <c r="L27" s="73">
        <v>0.02</v>
      </c>
      <c r="M27" s="73">
        <v>0.02</v>
      </c>
      <c r="N27" s="73">
        <v>0.02</v>
      </c>
    </row>
    <row r="28" spans="3:14">
      <c r="C28" t="s">
        <v>73</v>
      </c>
      <c r="J28" s="73">
        <v>0.03</v>
      </c>
      <c r="K28" s="73">
        <v>0.03</v>
      </c>
      <c r="L28" s="73">
        <v>0.03</v>
      </c>
      <c r="M28" s="73">
        <v>0.03</v>
      </c>
      <c r="N28" s="73">
        <v>0.03</v>
      </c>
    </row>
    <row r="29" spans="3:14">
      <c r="C29" t="s">
        <v>72</v>
      </c>
      <c r="J29" s="73">
        <v>0.01</v>
      </c>
      <c r="K29" s="73">
        <v>0.01</v>
      </c>
      <c r="L29" s="73">
        <v>0.01</v>
      </c>
      <c r="M29" s="73">
        <v>0.01</v>
      </c>
      <c r="N29" s="73">
        <v>0.01</v>
      </c>
    </row>
  </sheetData>
  <printOptions horizontalCentered="1"/>
  <pageMargins left="0.11811023622047245" right="0.11811023622047245" top="0.11811023622047245" bottom="0.19685039370078741" header="0.11811023622047245" footer="0.11811023622047245"/>
  <pageSetup paperSize="9" scale="85" orientation="landscape" r:id="rId1"/>
  <headerFooter>
    <oddFooter>&amp;LC:\Users\caspe\OneDrive\Desktop\&amp;F&amp;Cpage &amp;P of &amp;N&amp;R&amp;D&amp;T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603250</xdr:colOff>
                    <xdr:row>0</xdr:row>
                    <xdr:rowOff>76200</xdr:rowOff>
                  </from>
                  <to>
                    <xdr:col>3</xdr:col>
                    <xdr:colOff>298450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0"/>
  <sheetViews>
    <sheetView showGridLines="0" topLeftCell="A2" zoomScale="85" zoomScaleNormal="85" workbookViewId="0">
      <pane xSplit="5" ySplit="4" topLeftCell="F45" activePane="bottomRight" state="frozen"/>
      <selection activeCell="N35" sqref="N35"/>
      <selection pane="topRight" activeCell="N35" sqref="N35"/>
      <selection pane="bottomLeft" activeCell="N35" sqref="N35"/>
      <selection pane="bottomRight" activeCell="N65" sqref="N65"/>
    </sheetView>
  </sheetViews>
  <sheetFormatPr defaultRowHeight="12.5"/>
  <cols>
    <col min="7" max="7" width="10.08984375" bestFit="1" customWidth="1"/>
  </cols>
  <sheetData>
    <row r="3" spans="2:14" s="83" customFormat="1" ht="17.5">
      <c r="B3" s="82" t="s">
        <v>83</v>
      </c>
    </row>
    <row r="5" spans="2:14" ht="13">
      <c r="G5" s="8">
        <v>2022</v>
      </c>
      <c r="H5" s="8">
        <f>G5+1</f>
        <v>2023</v>
      </c>
      <c r="I5" s="8">
        <f>H5+1</f>
        <v>2024</v>
      </c>
      <c r="J5" s="69">
        <f>I5+1</f>
        <v>2025</v>
      </c>
      <c r="K5" s="69">
        <f t="shared" ref="K5:N5" si="0">J5+1</f>
        <v>2026</v>
      </c>
      <c r="L5" s="69">
        <f t="shared" si="0"/>
        <v>2027</v>
      </c>
      <c r="M5" s="69">
        <f t="shared" si="0"/>
        <v>2028</v>
      </c>
      <c r="N5" s="69">
        <f t="shared" si="0"/>
        <v>2029</v>
      </c>
    </row>
    <row r="7" spans="2:14">
      <c r="C7" t="s">
        <v>84</v>
      </c>
      <c r="J7">
        <v>125</v>
      </c>
      <c r="K7">
        <v>150</v>
      </c>
      <c r="L7">
        <v>150</v>
      </c>
      <c r="M7">
        <v>150</v>
      </c>
      <c r="N7">
        <v>150</v>
      </c>
    </row>
    <row r="8" spans="2:14">
      <c r="C8" t="s">
        <v>98</v>
      </c>
      <c r="J8">
        <v>40</v>
      </c>
      <c r="K8">
        <v>40</v>
      </c>
      <c r="L8">
        <v>40</v>
      </c>
      <c r="M8">
        <v>40</v>
      </c>
      <c r="N8">
        <v>40</v>
      </c>
    </row>
    <row r="9" spans="2:14" ht="13">
      <c r="C9" s="18" t="s">
        <v>57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ht="13">
      <c r="C10" s="107" t="s">
        <v>109</v>
      </c>
      <c r="D10" s="108"/>
      <c r="E10" s="108"/>
      <c r="F10" s="108"/>
      <c r="G10" s="108"/>
      <c r="H10" s="108"/>
      <c r="I10" s="108"/>
      <c r="J10" s="108">
        <v>0</v>
      </c>
      <c r="K10" s="108">
        <v>50</v>
      </c>
      <c r="L10" s="108">
        <v>0</v>
      </c>
      <c r="M10" s="108">
        <v>0</v>
      </c>
      <c r="N10" s="108">
        <v>0</v>
      </c>
    </row>
    <row r="11" spans="2:14">
      <c r="C11" s="108" t="s">
        <v>122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</row>
    <row r="12" spans="2:14">
      <c r="C12" t="s">
        <v>50</v>
      </c>
      <c r="J12">
        <v>-20</v>
      </c>
      <c r="K12">
        <v>-20</v>
      </c>
      <c r="L12">
        <v>-20</v>
      </c>
      <c r="M12">
        <v>-20</v>
      </c>
      <c r="N12">
        <v>-20</v>
      </c>
    </row>
    <row r="13" spans="2:14">
      <c r="C13" t="s">
        <v>51</v>
      </c>
      <c r="J13">
        <v>-40</v>
      </c>
      <c r="K13">
        <v>-40</v>
      </c>
      <c r="L13">
        <v>-40</v>
      </c>
      <c r="M13">
        <v>-40</v>
      </c>
      <c r="N13">
        <v>-40</v>
      </c>
    </row>
    <row r="15" spans="2:14">
      <c r="C15" s="70" t="s">
        <v>0</v>
      </c>
    </row>
    <row r="16" spans="2:14">
      <c r="C16" t="s">
        <v>7</v>
      </c>
      <c r="F16" t="s">
        <v>6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3:14">
      <c r="C17" t="s">
        <v>10</v>
      </c>
      <c r="F17" t="s">
        <v>6</v>
      </c>
      <c r="J17">
        <v>0</v>
      </c>
      <c r="K17">
        <v>0</v>
      </c>
      <c r="L17">
        <v>0</v>
      </c>
      <c r="M17">
        <v>0</v>
      </c>
      <c r="N17">
        <v>0</v>
      </c>
    </row>
    <row r="19" spans="3:14">
      <c r="C19" s="70" t="s">
        <v>15</v>
      </c>
    </row>
    <row r="20" spans="3:14">
      <c r="C20" t="s">
        <v>22</v>
      </c>
      <c r="F20" t="s">
        <v>21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3:14">
      <c r="C21" t="s">
        <v>25</v>
      </c>
      <c r="F21" t="s">
        <v>29</v>
      </c>
      <c r="J21">
        <v>0</v>
      </c>
      <c r="K21">
        <v>0</v>
      </c>
      <c r="L21">
        <v>0</v>
      </c>
      <c r="M21">
        <v>0</v>
      </c>
      <c r="N21">
        <v>0</v>
      </c>
    </row>
    <row r="23" spans="3:14">
      <c r="C23" s="70" t="s">
        <v>26</v>
      </c>
    </row>
    <row r="24" spans="3:14" ht="13">
      <c r="C24" s="18" t="s">
        <v>34</v>
      </c>
      <c r="F24" t="s">
        <v>32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3:14" ht="13">
      <c r="C25" s="18" t="s">
        <v>34</v>
      </c>
      <c r="F25" t="s">
        <v>33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3:14" ht="13">
      <c r="C26" s="18" t="s">
        <v>34</v>
      </c>
      <c r="F26" t="s">
        <v>29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3:14">
      <c r="C27" t="s">
        <v>40</v>
      </c>
      <c r="F27" t="s">
        <v>29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3:14">
      <c r="C28" t="s">
        <v>43</v>
      </c>
      <c r="F28" t="s">
        <v>29</v>
      </c>
      <c r="J28">
        <v>0</v>
      </c>
      <c r="K28">
        <v>0</v>
      </c>
      <c r="L28">
        <v>0</v>
      </c>
      <c r="M28">
        <v>0</v>
      </c>
      <c r="N28">
        <v>0</v>
      </c>
    </row>
    <row r="31" spans="3:14">
      <c r="C31" t="s">
        <v>85</v>
      </c>
      <c r="G31" t="s">
        <v>86</v>
      </c>
      <c r="I31" s="70" t="s">
        <v>115</v>
      </c>
    </row>
    <row r="32" spans="3:14">
      <c r="C32" t="s">
        <v>87</v>
      </c>
      <c r="G32">
        <v>10</v>
      </c>
      <c r="I32" t="s">
        <v>116</v>
      </c>
      <c r="M32" s="75">
        <v>6.5000000000000002E-2</v>
      </c>
    </row>
    <row r="33" spans="2:14">
      <c r="C33" t="s">
        <v>88</v>
      </c>
      <c r="G33">
        <v>14</v>
      </c>
      <c r="I33" t="s">
        <v>117</v>
      </c>
      <c r="M33" s="75">
        <v>5.5E-2</v>
      </c>
    </row>
    <row r="34" spans="2:14">
      <c r="I34" t="s">
        <v>118</v>
      </c>
      <c r="M34" s="75">
        <v>7.4999999999999997E-3</v>
      </c>
    </row>
    <row r="35" spans="2:14">
      <c r="C35" t="s">
        <v>97</v>
      </c>
      <c r="G35" s="73">
        <v>0.35</v>
      </c>
      <c r="I35" t="s">
        <v>119</v>
      </c>
      <c r="M35" s="73">
        <v>0.03</v>
      </c>
    </row>
    <row r="36" spans="2:14">
      <c r="I36" t="s">
        <v>120</v>
      </c>
      <c r="M36" s="109">
        <v>225</v>
      </c>
    </row>
    <row r="37" spans="2:14">
      <c r="C37" t="s">
        <v>110</v>
      </c>
      <c r="G37" s="73">
        <v>0.08</v>
      </c>
      <c r="I37" t="s">
        <v>121</v>
      </c>
      <c r="M37" s="75">
        <f>M35+(M36/10000)</f>
        <v>5.2499999999999998E-2</v>
      </c>
    </row>
    <row r="38" spans="2:14">
      <c r="C38" t="s">
        <v>111</v>
      </c>
      <c r="G38" s="73">
        <v>0.2</v>
      </c>
    </row>
    <row r="40" spans="2:14" ht="17.5">
      <c r="B40" s="71" t="s">
        <v>102</v>
      </c>
    </row>
    <row r="42" spans="2:14" s="70" customFormat="1">
      <c r="C42" s="70" t="s">
        <v>103</v>
      </c>
      <c r="G42" s="76">
        <f t="shared" ref="G42:N42" si="1">DATE(G5,12,31)-DATE(G5-1,12,31)</f>
        <v>365</v>
      </c>
      <c r="H42" s="76">
        <f t="shared" si="1"/>
        <v>365</v>
      </c>
      <c r="I42" s="76">
        <f t="shared" si="1"/>
        <v>366</v>
      </c>
      <c r="J42" s="76">
        <f t="shared" si="1"/>
        <v>365</v>
      </c>
      <c r="K42" s="76">
        <f t="shared" si="1"/>
        <v>365</v>
      </c>
      <c r="L42" s="76">
        <f t="shared" si="1"/>
        <v>365</v>
      </c>
      <c r="M42" s="76">
        <f t="shared" si="1"/>
        <v>366</v>
      </c>
      <c r="N42" s="76">
        <f t="shared" si="1"/>
        <v>365</v>
      </c>
    </row>
    <row r="44" spans="2:14">
      <c r="B44" s="70" t="s">
        <v>107</v>
      </c>
    </row>
    <row r="46" spans="2:14">
      <c r="C46" t="s">
        <v>28</v>
      </c>
      <c r="G46" s="105">
        <f>(G60/G57)*G42</f>
        <v>17.70818247646633</v>
      </c>
      <c r="H46" s="105">
        <f>(H60/H57)*H42</f>
        <v>9.4919710103737387</v>
      </c>
      <c r="I46" s="105">
        <f>(I60/I57)*I42</f>
        <v>13.884450402144772</v>
      </c>
      <c r="J46" s="106">
        <v>14</v>
      </c>
      <c r="K46" s="106">
        <v>14</v>
      </c>
      <c r="L46" s="106">
        <v>14</v>
      </c>
      <c r="M46" s="106">
        <v>14</v>
      </c>
      <c r="N46" s="106">
        <v>14</v>
      </c>
    </row>
    <row r="47" spans="2:14">
      <c r="C47" t="s">
        <v>61</v>
      </c>
      <c r="G47" s="105">
        <f t="shared" ref="G47:I48" si="2">(G61/G$58)*G$42</f>
        <v>39.163892445582583</v>
      </c>
      <c r="H47" s="105">
        <f t="shared" si="2"/>
        <v>35.051216389244559</v>
      </c>
      <c r="I47" s="105">
        <f t="shared" si="2"/>
        <v>34.688059701492541</v>
      </c>
      <c r="J47" s="106">
        <v>35</v>
      </c>
      <c r="K47" s="106">
        <f>J47-2</f>
        <v>33</v>
      </c>
      <c r="L47" s="106">
        <f t="shared" ref="L47:N47" si="3">K47-2</f>
        <v>31</v>
      </c>
      <c r="M47" s="106">
        <f t="shared" si="3"/>
        <v>29</v>
      </c>
      <c r="N47" s="106">
        <f t="shared" si="3"/>
        <v>27</v>
      </c>
    </row>
    <row r="48" spans="2:14">
      <c r="C48" t="s">
        <v>29</v>
      </c>
      <c r="G48" s="105">
        <f t="shared" si="2"/>
        <v>0.28040973111395645</v>
      </c>
      <c r="H48" s="105">
        <f t="shared" si="2"/>
        <v>0.18693982074263768</v>
      </c>
      <c r="I48" s="105">
        <f t="shared" si="2"/>
        <v>0.36417910447761198</v>
      </c>
      <c r="J48" s="106">
        <v>0.4</v>
      </c>
      <c r="K48" s="106">
        <v>0.4</v>
      </c>
      <c r="L48" s="106">
        <v>0.4</v>
      </c>
      <c r="M48" s="106">
        <v>0.4</v>
      </c>
      <c r="N48" s="106">
        <v>0.4</v>
      </c>
    </row>
    <row r="49" spans="2:14">
      <c r="G49" s="105"/>
      <c r="H49" s="105"/>
      <c r="I49" s="105"/>
      <c r="J49" s="106"/>
      <c r="K49" s="106"/>
      <c r="L49" s="106"/>
      <c r="M49" s="106"/>
      <c r="N49" s="106"/>
    </row>
    <row r="50" spans="2:14">
      <c r="C50" t="s">
        <v>38</v>
      </c>
      <c r="G50" s="105">
        <f t="shared" ref="G50:I53" si="4">(G64/G$58)*G$42</f>
        <v>45.706786171574905</v>
      </c>
      <c r="H50" s="105">
        <f t="shared" si="4"/>
        <v>54.119078104993591</v>
      </c>
      <c r="I50" s="105">
        <f t="shared" si="4"/>
        <v>56.356716417910448</v>
      </c>
      <c r="J50" s="106">
        <v>56</v>
      </c>
      <c r="K50" s="106">
        <v>56</v>
      </c>
      <c r="L50" s="106">
        <v>56</v>
      </c>
      <c r="M50" s="106">
        <v>56</v>
      </c>
      <c r="N50" s="106">
        <v>56</v>
      </c>
    </row>
    <row r="51" spans="2:14">
      <c r="C51" t="s">
        <v>62</v>
      </c>
      <c r="G51" s="105">
        <f t="shared" si="4"/>
        <v>82.627400768245849</v>
      </c>
      <c r="H51" s="105">
        <f t="shared" si="4"/>
        <v>61.03585147247118</v>
      </c>
      <c r="I51" s="105">
        <f t="shared" si="4"/>
        <v>74.110447761194038</v>
      </c>
      <c r="J51" s="106">
        <v>74</v>
      </c>
      <c r="K51" s="106">
        <v>74</v>
      </c>
      <c r="L51" s="106">
        <v>74</v>
      </c>
      <c r="M51" s="106">
        <v>74</v>
      </c>
      <c r="N51" s="106">
        <v>74</v>
      </c>
    </row>
    <row r="52" spans="2:14">
      <c r="C52" t="s">
        <v>63</v>
      </c>
      <c r="G52" s="105">
        <f t="shared" si="4"/>
        <v>56.268886043533932</v>
      </c>
      <c r="H52" s="105">
        <f t="shared" si="4"/>
        <v>56.736235595390525</v>
      </c>
      <c r="I52" s="105">
        <f t="shared" si="4"/>
        <v>66.553731343283587</v>
      </c>
      <c r="J52" s="106">
        <v>66</v>
      </c>
      <c r="K52" s="106">
        <v>66</v>
      </c>
      <c r="L52" s="106">
        <v>66</v>
      </c>
      <c r="M52" s="106">
        <v>66</v>
      </c>
      <c r="N52" s="106">
        <v>66</v>
      </c>
    </row>
    <row r="53" spans="2:14">
      <c r="C53" t="s">
        <v>29</v>
      </c>
      <c r="G53" s="105">
        <f t="shared" si="4"/>
        <v>6.3559539052496792</v>
      </c>
      <c r="H53" s="105">
        <f t="shared" si="4"/>
        <v>6.6363636363636358</v>
      </c>
      <c r="I53" s="105">
        <f t="shared" si="4"/>
        <v>6.2820895522388058</v>
      </c>
      <c r="J53" s="106">
        <v>6</v>
      </c>
      <c r="K53" s="106">
        <v>6</v>
      </c>
      <c r="L53" s="106">
        <v>6</v>
      </c>
      <c r="M53" s="106">
        <v>6</v>
      </c>
      <c r="N53" s="106">
        <v>6</v>
      </c>
    </row>
    <row r="55" spans="2:14">
      <c r="B55" s="70" t="s">
        <v>104</v>
      </c>
    </row>
    <row r="57" spans="2:14">
      <c r="C57" t="str">
        <f>Model!C14</f>
        <v>Revenue</v>
      </c>
      <c r="G57" s="105">
        <f>Model!G14</f>
        <v>690.5</v>
      </c>
      <c r="H57" s="105">
        <f>Model!H14</f>
        <v>703.7</v>
      </c>
      <c r="I57" s="105">
        <f>Model!I14</f>
        <v>746</v>
      </c>
      <c r="J57" s="105">
        <f>Model!J14</f>
        <v>807.74584615384606</v>
      </c>
      <c r="K57" s="105">
        <f>Model!K14</f>
        <v>872.9000515384613</v>
      </c>
      <c r="L57" s="105">
        <f>Model!L14</f>
        <v>941.62556263846125</v>
      </c>
      <c r="M57" s="105">
        <f>Model!M14</f>
        <v>1014.0925569523265</v>
      </c>
      <c r="N57" s="105">
        <f>Model!N14</f>
        <v>1090.4787495539304</v>
      </c>
    </row>
    <row r="58" spans="2:14">
      <c r="C58" t="str">
        <f>Model!C16</f>
        <v>Operating Costs</v>
      </c>
      <c r="G58" s="105">
        <f>Model!G16</f>
        <v>390.5</v>
      </c>
      <c r="H58" s="105">
        <f>Model!H16</f>
        <v>390.5</v>
      </c>
      <c r="I58" s="105">
        <f>Model!I16</f>
        <v>402</v>
      </c>
      <c r="J58" s="105">
        <f>Model!J16</f>
        <v>410.16876923076921</v>
      </c>
      <c r="K58" s="105">
        <f>Model!K16</f>
        <v>418.46071384615379</v>
      </c>
      <c r="L58" s="105">
        <f>Model!L16</f>
        <v>426.87748047692304</v>
      </c>
      <c r="M58" s="105">
        <f>Model!M16</f>
        <v>435.42073636892303</v>
      </c>
      <c r="N58" s="105">
        <f>Model!N16</f>
        <v>444.09216963071538</v>
      </c>
    </row>
    <row r="60" spans="2:14">
      <c r="C60" t="str">
        <f>Model!C86</f>
        <v>Accounts Receivable</v>
      </c>
      <c r="G60">
        <f>Model!G86</f>
        <v>33.5</v>
      </c>
      <c r="H60">
        <f>Model!H86</f>
        <v>18.3</v>
      </c>
      <c r="I60">
        <f>Model!I86</f>
        <v>28.3</v>
      </c>
      <c r="J60" s="105">
        <f>(J46/J42)*J57</f>
        <v>30.982032455216014</v>
      </c>
      <c r="K60" s="105">
        <f>(K46/K42)*K57</f>
        <v>33.481097867228655</v>
      </c>
      <c r="L60" s="105">
        <f>(L46/L42)*L57</f>
        <v>36.117144868324544</v>
      </c>
      <c r="M60" s="105">
        <f>(M46/M42)*M57</f>
        <v>38.790425675772056</v>
      </c>
      <c r="N60" s="105">
        <f>(N46/N42)*N57</f>
        <v>41.826582174671302</v>
      </c>
    </row>
    <row r="61" spans="2:14">
      <c r="C61" t="str">
        <f>Model!C87</f>
        <v>Prepaid Expenses</v>
      </c>
      <c r="G61">
        <f>Model!G87</f>
        <v>41.9</v>
      </c>
      <c r="H61">
        <f>Model!H87</f>
        <v>37.5</v>
      </c>
      <c r="I61">
        <f>Model!I87</f>
        <v>38.1</v>
      </c>
      <c r="J61" s="105">
        <f t="shared" ref="J61:N62" si="5">(J47/J$42)*J$58</f>
        <v>39.331251844046363</v>
      </c>
      <c r="K61" s="105">
        <f t="shared" si="5"/>
        <v>37.833434402528972</v>
      </c>
      <c r="L61" s="105">
        <f t="shared" si="5"/>
        <v>36.255347656944146</v>
      </c>
      <c r="M61" s="105">
        <f t="shared" si="5"/>
        <v>34.500550149450184</v>
      </c>
      <c r="N61" s="105">
        <f t="shared" si="5"/>
        <v>32.850653643915933</v>
      </c>
    </row>
    <row r="62" spans="2:14">
      <c r="C62" t="str">
        <f>Model!C88</f>
        <v>Other</v>
      </c>
      <c r="G62">
        <f>Model!G88</f>
        <v>0.3</v>
      </c>
      <c r="H62">
        <f>Model!H88</f>
        <v>0.2</v>
      </c>
      <c r="I62">
        <f>Model!I88</f>
        <v>0.4</v>
      </c>
      <c r="J62" s="105">
        <f t="shared" si="5"/>
        <v>0.44950002107481563</v>
      </c>
      <c r="K62" s="105">
        <f t="shared" si="5"/>
        <v>0.45858708366701789</v>
      </c>
      <c r="L62" s="105">
        <f t="shared" si="5"/>
        <v>0.4678109375089568</v>
      </c>
      <c r="M62" s="105">
        <f t="shared" si="5"/>
        <v>0.47586965723379565</v>
      </c>
      <c r="N62" s="105">
        <f t="shared" si="5"/>
        <v>0.48667635028023609</v>
      </c>
    </row>
    <row r="63" spans="2:14">
      <c r="J63" s="105"/>
      <c r="K63" s="105"/>
      <c r="L63" s="105"/>
      <c r="M63" s="105"/>
      <c r="N63" s="105"/>
    </row>
    <row r="64" spans="2:14">
      <c r="C64" t="str">
        <f>Model!C102</f>
        <v>Accounts Payable</v>
      </c>
      <c r="G64">
        <f>Model!G102</f>
        <v>48.9</v>
      </c>
      <c r="H64">
        <f>Model!H102</f>
        <v>57.9</v>
      </c>
      <c r="I64">
        <f>Model!I102</f>
        <v>61.9</v>
      </c>
      <c r="J64" s="105">
        <f t="shared" ref="J64:N67" si="6">(J50/J$42)*J$58</f>
        <v>62.930002950474183</v>
      </c>
      <c r="K64" s="105">
        <f t="shared" si="6"/>
        <v>64.202191713382504</v>
      </c>
      <c r="L64" s="105">
        <f t="shared" si="6"/>
        <v>65.493531251253955</v>
      </c>
      <c r="M64" s="105">
        <f t="shared" si="6"/>
        <v>66.621752012731392</v>
      </c>
      <c r="N64" s="105">
        <f t="shared" si="6"/>
        <v>68.134689039233052</v>
      </c>
    </row>
    <row r="65" spans="2:14">
      <c r="C65" t="str">
        <f>Model!C103</f>
        <v>Accrued Expenses</v>
      </c>
      <c r="G65">
        <f>Model!G103</f>
        <v>88.4</v>
      </c>
      <c r="H65">
        <f>Model!H103</f>
        <v>65.3</v>
      </c>
      <c r="I65">
        <f>Model!I103</f>
        <v>81.400000000000006</v>
      </c>
      <c r="J65" s="105">
        <f t="shared" si="6"/>
        <v>83.157503898840886</v>
      </c>
      <c r="K65" s="105">
        <f t="shared" si="6"/>
        <v>84.838610478398309</v>
      </c>
      <c r="L65" s="105">
        <f t="shared" si="6"/>
        <v>86.545023439157006</v>
      </c>
      <c r="M65" s="105">
        <f t="shared" si="6"/>
        <v>88.035886588252197</v>
      </c>
      <c r="N65" s="105">
        <f t="shared" si="6"/>
        <v>90.035124801843665</v>
      </c>
    </row>
    <row r="66" spans="2:14">
      <c r="C66" t="str">
        <f>Model!C104</f>
        <v>Deferred Revenue</v>
      </c>
      <c r="G66">
        <f>Model!G104</f>
        <v>60.2</v>
      </c>
      <c r="H66">
        <f>Model!H104</f>
        <v>60.7</v>
      </c>
      <c r="I66">
        <f>Model!I104</f>
        <v>73.099999999999994</v>
      </c>
      <c r="J66" s="105">
        <f t="shared" si="6"/>
        <v>74.167503477344567</v>
      </c>
      <c r="K66" s="105">
        <f t="shared" si="6"/>
        <v>75.666868805057945</v>
      </c>
      <c r="L66" s="105">
        <f t="shared" si="6"/>
        <v>77.188804688977868</v>
      </c>
      <c r="M66" s="105">
        <f t="shared" si="6"/>
        <v>78.51849344357629</v>
      </c>
      <c r="N66" s="105">
        <f t="shared" si="6"/>
        <v>80.301597796238951</v>
      </c>
    </row>
    <row r="67" spans="2:14">
      <c r="C67" t="str">
        <f>Model!C105</f>
        <v>Other</v>
      </c>
      <c r="G67">
        <f>Model!G105</f>
        <v>6.8</v>
      </c>
      <c r="H67">
        <f>Model!H105</f>
        <v>7.1</v>
      </c>
      <c r="I67">
        <f>Model!I105</f>
        <v>6.9</v>
      </c>
      <c r="J67" s="105">
        <f t="shared" si="6"/>
        <v>6.742500316122233</v>
      </c>
      <c r="K67" s="105">
        <f t="shared" si="6"/>
        <v>6.8788062550052675</v>
      </c>
      <c r="L67" s="105">
        <f t="shared" si="6"/>
        <v>7.0171640626343503</v>
      </c>
      <c r="M67" s="105">
        <f t="shared" si="6"/>
        <v>7.1380448585069356</v>
      </c>
      <c r="N67" s="105">
        <f t="shared" si="6"/>
        <v>7.3001452542035397</v>
      </c>
    </row>
    <row r="69" spans="2:14">
      <c r="B69" s="70"/>
      <c r="C69" s="70" t="s">
        <v>105</v>
      </c>
      <c r="D69" s="70"/>
      <c r="E69" s="70"/>
      <c r="F69" s="70"/>
      <c r="G69" s="70">
        <f>SUM(G60:G62)-SUM(G64:G67)</f>
        <v>-128.60000000000002</v>
      </c>
      <c r="H69" s="70">
        <f t="shared" ref="H69:N69" si="7">SUM(H60:H62)-SUM(H64:H67)</f>
        <v>-134.99999999999997</v>
      </c>
      <c r="I69" s="70">
        <f t="shared" si="7"/>
        <v>-156.5</v>
      </c>
      <c r="J69" s="70">
        <f t="shared" si="7"/>
        <v>-156.23472632244471</v>
      </c>
      <c r="K69" s="70">
        <f t="shared" si="7"/>
        <v>-159.81335789841938</v>
      </c>
      <c r="L69" s="70">
        <f t="shared" si="7"/>
        <v>-163.40421997924551</v>
      </c>
      <c r="M69" s="70">
        <f t="shared" si="7"/>
        <v>-166.54733142061079</v>
      </c>
      <c r="N69" s="70">
        <f t="shared" si="7"/>
        <v>-170.60764472265174</v>
      </c>
    </row>
    <row r="70" spans="2:14">
      <c r="B70" s="70"/>
      <c r="C70" s="70" t="s">
        <v>106</v>
      </c>
      <c r="D70" s="70"/>
      <c r="E70" s="70"/>
      <c r="F70" s="70"/>
      <c r="G70" s="70"/>
      <c r="H70" s="70">
        <f t="shared" ref="H70:N70" si="8">G69-H69</f>
        <v>6.3999999999999488</v>
      </c>
      <c r="I70" s="70">
        <f t="shared" si="8"/>
        <v>21.500000000000028</v>
      </c>
      <c r="J70" s="70">
        <f t="shared" si="8"/>
        <v>-0.2652736775552853</v>
      </c>
      <c r="K70" s="70">
        <f t="shared" si="8"/>
        <v>3.5786315759746685</v>
      </c>
      <c r="L70" s="70">
        <f t="shared" si="8"/>
        <v>3.5908620808261276</v>
      </c>
      <c r="M70" s="70">
        <f t="shared" si="8"/>
        <v>3.1431114413652779</v>
      </c>
      <c r="N70" s="70">
        <f t="shared" si="8"/>
        <v>4.060313302040953</v>
      </c>
    </row>
  </sheetData>
  <printOptions horizontalCentered="1"/>
  <pageMargins left="0.11811023622047245" right="0.11811023622047245" top="0.11811023622047245" bottom="0.19685039370078741" header="0.11811023622047245" footer="0.11811023622047245"/>
  <pageSetup paperSize="9" scale="85" orientation="landscape" r:id="rId1"/>
  <headerFooter>
    <oddFooter>&amp;LC:\Users\caspe\OneDrive\Desktop\&amp;F&amp;Cpage &amp;P of &amp;N&amp;R&amp;D&amp;T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231"/>
  <sheetViews>
    <sheetView showGridLines="0" zoomScale="85" zoomScaleNormal="85" zoomScaleSheetLayoutView="90" workbookViewId="0">
      <pane xSplit="5" ySplit="3" topLeftCell="F174" activePane="bottomRight" state="frozen"/>
      <selection pane="topRight" activeCell="F1" sqref="F1"/>
      <selection pane="bottomLeft" activeCell="A4" sqref="A4"/>
      <selection pane="bottomRight" activeCell="N193" sqref="N193"/>
    </sheetView>
  </sheetViews>
  <sheetFormatPr defaultColWidth="9.2265625" defaultRowHeight="13"/>
  <cols>
    <col min="1" max="1" width="2.54296875" style="2" customWidth="1"/>
    <col min="2" max="2" width="1.76953125" style="2" customWidth="1"/>
    <col min="3" max="3" width="2.2265625" style="2" customWidth="1"/>
    <col min="4" max="4" width="32.76953125" style="2" customWidth="1"/>
    <col min="5" max="5" width="12.76953125" style="2" customWidth="1"/>
    <col min="6" max="6" width="1.76953125" style="2" customWidth="1"/>
    <col min="7" max="9" width="12.76953125" style="2" customWidth="1"/>
    <col min="10" max="10" width="17.2265625" style="2" bestFit="1" customWidth="1"/>
    <col min="11" max="16384" width="9.2265625" style="2"/>
  </cols>
  <sheetData>
    <row r="2" spans="2:14" ht="23">
      <c r="B2" s="67" t="str">
        <f>Cover!B6</f>
        <v>SecureIT Data Centres LLC</v>
      </c>
      <c r="C2" s="1"/>
      <c r="D2" s="1"/>
      <c r="E2" s="1"/>
      <c r="F2" s="1"/>
      <c r="G2" s="1"/>
      <c r="H2" s="1"/>
      <c r="I2" s="1"/>
    </row>
    <row r="3" spans="2:14" ht="23">
      <c r="B3" s="67"/>
      <c r="C3" s="1"/>
      <c r="D3" s="1"/>
      <c r="E3" s="1"/>
      <c r="F3" s="1"/>
      <c r="G3" s="8">
        <v>2022</v>
      </c>
      <c r="H3" s="8">
        <f>G3+1</f>
        <v>2023</v>
      </c>
      <c r="I3" s="8">
        <f>H3+1</f>
        <v>2024</v>
      </c>
      <c r="J3" s="69">
        <f>I3+1</f>
        <v>2025</v>
      </c>
      <c r="K3" s="69">
        <f t="shared" ref="K3:N3" si="0">J3+1</f>
        <v>2026</v>
      </c>
      <c r="L3" s="69">
        <f t="shared" si="0"/>
        <v>2027</v>
      </c>
      <c r="M3" s="69">
        <f t="shared" si="0"/>
        <v>2028</v>
      </c>
      <c r="N3" s="69">
        <f t="shared" si="0"/>
        <v>2029</v>
      </c>
    </row>
    <row r="4" spans="2:14" ht="23">
      <c r="B4" s="67"/>
      <c r="C4" s="1"/>
      <c r="D4" s="1"/>
      <c r="E4" s="1"/>
      <c r="F4" s="1"/>
      <c r="G4" s="1"/>
      <c r="H4" s="1"/>
      <c r="I4" s="1"/>
    </row>
    <row r="5" spans="2:14" ht="19.5" customHeight="1">
      <c r="B5" s="68" t="s">
        <v>0</v>
      </c>
      <c r="C5" s="3"/>
      <c r="D5" s="3"/>
      <c r="E5" s="3"/>
      <c r="F5" s="3"/>
      <c r="G5" s="3"/>
      <c r="H5" s="3"/>
      <c r="I5" s="3"/>
    </row>
    <row r="6" spans="2:14" ht="6" customHeight="1" thickBo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>
      <c r="B7" s="5" t="s">
        <v>56</v>
      </c>
    </row>
    <row r="8" spans="2:14">
      <c r="F8" s="6"/>
    </row>
    <row r="9" spans="2:14" ht="13.2" customHeight="1">
      <c r="F9" s="7"/>
      <c r="G9" s="7"/>
      <c r="H9" s="7"/>
      <c r="I9" s="7"/>
      <c r="J9" s="7"/>
      <c r="K9" s="7"/>
      <c r="L9" s="7"/>
      <c r="M9" s="7"/>
      <c r="N9" s="7"/>
    </row>
    <row r="10" spans="2:14">
      <c r="B10" s="51" t="s">
        <v>1</v>
      </c>
      <c r="C10" s="52"/>
      <c r="D10" s="52"/>
      <c r="E10" s="52"/>
      <c r="F10" s="53"/>
      <c r="G10" s="53"/>
      <c r="H10" s="54">
        <f>H14/G14-1</f>
        <v>1.9116582186821107E-2</v>
      </c>
      <c r="I10" s="54">
        <f>I14/H14-1</f>
        <v>6.0110842688645638E-2</v>
      </c>
      <c r="J10" s="54">
        <f t="shared" ref="J10:N10" si="1">J14/I14-1</f>
        <v>8.2769230769230706E-2</v>
      </c>
      <c r="K10" s="54">
        <f t="shared" si="1"/>
        <v>8.0661764705882266E-2</v>
      </c>
      <c r="L10" s="54">
        <f t="shared" si="1"/>
        <v>7.8732394366197056E-2</v>
      </c>
      <c r="M10" s="54">
        <f t="shared" si="1"/>
        <v>7.6959459459459367E-2</v>
      </c>
      <c r="N10" s="55">
        <f t="shared" si="1"/>
        <v>7.5324675324675461E-2</v>
      </c>
    </row>
    <row r="11" spans="2:14">
      <c r="B11" s="56" t="s">
        <v>2</v>
      </c>
      <c r="C11" s="57"/>
      <c r="D11" s="57"/>
      <c r="E11" s="57"/>
      <c r="F11" s="58"/>
      <c r="G11" s="59">
        <f>G16/G$14</f>
        <v>0.56553222302679218</v>
      </c>
      <c r="H11" s="59">
        <f>H16/H$14</f>
        <v>0.55492397328406984</v>
      </c>
      <c r="I11" s="59">
        <f>I16/I$14</f>
        <v>0.53887399463806973</v>
      </c>
      <c r="J11" s="59">
        <f t="shared" ref="J11:N11" si="2">J16/J$14</f>
        <v>0.50779434048943051</v>
      </c>
      <c r="K11" s="59">
        <f t="shared" si="2"/>
        <v>0.47939132677175217</v>
      </c>
      <c r="L11" s="59">
        <f t="shared" si="2"/>
        <v>0.45334100667445809</v>
      </c>
      <c r="M11" s="59">
        <f t="shared" si="2"/>
        <v>0.4293698177585506</v>
      </c>
      <c r="N11" s="60">
        <f t="shared" si="2"/>
        <v>0.40724513871762752</v>
      </c>
    </row>
    <row r="12" spans="2:14">
      <c r="B12" s="61" t="s">
        <v>3</v>
      </c>
      <c r="C12" s="62"/>
      <c r="D12" s="62"/>
      <c r="E12" s="62"/>
      <c r="F12" s="63"/>
      <c r="G12" s="64">
        <f>G17/G$14</f>
        <v>0.16727009413468502</v>
      </c>
      <c r="H12" s="64">
        <f t="shared" ref="H12:I12" si="3">H17/H$14</f>
        <v>0.16029558050305526</v>
      </c>
      <c r="I12" s="64">
        <f t="shared" si="3"/>
        <v>0.19343163538873998</v>
      </c>
      <c r="J12" s="64">
        <f t="shared" ref="J12:N12" si="4">J17/J$14</f>
        <v>0.18570197632614069</v>
      </c>
      <c r="K12" s="64">
        <f t="shared" si="4"/>
        <v>0.17355938945470972</v>
      </c>
      <c r="L12" s="64">
        <f t="shared" si="4"/>
        <v>0.16250089852196417</v>
      </c>
      <c r="M12" s="64">
        <f t="shared" si="4"/>
        <v>0.15239747983601987</v>
      </c>
      <c r="N12" s="65">
        <f t="shared" si="4"/>
        <v>0.14313951699090902</v>
      </c>
    </row>
    <row r="13" spans="2:14" ht="13.2" customHeight="1">
      <c r="B13" s="9"/>
      <c r="F13" s="7"/>
      <c r="G13" s="7"/>
      <c r="H13" s="7"/>
      <c r="I13" s="7"/>
    </row>
    <row r="14" spans="2:14">
      <c r="C14" s="9" t="s">
        <v>58</v>
      </c>
      <c r="D14" s="9"/>
      <c r="E14" s="9"/>
      <c r="F14" s="7"/>
      <c r="G14" s="66">
        <v>690.5</v>
      </c>
      <c r="H14" s="66">
        <v>703.7</v>
      </c>
      <c r="I14" s="66">
        <v>746</v>
      </c>
      <c r="J14" s="77">
        <f>J130</f>
        <v>807.74584615384606</v>
      </c>
      <c r="K14" s="77">
        <f t="shared" ref="K14:N14" si="5">K130</f>
        <v>872.9000515384613</v>
      </c>
      <c r="L14" s="77">
        <f t="shared" si="5"/>
        <v>941.62556263846125</v>
      </c>
      <c r="M14" s="77">
        <f t="shared" si="5"/>
        <v>1014.0925569523265</v>
      </c>
      <c r="N14" s="77">
        <f t="shared" si="5"/>
        <v>1090.4787495539304</v>
      </c>
    </row>
    <row r="15" spans="2:14" ht="13.2" customHeight="1">
      <c r="F15" s="7"/>
      <c r="G15" s="7"/>
      <c r="H15" s="7"/>
      <c r="I15" s="7"/>
    </row>
    <row r="16" spans="2:14">
      <c r="C16" s="2" t="s">
        <v>59</v>
      </c>
      <c r="F16" s="7"/>
      <c r="G16" s="10">
        <v>390.5</v>
      </c>
      <c r="H16" s="10">
        <v>390.5</v>
      </c>
      <c r="I16" s="10">
        <v>402</v>
      </c>
      <c r="J16" s="77">
        <f>J136</f>
        <v>410.16876923076921</v>
      </c>
      <c r="K16" s="77">
        <f t="shared" ref="K16:N16" si="6">K136</f>
        <v>418.46071384615379</v>
      </c>
      <c r="L16" s="77">
        <f t="shared" si="6"/>
        <v>426.87748047692304</v>
      </c>
      <c r="M16" s="77">
        <f t="shared" si="6"/>
        <v>435.42073636892303</v>
      </c>
      <c r="N16" s="77">
        <f t="shared" si="6"/>
        <v>444.09216963071538</v>
      </c>
    </row>
    <row r="17" spans="2:14">
      <c r="C17" s="11" t="s">
        <v>4</v>
      </c>
      <c r="F17" s="7"/>
      <c r="G17" s="12">
        <v>115.5</v>
      </c>
      <c r="H17" s="12">
        <v>112.8</v>
      </c>
      <c r="I17" s="80">
        <v>144.30000000000001</v>
      </c>
      <c r="J17" s="77">
        <f>J141</f>
        <v>150</v>
      </c>
      <c r="K17" s="77">
        <f t="shared" ref="K17:N17" si="7">K141</f>
        <v>151.5</v>
      </c>
      <c r="L17" s="77">
        <f t="shared" si="7"/>
        <v>153.01500000000001</v>
      </c>
      <c r="M17" s="77">
        <f t="shared" si="7"/>
        <v>154.54515000000001</v>
      </c>
      <c r="N17" s="77">
        <f t="shared" si="7"/>
        <v>156.09060150000002</v>
      </c>
    </row>
    <row r="18" spans="2:14">
      <c r="C18" s="13" t="s">
        <v>5</v>
      </c>
      <c r="F18" s="7"/>
      <c r="G18" s="14">
        <f t="shared" ref="G18:N18" si="8">SUM(G16:G17)</f>
        <v>506</v>
      </c>
      <c r="H18" s="14">
        <f t="shared" si="8"/>
        <v>503.3</v>
      </c>
      <c r="I18" s="81">
        <f t="shared" si="8"/>
        <v>546.29999999999995</v>
      </c>
      <c r="J18" s="81">
        <f>SUM(J16:J17)</f>
        <v>560.16876923076916</v>
      </c>
      <c r="K18" s="81">
        <f t="shared" si="8"/>
        <v>569.96071384615379</v>
      </c>
      <c r="L18" s="81">
        <f t="shared" si="8"/>
        <v>579.89248047692308</v>
      </c>
      <c r="M18" s="81">
        <f t="shared" si="8"/>
        <v>589.96588636892307</v>
      </c>
      <c r="N18" s="81">
        <f t="shared" si="8"/>
        <v>600.18277113071542</v>
      </c>
    </row>
    <row r="19" spans="2:14">
      <c r="C19" s="13"/>
      <c r="F19" s="7"/>
      <c r="G19" s="7"/>
      <c r="H19" s="7"/>
      <c r="I19" s="7"/>
    </row>
    <row r="20" spans="2:14">
      <c r="C20" s="2" t="s">
        <v>6</v>
      </c>
      <c r="F20" s="7"/>
      <c r="G20" s="12">
        <v>9.6999999999999993</v>
      </c>
      <c r="H20" s="12">
        <v>-7.5</v>
      </c>
      <c r="I20" s="12">
        <v>-5.2</v>
      </c>
      <c r="J20" s="2">
        <f>Assumptions!J16</f>
        <v>0</v>
      </c>
      <c r="K20" s="2">
        <f>Assumptions!K16</f>
        <v>0</v>
      </c>
      <c r="L20" s="2">
        <f>Assumptions!L16</f>
        <v>0</v>
      </c>
      <c r="M20" s="2">
        <f>Assumptions!M16</f>
        <v>0</v>
      </c>
      <c r="N20" s="2">
        <f>Assumptions!N16</f>
        <v>0</v>
      </c>
    </row>
    <row r="21" spans="2:14">
      <c r="B21" s="9"/>
      <c r="C21" s="9" t="s">
        <v>7</v>
      </c>
      <c r="G21" s="15">
        <f t="shared" ref="G21:M21" si="9">G14-G18+G20</f>
        <v>194.2</v>
      </c>
      <c r="H21" s="15">
        <f t="shared" si="9"/>
        <v>192.90000000000003</v>
      </c>
      <c r="I21" s="15">
        <f t="shared" si="9"/>
        <v>194.50000000000006</v>
      </c>
      <c r="J21" s="86">
        <f>J14-J18+J20</f>
        <v>247.5770769230769</v>
      </c>
      <c r="K21" s="86">
        <f t="shared" si="9"/>
        <v>302.9393376923075</v>
      </c>
      <c r="L21" s="86">
        <f t="shared" si="9"/>
        <v>361.73308216153816</v>
      </c>
      <c r="M21" s="86">
        <f t="shared" si="9"/>
        <v>424.12667058340344</v>
      </c>
      <c r="N21" s="86">
        <f>N14-N18+N20</f>
        <v>490.29597842321493</v>
      </c>
    </row>
    <row r="23" spans="2:14">
      <c r="C23" s="2" t="s">
        <v>8</v>
      </c>
      <c r="G23" s="16">
        <v>131.80000000000001</v>
      </c>
      <c r="H23" s="16">
        <v>140.6</v>
      </c>
      <c r="I23" s="16">
        <v>144</v>
      </c>
      <c r="J23" s="77">
        <f>J166</f>
        <v>155.00428571428574</v>
      </c>
      <c r="K23" s="77">
        <f t="shared" ref="K23:N23" si="10">K166</f>
        <v>164.8257142857143</v>
      </c>
      <c r="L23" s="77">
        <f t="shared" si="10"/>
        <v>175.54000000000002</v>
      </c>
      <c r="M23" s="77">
        <f t="shared" si="10"/>
        <v>186.25428571428574</v>
      </c>
      <c r="N23" s="77">
        <f t="shared" si="10"/>
        <v>196.96857142857144</v>
      </c>
    </row>
    <row r="24" spans="2:14">
      <c r="C24" s="13" t="s">
        <v>9</v>
      </c>
      <c r="G24" s="15">
        <f t="shared" ref="G24:N24" si="11">G21-G23</f>
        <v>62.399999999999977</v>
      </c>
      <c r="H24" s="15">
        <f t="shared" si="11"/>
        <v>52.30000000000004</v>
      </c>
      <c r="I24" s="15">
        <f t="shared" si="11"/>
        <v>50.500000000000057</v>
      </c>
      <c r="J24" s="86">
        <f>J21-J23</f>
        <v>92.572791208791159</v>
      </c>
      <c r="K24" s="86">
        <f t="shared" si="11"/>
        <v>138.11362340659321</v>
      </c>
      <c r="L24" s="86">
        <f t="shared" si="11"/>
        <v>186.19308216153814</v>
      </c>
      <c r="M24" s="86">
        <f t="shared" si="11"/>
        <v>237.8723848691177</v>
      </c>
      <c r="N24" s="86">
        <f t="shared" si="11"/>
        <v>293.32740699464352</v>
      </c>
    </row>
    <row r="25" spans="2:14" ht="6" customHeight="1">
      <c r="C25" s="13"/>
    </row>
    <row r="26" spans="2:14" ht="12.75" customHeight="1">
      <c r="C26" s="2" t="s">
        <v>6</v>
      </c>
      <c r="G26" s="17">
        <v>-0.3</v>
      </c>
      <c r="H26" s="17">
        <v>-2.5</v>
      </c>
      <c r="I26" s="17">
        <v>9.6</v>
      </c>
      <c r="J26" s="2">
        <f>Assumptions!J17</f>
        <v>0</v>
      </c>
      <c r="K26" s="2">
        <f>Assumptions!K17</f>
        <v>0</v>
      </c>
      <c r="L26" s="2">
        <f>Assumptions!L17</f>
        <v>0</v>
      </c>
      <c r="M26" s="2">
        <f>Assumptions!M17</f>
        <v>0</v>
      </c>
      <c r="N26" s="2">
        <f>Assumptions!N17</f>
        <v>0</v>
      </c>
    </row>
    <row r="27" spans="2:14">
      <c r="C27" s="18" t="s">
        <v>55</v>
      </c>
      <c r="G27" s="16">
        <v>84.8</v>
      </c>
      <c r="H27" s="16">
        <v>98.5</v>
      </c>
      <c r="I27" s="87">
        <v>96.9</v>
      </c>
      <c r="J27" s="111">
        <f>J231</f>
        <v>92.5745</v>
      </c>
      <c r="K27" s="111">
        <f t="shared" ref="K27:N27" si="12">K231</f>
        <v>89.046465740081672</v>
      </c>
      <c r="L27" s="111">
        <f t="shared" si="12"/>
        <v>85.061071231219614</v>
      </c>
      <c r="M27" s="111">
        <f t="shared" si="12"/>
        <v>81.167174922985168</v>
      </c>
      <c r="N27" s="111">
        <f t="shared" si="12"/>
        <v>76.979544125527852</v>
      </c>
    </row>
    <row r="28" spans="2:14">
      <c r="C28" s="19" t="s">
        <v>10</v>
      </c>
      <c r="G28" s="15">
        <f t="shared" ref="G28:N28" si="13">G24+G26-G27</f>
        <v>-22.700000000000017</v>
      </c>
      <c r="H28" s="15">
        <f t="shared" si="13"/>
        <v>-48.69999999999996</v>
      </c>
      <c r="I28" s="86">
        <f t="shared" si="13"/>
        <v>-36.799999999999947</v>
      </c>
      <c r="J28" s="86">
        <f>J24+J26-J27</f>
        <v>-1.7087912088413759E-3</v>
      </c>
      <c r="K28" s="86">
        <f t="shared" si="13"/>
        <v>49.067157666511534</v>
      </c>
      <c r="L28" s="86">
        <f t="shared" si="13"/>
        <v>101.13201093031853</v>
      </c>
      <c r="M28" s="86">
        <f t="shared" si="13"/>
        <v>156.70520994613253</v>
      </c>
      <c r="N28" s="86">
        <f t="shared" si="13"/>
        <v>216.34786286911566</v>
      </c>
    </row>
    <row r="29" spans="2:14" ht="6" customHeight="1">
      <c r="C29" s="13"/>
    </row>
    <row r="30" spans="2:14">
      <c r="C30" s="2" t="s">
        <v>11</v>
      </c>
      <c r="G30" s="17">
        <v>2</v>
      </c>
      <c r="H30" s="17">
        <v>7</v>
      </c>
      <c r="I30" s="17">
        <v>6</v>
      </c>
      <c r="J30" s="77">
        <f>J176</f>
        <v>-14.000598076923094</v>
      </c>
      <c r="K30" s="77">
        <f t="shared" ref="K30:N30" si="14">K176</f>
        <v>3.1735051832790369</v>
      </c>
      <c r="L30" s="77">
        <f t="shared" si="14"/>
        <v>21.396203825611483</v>
      </c>
      <c r="M30" s="77">
        <f t="shared" si="14"/>
        <v>40.84682348114638</v>
      </c>
      <c r="N30" s="77">
        <f t="shared" si="14"/>
        <v>61.721752004190478</v>
      </c>
    </row>
    <row r="31" spans="2:14">
      <c r="C31" s="2" t="s">
        <v>12</v>
      </c>
      <c r="G31" s="16">
        <v>1.5</v>
      </c>
      <c r="H31" s="16">
        <v>-17.8</v>
      </c>
      <c r="I31" s="87">
        <v>-6.7</v>
      </c>
      <c r="J31" s="77">
        <f t="shared" ref="J31:N31" si="15">J177</f>
        <v>14</v>
      </c>
      <c r="K31" s="77">
        <f t="shared" si="15"/>
        <v>14</v>
      </c>
      <c r="L31" s="77">
        <f t="shared" si="15"/>
        <v>14</v>
      </c>
      <c r="M31" s="77">
        <f t="shared" si="15"/>
        <v>14</v>
      </c>
      <c r="N31" s="77">
        <f t="shared" si="15"/>
        <v>14</v>
      </c>
    </row>
    <row r="32" spans="2:14">
      <c r="C32" s="9" t="s">
        <v>13</v>
      </c>
      <c r="G32" s="15">
        <f t="shared" ref="G32:I32" si="16">SUM(G30:G31)</f>
        <v>3.5</v>
      </c>
      <c r="H32" s="15">
        <f t="shared" si="16"/>
        <v>-10.8</v>
      </c>
      <c r="I32" s="86">
        <f t="shared" si="16"/>
        <v>-0.70000000000000018</v>
      </c>
      <c r="J32" s="86">
        <f>SUM(J30:J31)</f>
        <v>-5.9807692309377103E-4</v>
      </c>
      <c r="K32" s="86">
        <f t="shared" ref="K32:N32" si="17">SUM(K30:K31)</f>
        <v>17.173505183279037</v>
      </c>
      <c r="L32" s="86">
        <f t="shared" si="17"/>
        <v>35.396203825611479</v>
      </c>
      <c r="M32" s="86">
        <f t="shared" si="17"/>
        <v>54.84682348114638</v>
      </c>
      <c r="N32" s="86">
        <f t="shared" si="17"/>
        <v>75.721752004190478</v>
      </c>
    </row>
    <row r="33" spans="2:14" ht="9" customHeight="1">
      <c r="G33" s="20"/>
      <c r="H33" s="20"/>
      <c r="I33" s="88"/>
      <c r="J33" s="88"/>
      <c r="K33" s="88"/>
      <c r="L33" s="88"/>
      <c r="M33" s="88"/>
      <c r="N33" s="88"/>
    </row>
    <row r="34" spans="2:14">
      <c r="C34" s="21" t="s">
        <v>14</v>
      </c>
      <c r="D34" s="9"/>
      <c r="E34" s="9"/>
      <c r="G34" s="22">
        <f t="shared" ref="G34:I34" si="18">G28-G32</f>
        <v>-26.200000000000017</v>
      </c>
      <c r="H34" s="22">
        <f t="shared" si="18"/>
        <v>-37.899999999999963</v>
      </c>
      <c r="I34" s="22">
        <f t="shared" si="18"/>
        <v>-36.099999999999945</v>
      </c>
      <c r="J34" s="22">
        <f>J28-J32</f>
        <v>-1.1107142857476049E-3</v>
      </c>
      <c r="K34" s="22">
        <f t="shared" ref="K34:N34" si="19">K28-K32</f>
        <v>31.893652483232497</v>
      </c>
      <c r="L34" s="22">
        <f t="shared" si="19"/>
        <v>65.73580710470705</v>
      </c>
      <c r="M34" s="22">
        <f t="shared" si="19"/>
        <v>101.85838646498615</v>
      </c>
      <c r="N34" s="22">
        <f t="shared" si="19"/>
        <v>140.62611086492518</v>
      </c>
    </row>
    <row r="35" spans="2:14">
      <c r="C35" s="21"/>
      <c r="D35" s="9"/>
      <c r="E35" s="9"/>
      <c r="G35" s="14"/>
      <c r="H35" s="14"/>
      <c r="I35" s="89"/>
      <c r="J35" s="89"/>
      <c r="K35" s="89"/>
      <c r="L35" s="89"/>
      <c r="M35" s="89"/>
      <c r="N35" s="89"/>
    </row>
    <row r="36" spans="2:14">
      <c r="C36" s="23" t="s">
        <v>52</v>
      </c>
      <c r="D36" s="9"/>
      <c r="E36" s="9"/>
      <c r="G36" s="16">
        <v>0</v>
      </c>
      <c r="H36" s="16">
        <v>0</v>
      </c>
      <c r="I36" s="87">
        <v>0</v>
      </c>
      <c r="J36" s="2">
        <f>J186</f>
        <v>0</v>
      </c>
      <c r="K36" s="2">
        <f t="shared" ref="K36:N36" si="20">K186</f>
        <v>4</v>
      </c>
      <c r="L36" s="2">
        <f t="shared" si="20"/>
        <v>4</v>
      </c>
      <c r="M36" s="2">
        <f t="shared" si="20"/>
        <v>4</v>
      </c>
      <c r="N36" s="2">
        <f t="shared" si="20"/>
        <v>4</v>
      </c>
    </row>
    <row r="37" spans="2:14" ht="13.5" customHeight="1" thickBot="1">
      <c r="C37" s="21" t="s">
        <v>53</v>
      </c>
      <c r="D37" s="9"/>
      <c r="E37" s="9"/>
      <c r="G37" s="24">
        <f t="shared" ref="G37:I37" si="21">G34-G36</f>
        <v>-26.200000000000017</v>
      </c>
      <c r="H37" s="24">
        <f t="shared" si="21"/>
        <v>-37.899999999999963</v>
      </c>
      <c r="I37" s="90">
        <f t="shared" si="21"/>
        <v>-36.099999999999945</v>
      </c>
      <c r="J37" s="90">
        <f>J34-J36</f>
        <v>-1.1107142857476049E-3</v>
      </c>
      <c r="K37" s="90">
        <f t="shared" ref="K37:N37" si="22">K34-K36</f>
        <v>27.893652483232497</v>
      </c>
      <c r="L37" s="90">
        <f t="shared" si="22"/>
        <v>61.73580710470705</v>
      </c>
      <c r="M37" s="90">
        <f t="shared" si="22"/>
        <v>97.858386464986154</v>
      </c>
      <c r="N37" s="90">
        <f t="shared" si="22"/>
        <v>136.62611086492518</v>
      </c>
    </row>
    <row r="38" spans="2:14" ht="13.5" customHeight="1" thickTop="1">
      <c r="B38" s="25"/>
      <c r="C38" s="25"/>
      <c r="D38" s="25"/>
      <c r="E38" s="25"/>
      <c r="F38" s="25"/>
      <c r="G38" s="26"/>
      <c r="H38" s="26"/>
      <c r="I38" s="26"/>
      <c r="J38" s="26"/>
      <c r="K38" s="26"/>
      <c r="L38" s="26"/>
      <c r="M38" s="26"/>
      <c r="N38" s="26"/>
    </row>
    <row r="39" spans="2:14">
      <c r="C39" s="27"/>
      <c r="G39" s="28"/>
      <c r="H39" s="28"/>
      <c r="I39" s="91"/>
      <c r="J39" s="91"/>
      <c r="K39" s="91"/>
      <c r="L39" s="91"/>
      <c r="M39" s="91"/>
      <c r="N39" s="91"/>
    </row>
    <row r="40" spans="2:14">
      <c r="B40" s="9"/>
      <c r="C40" s="9"/>
      <c r="D40" s="9"/>
      <c r="E40" s="9"/>
      <c r="F40" s="9"/>
      <c r="G40" s="9"/>
      <c r="H40" s="9"/>
      <c r="I40" s="92"/>
      <c r="J40" s="92"/>
      <c r="K40" s="92"/>
      <c r="L40" s="92"/>
      <c r="M40" s="92"/>
      <c r="N40" s="92"/>
    </row>
    <row r="41" spans="2:14">
      <c r="B41" s="9"/>
      <c r="G41" s="29"/>
      <c r="H41" s="29"/>
      <c r="I41" s="93"/>
      <c r="J41" s="93"/>
      <c r="K41" s="93"/>
      <c r="L41" s="93"/>
      <c r="M41" s="93"/>
      <c r="N41" s="93"/>
    </row>
    <row r="42" spans="2:14" ht="18">
      <c r="B42" s="68" t="s">
        <v>15</v>
      </c>
      <c r="C42" s="30"/>
      <c r="D42" s="30"/>
      <c r="E42" s="30"/>
      <c r="F42" s="30"/>
      <c r="G42" s="30"/>
      <c r="H42" s="30"/>
      <c r="I42" s="94"/>
      <c r="J42" s="94"/>
      <c r="K42" s="94"/>
      <c r="L42" s="94"/>
      <c r="M42" s="94"/>
      <c r="N42" s="94"/>
    </row>
    <row r="43" spans="2:14" ht="6" customHeight="1" thickBot="1">
      <c r="B43" s="4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2:14">
      <c r="B44" s="5" t="str">
        <f>$B$7</f>
        <v>Millions for the Year Ended December 31</v>
      </c>
      <c r="I44" s="95"/>
      <c r="J44" s="95"/>
      <c r="K44" s="95"/>
      <c r="L44" s="95"/>
      <c r="M44" s="95"/>
      <c r="N44" s="95"/>
    </row>
    <row r="45" spans="2:14">
      <c r="I45" s="95"/>
      <c r="J45" s="95"/>
      <c r="K45" s="95"/>
      <c r="L45" s="95"/>
      <c r="M45" s="95"/>
      <c r="N45" s="95"/>
    </row>
    <row r="46" spans="2:14">
      <c r="B46" s="32"/>
      <c r="F46" s="33"/>
      <c r="G46" s="33"/>
      <c r="H46" s="33"/>
      <c r="I46" s="96"/>
      <c r="J46" s="96"/>
      <c r="K46" s="96"/>
      <c r="L46" s="96"/>
      <c r="M46" s="96"/>
      <c r="N46" s="96"/>
    </row>
    <row r="47" spans="2:14">
      <c r="B47" s="9" t="s">
        <v>16</v>
      </c>
    </row>
    <row r="48" spans="2:14">
      <c r="C48" s="2" t="s">
        <v>14</v>
      </c>
      <c r="F48" s="34"/>
      <c r="G48" s="35">
        <v>-26.200000000000017</v>
      </c>
      <c r="H48" s="35">
        <v>-37.899999999999963</v>
      </c>
      <c r="I48" s="35">
        <v>-36.1</v>
      </c>
      <c r="J48" s="20">
        <f>J34</f>
        <v>-1.1107142857476049E-3</v>
      </c>
      <c r="K48" s="20">
        <f t="shared" ref="K48:N48" si="23">K34</f>
        <v>31.893652483232497</v>
      </c>
      <c r="L48" s="20">
        <f t="shared" si="23"/>
        <v>65.73580710470705</v>
      </c>
      <c r="M48" s="20">
        <f t="shared" si="23"/>
        <v>101.85838646498615</v>
      </c>
      <c r="N48" s="20">
        <f t="shared" si="23"/>
        <v>140.62611086492518</v>
      </c>
    </row>
    <row r="49" spans="2:14">
      <c r="C49" s="2" t="s">
        <v>8</v>
      </c>
      <c r="F49" s="34"/>
      <c r="G49" s="35">
        <v>131.80000000000001</v>
      </c>
      <c r="H49" s="35">
        <v>140.6</v>
      </c>
      <c r="I49" s="35">
        <v>144</v>
      </c>
      <c r="J49" s="77">
        <f>J23</f>
        <v>155.00428571428574</v>
      </c>
      <c r="K49" s="77">
        <f t="shared" ref="K49:N49" si="24">K23</f>
        <v>164.8257142857143</v>
      </c>
      <c r="L49" s="77">
        <f t="shared" si="24"/>
        <v>175.54000000000002</v>
      </c>
      <c r="M49" s="77">
        <f t="shared" si="24"/>
        <v>186.25428571428574</v>
      </c>
      <c r="N49" s="77">
        <f t="shared" si="24"/>
        <v>196.96857142857144</v>
      </c>
    </row>
    <row r="50" spans="2:14">
      <c r="C50" s="2" t="s">
        <v>12</v>
      </c>
      <c r="F50" s="34"/>
      <c r="G50" s="35">
        <v>1.5</v>
      </c>
      <c r="H50" s="35">
        <v>-17.8</v>
      </c>
      <c r="I50" s="35">
        <v>-6.7</v>
      </c>
      <c r="J50" s="77">
        <f>J31</f>
        <v>14</v>
      </c>
      <c r="K50" s="77">
        <f t="shared" ref="K50:N50" si="25">K31</f>
        <v>14</v>
      </c>
      <c r="L50" s="77">
        <f t="shared" si="25"/>
        <v>14</v>
      </c>
      <c r="M50" s="77">
        <f t="shared" si="25"/>
        <v>14</v>
      </c>
      <c r="N50" s="77">
        <f t="shared" si="25"/>
        <v>14</v>
      </c>
    </row>
    <row r="51" spans="2:14">
      <c r="C51" s="2" t="s">
        <v>17</v>
      </c>
      <c r="F51" s="36"/>
      <c r="G51" s="35">
        <v>3.6</v>
      </c>
      <c r="H51" s="35">
        <v>6</v>
      </c>
      <c r="I51" s="35">
        <v>21.899999999999977</v>
      </c>
      <c r="J51" s="77">
        <f>Assumptions!J70</f>
        <v>-0.2652736775552853</v>
      </c>
      <c r="K51" s="77">
        <f>Assumptions!K70</f>
        <v>3.5786315759746685</v>
      </c>
      <c r="L51" s="77">
        <f>Assumptions!L70</f>
        <v>3.5908620808261276</v>
      </c>
      <c r="M51" s="77">
        <f>Assumptions!M70</f>
        <v>3.1431114413652779</v>
      </c>
      <c r="N51" s="77">
        <f>Assumptions!N70</f>
        <v>4.060313302040953</v>
      </c>
    </row>
    <row r="52" spans="2:14">
      <c r="C52" s="2" t="s">
        <v>29</v>
      </c>
      <c r="F52" s="36"/>
      <c r="G52" s="37">
        <v>-0.7</v>
      </c>
      <c r="H52" s="37">
        <v>-0.3</v>
      </c>
      <c r="I52" s="80">
        <v>0.1</v>
      </c>
      <c r="J52" s="2">
        <f>J20</f>
        <v>0</v>
      </c>
      <c r="K52" s="2">
        <f>K20</f>
        <v>0</v>
      </c>
      <c r="L52" s="2">
        <f>L20</f>
        <v>0</v>
      </c>
      <c r="M52" s="2">
        <f>M20</f>
        <v>0</v>
      </c>
      <c r="N52" s="2">
        <f>N20</f>
        <v>0</v>
      </c>
    </row>
    <row r="53" spans="2:14">
      <c r="C53" s="13" t="s">
        <v>18</v>
      </c>
      <c r="F53" s="38"/>
      <c r="G53" s="39">
        <f t="shared" ref="G53:N53" si="26">SUM(G48:G52)</f>
        <v>109.99999999999999</v>
      </c>
      <c r="H53" s="39">
        <f t="shared" si="26"/>
        <v>90.600000000000037</v>
      </c>
      <c r="I53" s="97">
        <f t="shared" si="26"/>
        <v>123.19999999999997</v>
      </c>
      <c r="J53" s="97">
        <f t="shared" si="26"/>
        <v>168.73790132244471</v>
      </c>
      <c r="K53" s="97">
        <f t="shared" si="26"/>
        <v>214.29799834492147</v>
      </c>
      <c r="L53" s="97">
        <f t="shared" si="26"/>
        <v>258.86666918553317</v>
      </c>
      <c r="M53" s="97">
        <f t="shared" si="26"/>
        <v>305.2557836206372</v>
      </c>
      <c r="N53" s="97">
        <f t="shared" si="26"/>
        <v>355.65499559553757</v>
      </c>
    </row>
    <row r="54" spans="2:14">
      <c r="B54" s="11"/>
    </row>
    <row r="55" spans="2:14">
      <c r="B55" s="11"/>
    </row>
    <row r="56" spans="2:14">
      <c r="B56" s="9" t="s">
        <v>19</v>
      </c>
    </row>
    <row r="57" spans="2:14">
      <c r="C57" s="2" t="s">
        <v>20</v>
      </c>
      <c r="G57" s="17">
        <v>-83.2</v>
      </c>
      <c r="H57" s="17">
        <v>-77.5</v>
      </c>
      <c r="I57" s="17">
        <v>-131.80000000000001</v>
      </c>
      <c r="J57" s="2">
        <f>-Assumptions!J7</f>
        <v>-125</v>
      </c>
      <c r="K57" s="2">
        <f>-Assumptions!K7</f>
        <v>-150</v>
      </c>
      <c r="L57" s="2">
        <f>-Assumptions!L7</f>
        <v>-150</v>
      </c>
      <c r="M57" s="2">
        <f>-Assumptions!M7</f>
        <v>-150</v>
      </c>
      <c r="N57" s="2">
        <f>-Assumptions!N7</f>
        <v>-150</v>
      </c>
    </row>
    <row r="58" spans="2:14">
      <c r="C58" s="2" t="s">
        <v>21</v>
      </c>
      <c r="G58" s="17">
        <v>17.5</v>
      </c>
      <c r="H58" s="17">
        <v>0</v>
      </c>
      <c r="I58" s="17">
        <v>5.8</v>
      </c>
      <c r="J58" s="84">
        <f>Assumptions!J20</f>
        <v>0</v>
      </c>
      <c r="K58" s="84">
        <f>Assumptions!K20</f>
        <v>0</v>
      </c>
      <c r="L58" s="84">
        <f>Assumptions!L20</f>
        <v>0</v>
      </c>
      <c r="M58" s="84">
        <f>Assumptions!M20</f>
        <v>0</v>
      </c>
      <c r="N58" s="84">
        <f>Assumptions!N20</f>
        <v>0</v>
      </c>
    </row>
    <row r="59" spans="2:14">
      <c r="C59" s="2" t="s">
        <v>29</v>
      </c>
      <c r="G59" s="16">
        <v>0.2</v>
      </c>
      <c r="H59" s="16">
        <v>-0.2</v>
      </c>
      <c r="I59" s="87">
        <v>0.1</v>
      </c>
      <c r="J59" s="2">
        <f>J26</f>
        <v>0</v>
      </c>
      <c r="K59" s="2">
        <f>K26</f>
        <v>0</v>
      </c>
      <c r="L59" s="2">
        <f>L26</f>
        <v>0</v>
      </c>
      <c r="M59" s="2">
        <f>M26</f>
        <v>0</v>
      </c>
      <c r="N59" s="2">
        <f>N26</f>
        <v>0</v>
      </c>
    </row>
    <row r="60" spans="2:14">
      <c r="C60" s="9" t="s">
        <v>22</v>
      </c>
      <c r="F60" s="38"/>
      <c r="G60" s="39">
        <f t="shared" ref="G60:N60" si="27">SUM(G57:G59)</f>
        <v>-65.5</v>
      </c>
      <c r="H60" s="39">
        <f t="shared" si="27"/>
        <v>-77.7</v>
      </c>
      <c r="I60" s="97">
        <f t="shared" si="27"/>
        <v>-125.90000000000002</v>
      </c>
      <c r="J60" s="97">
        <f>SUM(J57:J59)</f>
        <v>-125</v>
      </c>
      <c r="K60" s="97">
        <f t="shared" si="27"/>
        <v>-150</v>
      </c>
      <c r="L60" s="97">
        <f t="shared" si="27"/>
        <v>-150</v>
      </c>
      <c r="M60" s="97">
        <f t="shared" si="27"/>
        <v>-150</v>
      </c>
      <c r="N60" s="97">
        <f t="shared" si="27"/>
        <v>-150</v>
      </c>
    </row>
    <row r="61" spans="2:14">
      <c r="B61" s="19"/>
      <c r="F61" s="34"/>
      <c r="G61" s="34"/>
      <c r="H61" s="34"/>
      <c r="I61" s="34"/>
    </row>
    <row r="62" spans="2:14">
      <c r="B62" s="19"/>
      <c r="F62" s="34"/>
      <c r="G62" s="40"/>
      <c r="H62" s="40"/>
      <c r="I62" s="40"/>
    </row>
    <row r="63" spans="2:14">
      <c r="B63" s="19" t="s">
        <v>23</v>
      </c>
      <c r="F63" s="34"/>
      <c r="G63" s="34"/>
      <c r="H63" s="34"/>
      <c r="I63" s="34"/>
    </row>
    <row r="64" spans="2:14">
      <c r="B64" s="19"/>
      <c r="C64" s="2" t="s">
        <v>24</v>
      </c>
      <c r="F64" s="38"/>
      <c r="G64" s="17">
        <v>0</v>
      </c>
      <c r="H64" s="17">
        <v>-64.900000000000034</v>
      </c>
      <c r="I64" s="17">
        <v>-0.1</v>
      </c>
      <c r="J64" s="111">
        <f>J227</f>
        <v>0</v>
      </c>
      <c r="K64" s="2">
        <f t="shared" ref="K64:N64" si="28">K227</f>
        <v>0</v>
      </c>
      <c r="L64" s="2">
        <f t="shared" si="28"/>
        <v>0</v>
      </c>
      <c r="M64" s="2">
        <f t="shared" si="28"/>
        <v>0</v>
      </c>
      <c r="N64" s="2">
        <f t="shared" si="28"/>
        <v>0</v>
      </c>
    </row>
    <row r="65" spans="2:14">
      <c r="B65" s="19"/>
      <c r="C65" s="18" t="s">
        <v>50</v>
      </c>
      <c r="F65" s="38"/>
      <c r="G65" s="17">
        <v>81.400000000000006</v>
      </c>
      <c r="H65" s="17">
        <v>13.199999999999989</v>
      </c>
      <c r="I65" s="17">
        <v>-4.8999999999999986</v>
      </c>
      <c r="J65" s="2">
        <f>Assumptions!J12</f>
        <v>-20</v>
      </c>
      <c r="K65" s="2">
        <f>Assumptions!K12</f>
        <v>-20</v>
      </c>
      <c r="L65" s="2">
        <f>Assumptions!L12</f>
        <v>-20</v>
      </c>
      <c r="M65" s="2">
        <f>Assumptions!M12</f>
        <v>-20</v>
      </c>
      <c r="N65" s="2">
        <f>Assumptions!N12</f>
        <v>-20</v>
      </c>
    </row>
    <row r="66" spans="2:14">
      <c r="B66" s="19"/>
      <c r="C66" s="18" t="s">
        <v>51</v>
      </c>
      <c r="F66" s="38"/>
      <c r="G66" s="17">
        <v>-36.4</v>
      </c>
      <c r="H66" s="17">
        <v>-62.1</v>
      </c>
      <c r="I66" s="17">
        <v>-49.2</v>
      </c>
      <c r="J66" s="2">
        <f>Assumptions!J13</f>
        <v>-40</v>
      </c>
      <c r="K66" s="2">
        <f>Assumptions!K13</f>
        <v>-40</v>
      </c>
      <c r="L66" s="2">
        <f>Assumptions!L13</f>
        <v>-40</v>
      </c>
      <c r="M66" s="2">
        <f>Assumptions!M13</f>
        <v>-40</v>
      </c>
      <c r="N66" s="2">
        <f>Assumptions!N13</f>
        <v>-40</v>
      </c>
    </row>
    <row r="67" spans="2:14">
      <c r="B67" s="19"/>
      <c r="C67" s="18" t="s">
        <v>57</v>
      </c>
      <c r="F67" s="38"/>
      <c r="G67" s="17">
        <v>0</v>
      </c>
      <c r="H67" s="17">
        <v>0</v>
      </c>
      <c r="I67" s="17">
        <v>75</v>
      </c>
      <c r="J67" s="2">
        <f>Assumptions!J10</f>
        <v>0</v>
      </c>
      <c r="K67" s="2">
        <f>Assumptions!K10</f>
        <v>50</v>
      </c>
      <c r="L67" s="2">
        <f>Assumptions!L10</f>
        <v>0</v>
      </c>
      <c r="M67" s="2">
        <f>Assumptions!M10</f>
        <v>0</v>
      </c>
      <c r="N67" s="2">
        <f>Assumptions!N10</f>
        <v>0</v>
      </c>
    </row>
    <row r="68" spans="2:14">
      <c r="B68" s="19"/>
      <c r="C68" s="18" t="s">
        <v>109</v>
      </c>
      <c r="F68" s="38"/>
      <c r="G68" s="17"/>
      <c r="H68" s="17"/>
      <c r="I68" s="17"/>
      <c r="J68" s="2">
        <f>Assumptions!J11</f>
        <v>0</v>
      </c>
      <c r="K68" s="2">
        <f>Assumptions!K11</f>
        <v>0</v>
      </c>
      <c r="L68" s="2">
        <f>Assumptions!L11</f>
        <v>0</v>
      </c>
      <c r="M68" s="2">
        <f>Assumptions!M11</f>
        <v>0</v>
      </c>
      <c r="N68" s="2">
        <f>Assumptions!N11</f>
        <v>0</v>
      </c>
    </row>
    <row r="69" spans="2:14">
      <c r="B69" s="19"/>
      <c r="C69" s="113" t="str">
        <f>C36</f>
        <v>Preferred Dividend</v>
      </c>
      <c r="F69" s="36"/>
      <c r="G69" s="35"/>
      <c r="H69" s="35"/>
      <c r="I69" s="35"/>
      <c r="J69" s="77">
        <f>-J36</f>
        <v>0</v>
      </c>
      <c r="K69" s="77">
        <f>-K36</f>
        <v>-4</v>
      </c>
      <c r="L69" s="77">
        <f>-L36</f>
        <v>-4</v>
      </c>
      <c r="M69" s="77">
        <f>-M36</f>
        <v>-4</v>
      </c>
      <c r="N69" s="77">
        <f>-N36</f>
        <v>-4</v>
      </c>
    </row>
    <row r="70" spans="2:14">
      <c r="B70" s="19"/>
      <c r="C70" s="18" t="s">
        <v>128</v>
      </c>
      <c r="F70" s="38"/>
      <c r="G70" s="17"/>
      <c r="H70" s="17"/>
      <c r="I70" s="17"/>
      <c r="J70" s="2">
        <f>-J193</f>
        <v>0</v>
      </c>
      <c r="K70" s="2">
        <f t="shared" ref="K70:N70" si="29">-K193</f>
        <v>-5.5787304966465001</v>
      </c>
      <c r="L70" s="2">
        <f t="shared" si="29"/>
        <v>-12.347161420941411</v>
      </c>
      <c r="M70" s="2">
        <f t="shared" si="29"/>
        <v>-19.571677292997233</v>
      </c>
      <c r="N70" s="2">
        <f t="shared" si="29"/>
        <v>-27.325222172985036</v>
      </c>
    </row>
    <row r="71" spans="2:14">
      <c r="B71" s="19"/>
      <c r="C71" s="2" t="s">
        <v>29</v>
      </c>
      <c r="F71" s="38"/>
      <c r="G71" s="16">
        <v>0.8</v>
      </c>
      <c r="H71" s="16">
        <v>0</v>
      </c>
      <c r="I71" s="87">
        <v>0.4</v>
      </c>
      <c r="J71" s="84">
        <f>Assumptions!J21</f>
        <v>0</v>
      </c>
      <c r="K71" s="84">
        <f>Assumptions!K21</f>
        <v>0</v>
      </c>
      <c r="L71" s="84">
        <f>Assumptions!L21</f>
        <v>0</v>
      </c>
      <c r="M71" s="84">
        <f>Assumptions!M21</f>
        <v>0</v>
      </c>
      <c r="N71" s="84">
        <f>Assumptions!N21</f>
        <v>0</v>
      </c>
    </row>
    <row r="72" spans="2:14">
      <c r="B72" s="19"/>
      <c r="C72" s="9" t="s">
        <v>25</v>
      </c>
      <c r="F72" s="38"/>
      <c r="G72" s="39">
        <f t="shared" ref="G72:N72" si="30">SUM(G64:G71)</f>
        <v>45.800000000000004</v>
      </c>
      <c r="H72" s="39">
        <f t="shared" si="30"/>
        <v>-113.80000000000004</v>
      </c>
      <c r="I72" s="97">
        <f t="shared" si="30"/>
        <v>21.199999999999996</v>
      </c>
      <c r="J72" s="97">
        <f t="shared" si="30"/>
        <v>-60</v>
      </c>
      <c r="K72" s="97">
        <f t="shared" si="30"/>
        <v>-19.5787304966465</v>
      </c>
      <c r="L72" s="97">
        <f t="shared" si="30"/>
        <v>-76.347161420941404</v>
      </c>
      <c r="M72" s="97">
        <f t="shared" si="30"/>
        <v>-83.571677292997236</v>
      </c>
      <c r="N72" s="97">
        <f t="shared" si="30"/>
        <v>-91.325222172985036</v>
      </c>
    </row>
    <row r="73" spans="2:14">
      <c r="B73" s="19"/>
      <c r="C73" s="9"/>
      <c r="F73" s="38"/>
      <c r="I73" s="95"/>
      <c r="J73" s="95"/>
      <c r="K73" s="95"/>
      <c r="L73" s="95"/>
      <c r="M73" s="95"/>
      <c r="N73" s="95"/>
    </row>
    <row r="74" spans="2:14">
      <c r="C74" s="11" t="s">
        <v>45</v>
      </c>
      <c r="F74" s="38"/>
      <c r="G74" s="41">
        <f>G72+G60+G53</f>
        <v>90.299999999999983</v>
      </c>
      <c r="H74" s="41">
        <f>H72+H60+H53</f>
        <v>-100.90000000000002</v>
      </c>
      <c r="I74" s="98">
        <f>I72+I60+I53</f>
        <v>18.499999999999957</v>
      </c>
      <c r="J74" s="98">
        <f t="shared" ref="J74:N74" si="31">J72+J60+J53</f>
        <v>-16.262098677555286</v>
      </c>
      <c r="K74" s="98">
        <f t="shared" si="31"/>
        <v>44.719267848274967</v>
      </c>
      <c r="L74" s="98">
        <f t="shared" si="31"/>
        <v>32.519507764591765</v>
      </c>
      <c r="M74" s="98">
        <f t="shared" si="31"/>
        <v>71.684106327639967</v>
      </c>
      <c r="N74" s="98">
        <f t="shared" si="31"/>
        <v>114.32977342255253</v>
      </c>
    </row>
    <row r="75" spans="2:14">
      <c r="C75" s="11" t="s">
        <v>46</v>
      </c>
      <c r="F75" s="38"/>
      <c r="G75" s="16">
        <v>10.6</v>
      </c>
      <c r="H75" s="42">
        <f>G76</f>
        <v>100.89999999999998</v>
      </c>
      <c r="I75" s="42">
        <f>H76</f>
        <v>0</v>
      </c>
      <c r="J75" s="42">
        <f t="shared" ref="J75:N75" si="32">I76</f>
        <v>18.499999999999957</v>
      </c>
      <c r="K75" s="42">
        <f t="shared" si="32"/>
        <v>2.2379013224446709</v>
      </c>
      <c r="L75" s="42">
        <f t="shared" si="32"/>
        <v>46.957169170719638</v>
      </c>
      <c r="M75" s="42">
        <f t="shared" si="32"/>
        <v>79.476676935311403</v>
      </c>
      <c r="N75" s="42">
        <f t="shared" si="32"/>
        <v>151.16078326295138</v>
      </c>
    </row>
    <row r="76" spans="2:14">
      <c r="C76" s="13" t="s">
        <v>47</v>
      </c>
      <c r="F76" s="38"/>
      <c r="G76" s="15">
        <f>G75+G74</f>
        <v>100.89999999999998</v>
      </c>
      <c r="H76" s="15">
        <f>H75+H74</f>
        <v>0</v>
      </c>
      <c r="I76" s="99">
        <f>I75+I74</f>
        <v>18.499999999999957</v>
      </c>
      <c r="J76" s="99">
        <f>J75+J74</f>
        <v>2.2379013224446709</v>
      </c>
      <c r="K76" s="99">
        <f t="shared" ref="K76:N76" si="33">K75+K74</f>
        <v>46.957169170719638</v>
      </c>
      <c r="L76" s="99">
        <f t="shared" si="33"/>
        <v>79.476676935311403</v>
      </c>
      <c r="M76" s="99">
        <f t="shared" si="33"/>
        <v>151.16078326295138</v>
      </c>
      <c r="N76" s="99">
        <f t="shared" si="33"/>
        <v>265.49055668550392</v>
      </c>
    </row>
    <row r="77" spans="2:14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2:14">
      <c r="I78" s="95"/>
      <c r="J78" s="95"/>
      <c r="K78" s="95"/>
      <c r="L78" s="95"/>
      <c r="M78" s="95"/>
      <c r="N78" s="95"/>
    </row>
    <row r="79" spans="2:14">
      <c r="I79" s="95"/>
      <c r="J79" s="95"/>
      <c r="K79" s="95"/>
      <c r="L79" s="95"/>
      <c r="M79" s="95"/>
      <c r="N79" s="95"/>
    </row>
    <row r="80" spans="2:14" ht="18">
      <c r="B80" s="68" t="s">
        <v>26</v>
      </c>
      <c r="C80" s="30"/>
      <c r="D80" s="30"/>
      <c r="E80" s="30"/>
      <c r="F80" s="30"/>
      <c r="G80" s="30"/>
      <c r="H80" s="30"/>
      <c r="I80" s="94"/>
      <c r="J80" s="94"/>
      <c r="K80" s="94"/>
      <c r="L80" s="94"/>
      <c r="M80" s="94"/>
      <c r="N80" s="94"/>
    </row>
    <row r="81" spans="2:14" ht="6" customHeight="1" thickBot="1">
      <c r="B81" s="4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</row>
    <row r="82" spans="2:14">
      <c r="B82" s="5" t="str">
        <f>$B$7</f>
        <v>Millions for the Year Ended December 31</v>
      </c>
      <c r="D82" s="9"/>
      <c r="E82" s="9"/>
      <c r="G82" s="43"/>
      <c r="H82" s="43"/>
      <c r="I82" s="100"/>
      <c r="J82" s="100"/>
      <c r="K82" s="100"/>
      <c r="L82" s="100"/>
      <c r="M82" s="100"/>
      <c r="N82" s="100"/>
    </row>
    <row r="83" spans="2:14">
      <c r="B83" s="44"/>
      <c r="F83" s="33"/>
      <c r="G83" s="8"/>
      <c r="H83" s="8"/>
      <c r="I83" s="8"/>
    </row>
    <row r="84" spans="2:14">
      <c r="B84" s="9" t="s">
        <v>27</v>
      </c>
    </row>
    <row r="85" spans="2:14">
      <c r="B85" s="9"/>
      <c r="C85" s="2" t="s">
        <v>60</v>
      </c>
      <c r="G85" s="17">
        <v>100.89999999999998</v>
      </c>
      <c r="H85" s="17">
        <v>0</v>
      </c>
      <c r="I85" s="17">
        <v>18.500000000000043</v>
      </c>
      <c r="J85" s="77">
        <f>I85+J74</f>
        <v>2.2379013224447561</v>
      </c>
      <c r="K85" s="77">
        <f t="shared" ref="K85:N85" si="34">J85+K74</f>
        <v>46.957169170719723</v>
      </c>
      <c r="L85" s="77">
        <f t="shared" si="34"/>
        <v>79.476676935311488</v>
      </c>
      <c r="M85" s="77">
        <f t="shared" si="34"/>
        <v>151.16078326295144</v>
      </c>
      <c r="N85" s="77">
        <f t="shared" si="34"/>
        <v>265.49055668550398</v>
      </c>
    </row>
    <row r="86" spans="2:14">
      <c r="C86" s="2" t="s">
        <v>28</v>
      </c>
      <c r="F86" s="36"/>
      <c r="G86" s="17">
        <v>33.5</v>
      </c>
      <c r="H86" s="17">
        <v>18.3</v>
      </c>
      <c r="I86" s="17">
        <v>28.3</v>
      </c>
      <c r="J86" s="77">
        <f>Assumptions!J60</f>
        <v>30.982032455216014</v>
      </c>
      <c r="K86" s="77">
        <f>Assumptions!K60</f>
        <v>33.481097867228655</v>
      </c>
      <c r="L86" s="77">
        <f>Assumptions!L60</f>
        <v>36.117144868324544</v>
      </c>
      <c r="M86" s="77">
        <f>Assumptions!M60</f>
        <v>38.790425675772056</v>
      </c>
      <c r="N86" s="77">
        <f>Assumptions!N60</f>
        <v>41.826582174671302</v>
      </c>
    </row>
    <row r="87" spans="2:14">
      <c r="C87" s="2" t="s">
        <v>61</v>
      </c>
      <c r="F87" s="36"/>
      <c r="G87" s="17">
        <v>41.9</v>
      </c>
      <c r="H87" s="17">
        <v>37.5</v>
      </c>
      <c r="I87" s="17">
        <v>38.1</v>
      </c>
      <c r="J87" s="77">
        <f>Assumptions!J61</f>
        <v>39.331251844046363</v>
      </c>
      <c r="K87" s="77">
        <f>Assumptions!K61</f>
        <v>37.833434402528972</v>
      </c>
      <c r="L87" s="77">
        <f>Assumptions!L61</f>
        <v>36.255347656944146</v>
      </c>
      <c r="M87" s="77">
        <f>Assumptions!M61</f>
        <v>34.500550149450184</v>
      </c>
      <c r="N87" s="77">
        <f>Assumptions!N61</f>
        <v>32.850653643915933</v>
      </c>
    </row>
    <row r="88" spans="2:14">
      <c r="C88" s="18" t="s">
        <v>29</v>
      </c>
      <c r="F88" s="36"/>
      <c r="G88" s="16">
        <v>0.3</v>
      </c>
      <c r="H88" s="16">
        <v>0.2</v>
      </c>
      <c r="I88" s="87">
        <v>0.4</v>
      </c>
      <c r="J88" s="77">
        <f>Assumptions!J62</f>
        <v>0.44950002107481563</v>
      </c>
      <c r="K88" s="77">
        <f>Assumptions!K62</f>
        <v>0.45858708366701789</v>
      </c>
      <c r="L88" s="77">
        <f>Assumptions!L62</f>
        <v>0.4678109375089568</v>
      </c>
      <c r="M88" s="77">
        <f>Assumptions!M62</f>
        <v>0.47586965723379565</v>
      </c>
      <c r="N88" s="77">
        <f>Assumptions!N62</f>
        <v>0.48667635028023609</v>
      </c>
    </row>
    <row r="89" spans="2:14">
      <c r="C89" s="13" t="s">
        <v>30</v>
      </c>
      <c r="F89" s="34"/>
      <c r="G89" s="41">
        <f>SUM(G85:G88)</f>
        <v>176.6</v>
      </c>
      <c r="H89" s="41">
        <f t="shared" ref="H89:N89" si="35">SUM(H85:H88)</f>
        <v>56</v>
      </c>
      <c r="I89" s="45">
        <f t="shared" si="35"/>
        <v>85.30000000000004</v>
      </c>
      <c r="J89" s="45">
        <f>SUM(J85:J88)</f>
        <v>73.000685642781946</v>
      </c>
      <c r="K89" s="45">
        <f t="shared" si="35"/>
        <v>118.73028852414437</v>
      </c>
      <c r="L89" s="45">
        <f t="shared" si="35"/>
        <v>152.31698039808913</v>
      </c>
      <c r="M89" s="45">
        <f t="shared" si="35"/>
        <v>224.92762874540747</v>
      </c>
      <c r="N89" s="45">
        <f t="shared" si="35"/>
        <v>340.65446885437149</v>
      </c>
    </row>
    <row r="90" spans="2:14" ht="10.95" customHeight="1">
      <c r="F90" s="34"/>
      <c r="G90" s="17"/>
      <c r="H90" s="17"/>
      <c r="I90" s="17"/>
    </row>
    <row r="91" spans="2:14">
      <c r="C91" s="2" t="s">
        <v>31</v>
      </c>
      <c r="F91" s="36"/>
      <c r="G91" s="17">
        <v>1580.7</v>
      </c>
      <c r="H91" s="17">
        <v>1517.6000000000001</v>
      </c>
      <c r="I91" s="17">
        <v>1505.4</v>
      </c>
      <c r="J91" s="77">
        <f>J167</f>
        <v>1475.3957142857143</v>
      </c>
      <c r="K91" s="77">
        <f t="shared" ref="K91:N91" si="36">K167</f>
        <v>1460.5700000000002</v>
      </c>
      <c r="L91" s="77">
        <f t="shared" si="36"/>
        <v>1435.0300000000002</v>
      </c>
      <c r="M91" s="77">
        <f t="shared" si="36"/>
        <v>1398.7757142857145</v>
      </c>
      <c r="N91" s="77">
        <f t="shared" si="36"/>
        <v>1351.8071428571432</v>
      </c>
    </row>
    <row r="92" spans="2:14">
      <c r="C92" s="2" t="s">
        <v>32</v>
      </c>
      <c r="F92" s="36"/>
      <c r="G92" s="17">
        <v>706.2</v>
      </c>
      <c r="H92" s="17">
        <v>704.1</v>
      </c>
      <c r="I92" s="17">
        <v>702.6</v>
      </c>
      <c r="J92" s="84">
        <f>I92+Assumptions!J24</f>
        <v>702.6</v>
      </c>
      <c r="K92" s="84">
        <f>J92+Assumptions!K24</f>
        <v>702.6</v>
      </c>
      <c r="L92" s="84">
        <f>K92+Assumptions!L24</f>
        <v>702.6</v>
      </c>
      <c r="M92" s="84">
        <f>L92+Assumptions!M24</f>
        <v>702.6</v>
      </c>
      <c r="N92" s="84">
        <f>M92+Assumptions!N24</f>
        <v>702.6</v>
      </c>
    </row>
    <row r="93" spans="2:14">
      <c r="C93" s="2" t="s">
        <v>33</v>
      </c>
      <c r="F93" s="36"/>
      <c r="G93" s="17">
        <v>234.9</v>
      </c>
      <c r="H93" s="17">
        <v>232.7</v>
      </c>
      <c r="I93" s="17">
        <v>230.2</v>
      </c>
      <c r="J93" s="84">
        <f>I93+Assumptions!J25</f>
        <v>230.2</v>
      </c>
      <c r="K93" s="84">
        <f>J93+Assumptions!K25</f>
        <v>230.2</v>
      </c>
      <c r="L93" s="84">
        <f>K93+Assumptions!L25</f>
        <v>230.2</v>
      </c>
      <c r="M93" s="84">
        <f>L93+Assumptions!M25</f>
        <v>230.2</v>
      </c>
      <c r="N93" s="84">
        <f>M93+Assumptions!N25</f>
        <v>230.2</v>
      </c>
    </row>
    <row r="94" spans="2:14">
      <c r="C94" s="18" t="s">
        <v>29</v>
      </c>
      <c r="F94" s="36"/>
      <c r="G94" s="17">
        <v>23.7</v>
      </c>
      <c r="H94" s="17">
        <v>25.6</v>
      </c>
      <c r="I94" s="17">
        <v>24.7</v>
      </c>
      <c r="J94" s="84">
        <f>I94+Assumptions!J26</f>
        <v>24.7</v>
      </c>
      <c r="K94" s="84">
        <f>J94+Assumptions!K26</f>
        <v>24.7</v>
      </c>
      <c r="L94" s="84">
        <f>K94+Assumptions!L26</f>
        <v>24.7</v>
      </c>
      <c r="M94" s="84">
        <f>L94+Assumptions!M26</f>
        <v>24.7</v>
      </c>
      <c r="N94" s="84">
        <f>M94+Assumptions!N26</f>
        <v>24.7</v>
      </c>
    </row>
    <row r="95" spans="2:14">
      <c r="C95" s="19" t="s">
        <v>34</v>
      </c>
      <c r="F95" s="36"/>
      <c r="G95" s="45">
        <f>SUM(G91:G94)</f>
        <v>2545.5</v>
      </c>
      <c r="H95" s="45">
        <f t="shared" ref="H95:I95" si="37">SUM(H91:H94)</f>
        <v>2480</v>
      </c>
      <c r="I95" s="45">
        <f t="shared" si="37"/>
        <v>2462.8999999999996</v>
      </c>
      <c r="J95" s="45">
        <f>SUM(J91:J94)</f>
        <v>2432.8957142857139</v>
      </c>
      <c r="K95" s="45">
        <f t="shared" ref="K95:N95" si="38">SUM(K91:K94)</f>
        <v>2418.0699999999997</v>
      </c>
      <c r="L95" s="45">
        <f t="shared" si="38"/>
        <v>2392.5299999999997</v>
      </c>
      <c r="M95" s="45">
        <f t="shared" si="38"/>
        <v>2356.275714285714</v>
      </c>
      <c r="N95" s="45">
        <f t="shared" si="38"/>
        <v>2309.3071428571429</v>
      </c>
    </row>
    <row r="96" spans="2:14" ht="10.95" customHeight="1">
      <c r="C96" s="18"/>
      <c r="F96" s="34"/>
      <c r="G96" s="46"/>
      <c r="H96" s="46"/>
      <c r="I96" s="101"/>
      <c r="J96" s="101"/>
      <c r="K96" s="101"/>
      <c r="L96" s="101"/>
      <c r="M96" s="101"/>
      <c r="N96" s="101"/>
    </row>
    <row r="97" spans="2:14" ht="13.25" thickBot="1">
      <c r="C97" s="9" t="s">
        <v>35</v>
      </c>
      <c r="F97" s="38"/>
      <c r="G97" s="47">
        <f>G89+G95</f>
        <v>2722.1</v>
      </c>
      <c r="H97" s="47">
        <f t="shared" ref="H97:I97" si="39">H89+H95</f>
        <v>2536</v>
      </c>
      <c r="I97" s="47">
        <f t="shared" si="39"/>
        <v>2548.1999999999998</v>
      </c>
      <c r="J97" s="47">
        <f>J89+J95</f>
        <v>2505.8963999284961</v>
      </c>
      <c r="K97" s="47">
        <f t="shared" ref="K97:N97" si="40">K89+K95</f>
        <v>2536.800288524144</v>
      </c>
      <c r="L97" s="47">
        <f t="shared" si="40"/>
        <v>2544.8469803980888</v>
      </c>
      <c r="M97" s="47">
        <f t="shared" si="40"/>
        <v>2581.2033430311217</v>
      </c>
      <c r="N97" s="47">
        <f t="shared" si="40"/>
        <v>2649.9616117115143</v>
      </c>
    </row>
    <row r="98" spans="2:14" ht="13.25" thickTop="1">
      <c r="F98" s="34"/>
      <c r="G98" s="34"/>
      <c r="H98" s="34"/>
      <c r="I98" s="34"/>
    </row>
    <row r="99" spans="2:14">
      <c r="F99" s="34"/>
      <c r="G99" s="34"/>
      <c r="H99" s="34"/>
      <c r="I99" s="34"/>
    </row>
    <row r="100" spans="2:14">
      <c r="B100" s="13" t="s">
        <v>36</v>
      </c>
      <c r="F100" s="34"/>
      <c r="G100" s="34"/>
      <c r="H100" s="34"/>
      <c r="I100" s="34"/>
    </row>
    <row r="101" spans="2:14">
      <c r="C101" s="18" t="s">
        <v>37</v>
      </c>
      <c r="F101" s="36"/>
      <c r="G101" s="17">
        <v>65</v>
      </c>
      <c r="H101" s="17">
        <v>0.1</v>
      </c>
      <c r="I101" s="17">
        <v>0</v>
      </c>
      <c r="J101" s="85">
        <f>J228</f>
        <v>0</v>
      </c>
      <c r="K101" s="2">
        <f t="shared" ref="K101:N101" si="41">K228</f>
        <v>0</v>
      </c>
      <c r="L101" s="2">
        <f t="shared" si="41"/>
        <v>0</v>
      </c>
      <c r="M101" s="2">
        <f t="shared" si="41"/>
        <v>0</v>
      </c>
      <c r="N101" s="2">
        <f t="shared" si="41"/>
        <v>0</v>
      </c>
    </row>
    <row r="102" spans="2:14">
      <c r="C102" s="18" t="s">
        <v>38</v>
      </c>
      <c r="F102" s="36"/>
      <c r="G102" s="17">
        <v>48.9</v>
      </c>
      <c r="H102" s="17">
        <v>57.9</v>
      </c>
      <c r="I102" s="17">
        <v>61.9</v>
      </c>
      <c r="J102" s="77">
        <f>Assumptions!J64</f>
        <v>62.930002950474183</v>
      </c>
      <c r="K102" s="77">
        <f>Assumptions!K64</f>
        <v>64.202191713382504</v>
      </c>
      <c r="L102" s="77">
        <f>Assumptions!L64</f>
        <v>65.493531251253955</v>
      </c>
      <c r="M102" s="77">
        <f>Assumptions!M64</f>
        <v>66.621752012731392</v>
      </c>
      <c r="N102" s="77">
        <f>Assumptions!N64</f>
        <v>68.134689039233052</v>
      </c>
    </row>
    <row r="103" spans="2:14">
      <c r="C103" s="18" t="s">
        <v>62</v>
      </c>
      <c r="F103" s="36"/>
      <c r="G103" s="17">
        <v>88.4</v>
      </c>
      <c r="H103" s="17">
        <v>65.3</v>
      </c>
      <c r="I103" s="17">
        <v>81.400000000000006</v>
      </c>
      <c r="J103" s="77">
        <f>Assumptions!J65</f>
        <v>83.157503898840886</v>
      </c>
      <c r="K103" s="77">
        <f>Assumptions!K65</f>
        <v>84.838610478398309</v>
      </c>
      <c r="L103" s="77">
        <f>Assumptions!L65</f>
        <v>86.545023439157006</v>
      </c>
      <c r="M103" s="77">
        <f>Assumptions!M65</f>
        <v>88.035886588252197</v>
      </c>
      <c r="N103" s="77">
        <f>Assumptions!N65</f>
        <v>90.035124801843665</v>
      </c>
    </row>
    <row r="104" spans="2:14">
      <c r="C104" s="18" t="s">
        <v>63</v>
      </c>
      <c r="F104" s="36"/>
      <c r="G104" s="35">
        <v>60.2</v>
      </c>
      <c r="H104" s="35">
        <v>60.7</v>
      </c>
      <c r="I104" s="35">
        <v>73.099999999999994</v>
      </c>
      <c r="J104" s="77">
        <f>Assumptions!J66</f>
        <v>74.167503477344567</v>
      </c>
      <c r="K104" s="77">
        <f>Assumptions!K66</f>
        <v>75.666868805057945</v>
      </c>
      <c r="L104" s="77">
        <f>Assumptions!L66</f>
        <v>77.188804688977868</v>
      </c>
      <c r="M104" s="77">
        <f>Assumptions!M66</f>
        <v>78.51849344357629</v>
      </c>
      <c r="N104" s="77">
        <f>Assumptions!N66</f>
        <v>80.301597796238951</v>
      </c>
    </row>
    <row r="105" spans="2:14">
      <c r="C105" s="18" t="s">
        <v>29</v>
      </c>
      <c r="F105" s="36"/>
      <c r="G105" s="16">
        <v>6.8</v>
      </c>
      <c r="H105" s="16">
        <v>7.1</v>
      </c>
      <c r="I105" s="87">
        <v>6.9</v>
      </c>
      <c r="J105" s="77">
        <f>Assumptions!J67</f>
        <v>6.742500316122233</v>
      </c>
      <c r="K105" s="77">
        <f>Assumptions!K67</f>
        <v>6.8788062550052675</v>
      </c>
      <c r="L105" s="77">
        <f>Assumptions!L67</f>
        <v>7.0171640626343503</v>
      </c>
      <c r="M105" s="77">
        <f>Assumptions!M67</f>
        <v>7.1380448585069356</v>
      </c>
      <c r="N105" s="77">
        <f>Assumptions!N67</f>
        <v>7.3001452542035397</v>
      </c>
    </row>
    <row r="106" spans="2:14">
      <c r="C106" s="13" t="s">
        <v>39</v>
      </c>
      <c r="F106" s="34"/>
      <c r="G106" s="41">
        <f>SUM(G101:G105)</f>
        <v>269.3</v>
      </c>
      <c r="H106" s="41">
        <f t="shared" ref="H106:N106" si="42">SUM(H101:H105)</f>
        <v>191.1</v>
      </c>
      <c r="I106" s="45">
        <f t="shared" si="42"/>
        <v>223.3</v>
      </c>
      <c r="J106" s="45">
        <f>SUM(J101:J105)</f>
        <v>226.99751064278189</v>
      </c>
      <c r="K106" s="45">
        <f t="shared" si="42"/>
        <v>231.58647725184403</v>
      </c>
      <c r="L106" s="45">
        <f t="shared" si="42"/>
        <v>236.24452344202317</v>
      </c>
      <c r="M106" s="45">
        <f t="shared" si="42"/>
        <v>240.31417690306682</v>
      </c>
      <c r="N106" s="45">
        <f t="shared" si="42"/>
        <v>245.7715568915192</v>
      </c>
    </row>
    <row r="107" spans="2:14" ht="10.95" customHeight="1">
      <c r="F107" s="34"/>
      <c r="G107" s="34"/>
      <c r="H107" s="34"/>
      <c r="I107" s="34"/>
    </row>
    <row r="108" spans="2:14">
      <c r="C108" s="18" t="s">
        <v>48</v>
      </c>
      <c r="F108" s="48"/>
      <c r="G108" s="17">
        <v>1000.2</v>
      </c>
      <c r="H108" s="17">
        <v>1013.4000000000001</v>
      </c>
      <c r="I108" s="17">
        <v>1008.5000000000001</v>
      </c>
      <c r="J108" s="84">
        <f>J212</f>
        <v>988.50000000000011</v>
      </c>
      <c r="K108" s="84">
        <f t="shared" ref="K108:N108" si="43">K212</f>
        <v>968.50000000000011</v>
      </c>
      <c r="L108" s="84">
        <f t="shared" si="43"/>
        <v>948.50000000000011</v>
      </c>
      <c r="M108" s="84">
        <f t="shared" si="43"/>
        <v>928.50000000000011</v>
      </c>
      <c r="N108" s="84">
        <f t="shared" si="43"/>
        <v>908.50000000000011</v>
      </c>
    </row>
    <row r="109" spans="2:14">
      <c r="C109" s="18" t="s">
        <v>49</v>
      </c>
      <c r="F109" s="48"/>
      <c r="G109" s="17">
        <v>723.1</v>
      </c>
      <c r="H109" s="17">
        <v>661</v>
      </c>
      <c r="I109" s="17">
        <v>611.79999999999995</v>
      </c>
      <c r="J109" s="84">
        <f>J206</f>
        <v>571.79999999999995</v>
      </c>
      <c r="K109" s="84">
        <f t="shared" ref="K109:N109" si="44">K206</f>
        <v>531.79999999999995</v>
      </c>
      <c r="L109" s="84">
        <f t="shared" si="44"/>
        <v>491.79999999999995</v>
      </c>
      <c r="M109" s="84">
        <f t="shared" si="44"/>
        <v>451.79999999999995</v>
      </c>
      <c r="N109" s="84">
        <f t="shared" si="44"/>
        <v>411.79999999999995</v>
      </c>
    </row>
    <row r="110" spans="2:14">
      <c r="C110" s="2" t="s">
        <v>12</v>
      </c>
      <c r="F110" s="48"/>
      <c r="G110" s="17">
        <v>77.8</v>
      </c>
      <c r="H110" s="17">
        <v>60</v>
      </c>
      <c r="I110" s="17">
        <v>53.3</v>
      </c>
      <c r="J110" s="84">
        <f>I110+J177</f>
        <v>67.3</v>
      </c>
      <c r="K110" s="2">
        <f t="shared" ref="K110:N110" si="45">J110+K177</f>
        <v>81.3</v>
      </c>
      <c r="L110" s="2">
        <f t="shared" si="45"/>
        <v>95.3</v>
      </c>
      <c r="M110" s="2">
        <f t="shared" si="45"/>
        <v>109.3</v>
      </c>
      <c r="N110" s="2">
        <f t="shared" si="45"/>
        <v>123.3</v>
      </c>
    </row>
    <row r="111" spans="2:14">
      <c r="C111" s="18" t="s">
        <v>29</v>
      </c>
      <c r="F111" s="48"/>
      <c r="G111" s="16">
        <v>93.9</v>
      </c>
      <c r="H111" s="16">
        <v>91.5</v>
      </c>
      <c r="I111" s="87">
        <v>92.9</v>
      </c>
      <c r="J111" s="84">
        <f>I111+Assumptions!J27</f>
        <v>92.9</v>
      </c>
      <c r="K111" s="84">
        <f>J111+Assumptions!K27</f>
        <v>92.9</v>
      </c>
      <c r="L111" s="84">
        <f>K111+Assumptions!L27</f>
        <v>92.9</v>
      </c>
      <c r="M111" s="84">
        <f>L111+Assumptions!M27</f>
        <v>92.9</v>
      </c>
      <c r="N111" s="84">
        <f>M111+Assumptions!N27</f>
        <v>92.9</v>
      </c>
    </row>
    <row r="112" spans="2:14">
      <c r="C112" s="19" t="s">
        <v>40</v>
      </c>
      <c r="F112" s="36"/>
      <c r="G112" s="41">
        <f>SUM(G108:G111)</f>
        <v>1895.0000000000002</v>
      </c>
      <c r="H112" s="41">
        <f t="shared" ref="H112:I112" si="46">SUM(H108:H111)</f>
        <v>1825.9</v>
      </c>
      <c r="I112" s="45">
        <f t="shared" si="46"/>
        <v>1766.5000000000002</v>
      </c>
      <c r="J112" s="45">
        <f>SUM(J108:J111)</f>
        <v>1720.5000000000002</v>
      </c>
      <c r="K112" s="45">
        <f>SUM(K108:K111)</f>
        <v>1674.5000000000002</v>
      </c>
      <c r="L112" s="45">
        <f t="shared" ref="L112:N112" si="47">SUM(L108:L111)</f>
        <v>1628.5000000000002</v>
      </c>
      <c r="M112" s="45">
        <f t="shared" si="47"/>
        <v>1582.5000000000002</v>
      </c>
      <c r="N112" s="45">
        <f t="shared" si="47"/>
        <v>1536.5000000000002</v>
      </c>
    </row>
    <row r="113" spans="2:14" ht="10.95" customHeight="1">
      <c r="C113" s="13"/>
      <c r="F113" s="34"/>
      <c r="G113" s="46"/>
      <c r="H113" s="46"/>
      <c r="I113" s="101"/>
      <c r="J113" s="101"/>
      <c r="K113" s="101"/>
      <c r="L113" s="101"/>
      <c r="M113" s="101"/>
      <c r="N113" s="101"/>
    </row>
    <row r="114" spans="2:14">
      <c r="C114" s="19" t="s">
        <v>41</v>
      </c>
      <c r="F114" s="38"/>
      <c r="G114" s="15">
        <f>G106+G112</f>
        <v>2164.3000000000002</v>
      </c>
      <c r="H114" s="15">
        <f t="shared" ref="H114:I114" si="48">H106+H112</f>
        <v>2017</v>
      </c>
      <c r="I114" s="99">
        <f t="shared" si="48"/>
        <v>1989.8000000000002</v>
      </c>
      <c r="J114" s="99">
        <f>J106+J112</f>
        <v>1947.4975106427821</v>
      </c>
      <c r="K114" s="99">
        <f t="shared" ref="K114:N114" si="49">K106+K112</f>
        <v>1906.0864772518444</v>
      </c>
      <c r="L114" s="99">
        <f t="shared" si="49"/>
        <v>1864.7445234420234</v>
      </c>
      <c r="M114" s="99">
        <f t="shared" si="49"/>
        <v>1822.8141769030672</v>
      </c>
      <c r="N114" s="99">
        <f t="shared" si="49"/>
        <v>1782.2715568915194</v>
      </c>
    </row>
    <row r="115" spans="2:14" ht="10.95" customHeight="1">
      <c r="F115" s="34"/>
      <c r="G115" s="34"/>
      <c r="H115" s="34"/>
      <c r="I115" s="34"/>
    </row>
    <row r="116" spans="2:14" ht="10.95" customHeight="1">
      <c r="C116" s="2" t="s">
        <v>112</v>
      </c>
      <c r="F116" s="34"/>
      <c r="G116" s="34"/>
      <c r="H116" s="34"/>
      <c r="I116" s="34">
        <v>0</v>
      </c>
      <c r="J116" s="84">
        <f>J185</f>
        <v>0</v>
      </c>
      <c r="K116" s="84">
        <f t="shared" ref="K116:N116" si="50">K185</f>
        <v>50</v>
      </c>
      <c r="L116" s="84">
        <f t="shared" si="50"/>
        <v>50</v>
      </c>
      <c r="M116" s="84">
        <f t="shared" si="50"/>
        <v>50</v>
      </c>
      <c r="N116" s="84">
        <f t="shared" si="50"/>
        <v>50</v>
      </c>
    </row>
    <row r="117" spans="2:14">
      <c r="C117" s="2" t="s">
        <v>54</v>
      </c>
      <c r="F117" s="34"/>
      <c r="G117" s="17">
        <v>1504.6</v>
      </c>
      <c r="H117" s="17">
        <v>1504.6</v>
      </c>
      <c r="I117" s="17">
        <v>1579.6</v>
      </c>
      <c r="J117" s="84">
        <f>J192</f>
        <v>1579.6</v>
      </c>
      <c r="K117" s="84">
        <f t="shared" ref="K117:N117" si="51">K192</f>
        <v>1579.6</v>
      </c>
      <c r="L117" s="84">
        <f t="shared" si="51"/>
        <v>1579.6</v>
      </c>
      <c r="M117" s="84">
        <f t="shared" si="51"/>
        <v>1579.6</v>
      </c>
      <c r="N117" s="84">
        <f t="shared" si="51"/>
        <v>1579.6</v>
      </c>
    </row>
    <row r="118" spans="2:14">
      <c r="C118" s="2" t="s">
        <v>42</v>
      </c>
      <c r="F118" s="34"/>
      <c r="G118" s="17">
        <v>-963.5</v>
      </c>
      <c r="H118" s="17">
        <v>-1001.4</v>
      </c>
      <c r="I118" s="17">
        <v>-1037.5</v>
      </c>
      <c r="J118" s="85">
        <f>I118+J37-J193</f>
        <v>-1037.5011107142857</v>
      </c>
      <c r="K118" s="85">
        <f>J118+K37-K193</f>
        <v>-1015.1861887276997</v>
      </c>
      <c r="L118" s="85">
        <f>K118+L37-L193</f>
        <v>-965.79754304393407</v>
      </c>
      <c r="M118" s="85">
        <f>L118+M37-M193</f>
        <v>-887.51083387194512</v>
      </c>
      <c r="N118" s="85">
        <f>M118+N37-N193</f>
        <v>-778.20994518000498</v>
      </c>
    </row>
    <row r="119" spans="2:14">
      <c r="C119" s="2" t="s">
        <v>29</v>
      </c>
      <c r="F119" s="34"/>
      <c r="G119" s="16">
        <v>16.7</v>
      </c>
      <c r="H119" s="16">
        <v>15.8</v>
      </c>
      <c r="I119" s="87">
        <v>16.3</v>
      </c>
      <c r="J119" s="84">
        <f>I119+Assumptions!J28</f>
        <v>16.3</v>
      </c>
      <c r="K119" s="84">
        <f>J119+Assumptions!K28</f>
        <v>16.3</v>
      </c>
      <c r="L119" s="84">
        <f>K119+Assumptions!L28</f>
        <v>16.3</v>
      </c>
      <c r="M119" s="84">
        <f>L119+Assumptions!M28</f>
        <v>16.3</v>
      </c>
      <c r="N119" s="84">
        <f>M119+Assumptions!N28</f>
        <v>16.3</v>
      </c>
    </row>
    <row r="120" spans="2:14">
      <c r="C120" s="13" t="s">
        <v>43</v>
      </c>
      <c r="F120" s="36"/>
      <c r="G120" s="15">
        <f>SUM(G117:G119)</f>
        <v>557.79999999999995</v>
      </c>
      <c r="H120" s="15">
        <f>SUM(H117:H119)</f>
        <v>518.99999999999989</v>
      </c>
      <c r="I120" s="86">
        <f>SUM(I117:I119)</f>
        <v>558.39999999999986</v>
      </c>
      <c r="J120" s="86">
        <f>SUM(J116:J119)</f>
        <v>558.39888928571418</v>
      </c>
      <c r="K120" s="86">
        <f t="shared" ref="K120:N120" si="52">SUM(K116:K119)</f>
        <v>630.71381127230018</v>
      </c>
      <c r="L120" s="86">
        <f t="shared" si="52"/>
        <v>680.10245695606579</v>
      </c>
      <c r="M120" s="86">
        <f t="shared" si="52"/>
        <v>758.38916612805474</v>
      </c>
      <c r="N120" s="86">
        <f t="shared" si="52"/>
        <v>867.69005481999488</v>
      </c>
    </row>
    <row r="121" spans="2:14">
      <c r="F121" s="34"/>
      <c r="G121" s="34"/>
      <c r="H121" s="34"/>
      <c r="I121" s="102"/>
      <c r="J121" s="102"/>
      <c r="K121" s="102"/>
      <c r="L121" s="102"/>
      <c r="M121" s="102"/>
      <c r="N121" s="102"/>
    </row>
    <row r="122" spans="2:14" ht="13.25" thickBot="1">
      <c r="B122" s="13" t="s">
        <v>44</v>
      </c>
      <c r="F122" s="38"/>
      <c r="G122" s="47">
        <f>G120+G114</f>
        <v>2722.1000000000004</v>
      </c>
      <c r="H122" s="47">
        <f>H120+H114</f>
        <v>2536</v>
      </c>
      <c r="I122" s="47">
        <f>I120+I114</f>
        <v>2548.1999999999998</v>
      </c>
      <c r="J122" s="47">
        <f>J120+J114</f>
        <v>2505.8963999284961</v>
      </c>
      <c r="K122" s="47">
        <f t="shared" ref="K122:N122" si="53">K120+K114</f>
        <v>2536.8002885241444</v>
      </c>
      <c r="L122" s="47">
        <f t="shared" si="53"/>
        <v>2544.8469803980893</v>
      </c>
      <c r="M122" s="47">
        <f t="shared" si="53"/>
        <v>2581.2033430311221</v>
      </c>
      <c r="N122" s="47">
        <f t="shared" si="53"/>
        <v>2649.9616117115143</v>
      </c>
    </row>
    <row r="123" spans="2:14" ht="6" customHeight="1" thickTop="1">
      <c r="F123" s="49"/>
      <c r="G123" s="49"/>
      <c r="H123" s="49"/>
      <c r="I123" s="103"/>
      <c r="J123" s="103"/>
      <c r="K123" s="103"/>
      <c r="L123" s="103"/>
      <c r="M123" s="103"/>
      <c r="N123" s="103"/>
    </row>
    <row r="124" spans="2:14" ht="6" customHeight="1">
      <c r="B124" s="50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spans="2:14">
      <c r="B125" s="32"/>
      <c r="I125" s="95"/>
      <c r="J125" s="95"/>
      <c r="K125" s="95"/>
      <c r="L125" s="95"/>
      <c r="M125" s="95"/>
      <c r="N125" s="95"/>
    </row>
    <row r="126" spans="2:14">
      <c r="G126" s="114">
        <f>G122-G97</f>
        <v>0</v>
      </c>
      <c r="H126" s="114">
        <f>H122-H97</f>
        <v>0</v>
      </c>
      <c r="I126" s="115">
        <f>I122-I97</f>
        <v>0</v>
      </c>
      <c r="J126" s="115">
        <f>J122-J97</f>
        <v>0</v>
      </c>
      <c r="K126" s="115">
        <f t="shared" ref="K126:N126" si="54">K122-K97</f>
        <v>0</v>
      </c>
      <c r="L126" s="115">
        <f t="shared" si="54"/>
        <v>0</v>
      </c>
      <c r="M126" s="115">
        <f t="shared" si="54"/>
        <v>0</v>
      </c>
      <c r="N126" s="115">
        <f t="shared" si="54"/>
        <v>0</v>
      </c>
    </row>
    <row r="129" spans="2:14">
      <c r="B129" s="9" t="s">
        <v>67</v>
      </c>
    </row>
    <row r="130" spans="2:14" s="9" customFormat="1">
      <c r="C130" s="9" t="str">
        <f>C14</f>
        <v>Revenue</v>
      </c>
      <c r="I130" s="9">
        <f>I14</f>
        <v>746</v>
      </c>
      <c r="J130" s="78">
        <f>J132*J133</f>
        <v>807.74584615384606</v>
      </c>
      <c r="K130" s="78">
        <f t="shared" ref="K130:N130" si="55">K132*K133</f>
        <v>872.9000515384613</v>
      </c>
      <c r="L130" s="78">
        <f t="shared" si="55"/>
        <v>941.62556263846125</v>
      </c>
      <c r="M130" s="78">
        <f t="shared" si="55"/>
        <v>1014.0925569523265</v>
      </c>
      <c r="N130" s="78">
        <f t="shared" si="55"/>
        <v>1090.4787495539304</v>
      </c>
    </row>
    <row r="131" spans="2:14">
      <c r="C131" s="2" t="s">
        <v>68</v>
      </c>
      <c r="I131" s="72">
        <v>65</v>
      </c>
      <c r="J131" s="77">
        <f>I131+Scenario!J19</f>
        <v>68</v>
      </c>
      <c r="K131" s="77">
        <f>J131+Scenario!K19</f>
        <v>71</v>
      </c>
      <c r="L131" s="77">
        <f>K131+Scenario!L19</f>
        <v>74</v>
      </c>
      <c r="M131" s="77">
        <f>L131+Scenario!M19</f>
        <v>77</v>
      </c>
      <c r="N131" s="77">
        <f>M131+Scenario!N19</f>
        <v>80</v>
      </c>
    </row>
    <row r="132" spans="2:14">
      <c r="C132" s="2" t="s">
        <v>69</v>
      </c>
      <c r="I132" s="2">
        <f>I131*Scenario!I7</f>
        <v>65</v>
      </c>
      <c r="J132" s="77">
        <f>J131*Scenario!J7</f>
        <v>68</v>
      </c>
      <c r="K132" s="77">
        <f>K131*Scenario!K7</f>
        <v>71</v>
      </c>
      <c r="L132" s="77">
        <f>L131*Scenario!L7</f>
        <v>74</v>
      </c>
      <c r="M132" s="77">
        <f>M131*Scenario!M7</f>
        <v>77</v>
      </c>
      <c r="N132" s="77">
        <f>N131*Scenario!N7</f>
        <v>80</v>
      </c>
    </row>
    <row r="133" spans="2:14">
      <c r="C133" s="2" t="s">
        <v>77</v>
      </c>
      <c r="I133" s="2">
        <f>I130/I132</f>
        <v>11.476923076923077</v>
      </c>
      <c r="J133" s="77">
        <f>Model!I133*(1+Scenario!J13)</f>
        <v>11.878615384615383</v>
      </c>
      <c r="K133" s="77">
        <f>Model!J133*(1+Scenario!K13)</f>
        <v>12.29436692307692</v>
      </c>
      <c r="L133" s="77">
        <f>Model!K133*(1+Scenario!L13)</f>
        <v>12.724669765384611</v>
      </c>
      <c r="M133" s="77">
        <f>Model!L133*(1+Scenario!M13)</f>
        <v>13.170033207173072</v>
      </c>
      <c r="N133" s="77">
        <f>Model!M133*(1+Scenario!N13)</f>
        <v>13.630984369424128</v>
      </c>
    </row>
    <row r="135" spans="2:14">
      <c r="B135" s="9" t="s">
        <v>78</v>
      </c>
    </row>
    <row r="136" spans="2:14" s="9" customFormat="1">
      <c r="C136" s="9" t="str">
        <f>C16</f>
        <v>Operating Costs</v>
      </c>
      <c r="I136" s="9">
        <f>I16</f>
        <v>402</v>
      </c>
      <c r="J136" s="78">
        <f>J137+J139</f>
        <v>410.16876923076921</v>
      </c>
      <c r="K136" s="78">
        <f t="shared" ref="K136:N136" si="56">K137+K139</f>
        <v>418.46071384615379</v>
      </c>
      <c r="L136" s="78">
        <f t="shared" si="56"/>
        <v>426.87748047692304</v>
      </c>
      <c r="M136" s="78">
        <f t="shared" si="56"/>
        <v>435.42073636892303</v>
      </c>
      <c r="N136" s="78">
        <f t="shared" si="56"/>
        <v>444.09216963071538</v>
      </c>
    </row>
    <row r="137" spans="2:14">
      <c r="C137" s="2" t="s">
        <v>79</v>
      </c>
      <c r="I137" s="72">
        <v>89</v>
      </c>
      <c r="J137" s="77">
        <f>J138*J132</f>
        <v>94.038769230769233</v>
      </c>
      <c r="K137" s="77">
        <f t="shared" ref="K137:N137" si="57">K138*K132</f>
        <v>99.169413846153844</v>
      </c>
      <c r="L137" s="77">
        <f t="shared" si="57"/>
        <v>104.39326747692309</v>
      </c>
      <c r="M137" s="77">
        <f t="shared" si="57"/>
        <v>109.71168123892308</v>
      </c>
      <c r="N137" s="77">
        <f t="shared" si="57"/>
        <v>115.12602394941538</v>
      </c>
    </row>
    <row r="138" spans="2:14">
      <c r="C138" s="2" t="s">
        <v>82</v>
      </c>
      <c r="I138" s="2">
        <f>I137/I132</f>
        <v>1.3692307692307693</v>
      </c>
      <c r="J138" s="77">
        <f>I138*(1+Scenario!J25)</f>
        <v>1.3829230769230769</v>
      </c>
      <c r="K138" s="77">
        <f>J138*(1+Scenario!K25)</f>
        <v>1.3967523076923076</v>
      </c>
      <c r="L138" s="77">
        <f>K138*(1+Scenario!L25)</f>
        <v>1.4107198307692308</v>
      </c>
      <c r="M138" s="77">
        <f>L138*(1+Scenario!M25)</f>
        <v>1.4248270290769232</v>
      </c>
      <c r="N138" s="77">
        <f>M138*(1+Scenario!N25)</f>
        <v>1.4390752993676923</v>
      </c>
    </row>
    <row r="139" spans="2:14">
      <c r="C139" s="2" t="s">
        <v>80</v>
      </c>
      <c r="I139" s="72">
        <v>313</v>
      </c>
      <c r="J139" s="77">
        <f>I139*(1+Scenario!J25)</f>
        <v>316.13</v>
      </c>
      <c r="K139" s="77">
        <f>J139*(1+Scenario!K25)</f>
        <v>319.29129999999998</v>
      </c>
      <c r="L139" s="77">
        <f>K139*(1+Scenario!L25)</f>
        <v>322.48421299999995</v>
      </c>
      <c r="M139" s="77">
        <f>L139*(1+Scenario!M25)</f>
        <v>325.70905512999997</v>
      </c>
      <c r="N139" s="77">
        <f>M139*(1+Scenario!N25)</f>
        <v>328.96614568129996</v>
      </c>
    </row>
    <row r="141" spans="2:14" s="9" customFormat="1">
      <c r="C141" s="9" t="str">
        <f>C17</f>
        <v>SG&amp;A</v>
      </c>
      <c r="J141" s="79">
        <v>150</v>
      </c>
      <c r="K141" s="78">
        <f>J141*(1+Scenario!K25)</f>
        <v>151.5</v>
      </c>
      <c r="L141" s="78">
        <f>K141*(1+Scenario!L25)</f>
        <v>153.01500000000001</v>
      </c>
      <c r="M141" s="78">
        <f>L141*(1+Scenario!M25)</f>
        <v>154.54515000000001</v>
      </c>
      <c r="N141" s="78">
        <f>M141*(1+Scenario!N25)</f>
        <v>156.09060150000002</v>
      </c>
    </row>
    <row r="143" spans="2:14">
      <c r="B143" s="9" t="s">
        <v>89</v>
      </c>
    </row>
    <row r="144" spans="2:14">
      <c r="C144" s="2" t="str">
        <f>Assumptions!C31</f>
        <v>method of depreciation</v>
      </c>
      <c r="G144" s="2" t="str">
        <f>Assumptions!G31</f>
        <v>straight line</v>
      </c>
    </row>
    <row r="146" spans="3:14">
      <c r="C146" s="2" t="str">
        <f>Assumptions!C32</f>
        <v>years of depreciation - existing assets</v>
      </c>
      <c r="G146" s="2">
        <f>Assumptions!G32</f>
        <v>10</v>
      </c>
    </row>
    <row r="148" spans="3:14">
      <c r="C148" s="2" t="s">
        <v>90</v>
      </c>
      <c r="J148" s="77">
        <f>I150</f>
        <v>1505.4</v>
      </c>
      <c r="K148" s="77">
        <f t="shared" ref="K148:N148" si="58">J150</f>
        <v>1354.8600000000001</v>
      </c>
      <c r="L148" s="77">
        <f t="shared" si="58"/>
        <v>1204.3200000000002</v>
      </c>
      <c r="M148" s="77">
        <f t="shared" si="58"/>
        <v>1053.7800000000002</v>
      </c>
      <c r="N148" s="77">
        <f t="shared" si="58"/>
        <v>903.24000000000024</v>
      </c>
    </row>
    <row r="149" spans="3:14">
      <c r="C149" s="2" t="s">
        <v>91</v>
      </c>
      <c r="J149" s="77">
        <f>J148/$G$146</f>
        <v>150.54000000000002</v>
      </c>
      <c r="K149" s="77">
        <f>J149</f>
        <v>150.54000000000002</v>
      </c>
      <c r="L149" s="77">
        <f t="shared" ref="L149:N149" si="59">K149</f>
        <v>150.54000000000002</v>
      </c>
      <c r="M149" s="77">
        <f t="shared" si="59"/>
        <v>150.54000000000002</v>
      </c>
      <c r="N149" s="77">
        <f t="shared" si="59"/>
        <v>150.54000000000002</v>
      </c>
    </row>
    <row r="150" spans="3:14">
      <c r="C150" s="2" t="s">
        <v>92</v>
      </c>
      <c r="I150" s="20">
        <f>I91</f>
        <v>1505.4</v>
      </c>
      <c r="J150" s="77">
        <f>J148-J149</f>
        <v>1354.8600000000001</v>
      </c>
      <c r="K150" s="77">
        <f t="shared" ref="K150:N150" si="60">K148-K149</f>
        <v>1204.3200000000002</v>
      </c>
      <c r="L150" s="77">
        <f t="shared" si="60"/>
        <v>1053.7800000000002</v>
      </c>
      <c r="M150" s="77">
        <f t="shared" si="60"/>
        <v>903.24000000000024</v>
      </c>
      <c r="N150" s="77">
        <f t="shared" si="60"/>
        <v>752.70000000000027</v>
      </c>
    </row>
    <row r="152" spans="3:14">
      <c r="C152" s="2" t="str">
        <f>Assumptions!C33</f>
        <v>years of depreciation - new assets</v>
      </c>
      <c r="G152" s="2">
        <f>Assumptions!G33</f>
        <v>14</v>
      </c>
    </row>
    <row r="154" spans="3:14">
      <c r="D154" s="9" t="s">
        <v>93</v>
      </c>
      <c r="E154" s="9" t="s">
        <v>94</v>
      </c>
    </row>
    <row r="155" spans="3:14">
      <c r="D155" s="2">
        <v>2025</v>
      </c>
      <c r="E155" s="2">
        <f>HLOOKUP(D155,Assumptions!$G$5:$N$7,3,0)</f>
        <v>125</v>
      </c>
      <c r="J155" s="77">
        <f t="shared" ref="J155:N159" si="61">IF(J$3=$D155,($E155/$G$152)/2,IF(J$3&gt;$D155,($E155/$G$152),""))</f>
        <v>4.4642857142857144</v>
      </c>
      <c r="K155" s="77">
        <f t="shared" si="61"/>
        <v>8.9285714285714288</v>
      </c>
      <c r="L155" s="77">
        <f t="shared" si="61"/>
        <v>8.9285714285714288</v>
      </c>
      <c r="M155" s="77">
        <f t="shared" si="61"/>
        <v>8.9285714285714288</v>
      </c>
      <c r="N155" s="77">
        <f t="shared" si="61"/>
        <v>8.9285714285714288</v>
      </c>
    </row>
    <row r="156" spans="3:14">
      <c r="D156" s="2">
        <f>D155+1</f>
        <v>2026</v>
      </c>
      <c r="E156" s="2">
        <f>HLOOKUP(D156,Assumptions!$G$5:$N$7,3,0)</f>
        <v>150</v>
      </c>
      <c r="J156" s="77" t="str">
        <f t="shared" si="61"/>
        <v/>
      </c>
      <c r="K156" s="77">
        <f t="shared" si="61"/>
        <v>5.3571428571428568</v>
      </c>
      <c r="L156" s="77">
        <f t="shared" si="61"/>
        <v>10.714285714285714</v>
      </c>
      <c r="M156" s="77">
        <f t="shared" si="61"/>
        <v>10.714285714285714</v>
      </c>
      <c r="N156" s="77">
        <f t="shared" si="61"/>
        <v>10.714285714285714</v>
      </c>
    </row>
    <row r="157" spans="3:14">
      <c r="D157" s="2">
        <f t="shared" ref="D157:D159" si="62">D156+1</f>
        <v>2027</v>
      </c>
      <c r="E157" s="2">
        <f>HLOOKUP(D157,Assumptions!$G$5:$N$7,3,0)</f>
        <v>150</v>
      </c>
      <c r="J157" s="77" t="str">
        <f t="shared" si="61"/>
        <v/>
      </c>
      <c r="K157" s="77" t="str">
        <f t="shared" si="61"/>
        <v/>
      </c>
      <c r="L157" s="77">
        <f t="shared" si="61"/>
        <v>5.3571428571428568</v>
      </c>
      <c r="M157" s="77">
        <f t="shared" si="61"/>
        <v>10.714285714285714</v>
      </c>
      <c r="N157" s="77">
        <f t="shared" si="61"/>
        <v>10.714285714285714</v>
      </c>
    </row>
    <row r="158" spans="3:14">
      <c r="D158" s="2">
        <f t="shared" si="62"/>
        <v>2028</v>
      </c>
      <c r="E158" s="2">
        <f>HLOOKUP(D158,Assumptions!$G$5:$N$7,3,0)</f>
        <v>150</v>
      </c>
      <c r="J158" s="77" t="str">
        <f t="shared" si="61"/>
        <v/>
      </c>
      <c r="K158" s="77" t="str">
        <f t="shared" si="61"/>
        <v/>
      </c>
      <c r="L158" s="77" t="str">
        <f t="shared" si="61"/>
        <v/>
      </c>
      <c r="M158" s="77">
        <f t="shared" si="61"/>
        <v>5.3571428571428568</v>
      </c>
      <c r="N158" s="77">
        <f t="shared" si="61"/>
        <v>10.714285714285714</v>
      </c>
    </row>
    <row r="159" spans="3:14">
      <c r="D159" s="2">
        <f t="shared" si="62"/>
        <v>2029</v>
      </c>
      <c r="E159" s="2">
        <f>HLOOKUP(D159,Assumptions!$G$5:$N$7,3,0)</f>
        <v>150</v>
      </c>
      <c r="J159" s="77" t="str">
        <f t="shared" si="61"/>
        <v/>
      </c>
      <c r="K159" s="77" t="str">
        <f t="shared" si="61"/>
        <v/>
      </c>
      <c r="L159" s="77" t="str">
        <f t="shared" si="61"/>
        <v/>
      </c>
      <c r="M159" s="77" t="str">
        <f t="shared" si="61"/>
        <v/>
      </c>
      <c r="N159" s="77">
        <f t="shared" si="61"/>
        <v>5.3571428571428568</v>
      </c>
    </row>
    <row r="162" spans="2:14">
      <c r="C162" s="2" t="s">
        <v>90</v>
      </c>
      <c r="K162" s="77">
        <f>J164</f>
        <v>120.53571428571429</v>
      </c>
      <c r="L162" s="77">
        <f t="shared" ref="L162:N162" si="63">K164</f>
        <v>256.25</v>
      </c>
      <c r="M162" s="77">
        <f t="shared" si="63"/>
        <v>381.25</v>
      </c>
      <c r="N162" s="77">
        <f t="shared" si="63"/>
        <v>495.53571428571428</v>
      </c>
    </row>
    <row r="163" spans="2:14">
      <c r="C163" s="2" t="s">
        <v>91</v>
      </c>
      <c r="J163" s="77">
        <f>SUM(J155:J159)</f>
        <v>4.4642857142857144</v>
      </c>
      <c r="K163" s="77">
        <f t="shared" ref="K163:N163" si="64">SUM(K155:K159)</f>
        <v>14.285714285714285</v>
      </c>
      <c r="L163" s="77">
        <f t="shared" si="64"/>
        <v>25</v>
      </c>
      <c r="M163" s="77">
        <f t="shared" si="64"/>
        <v>35.714285714285708</v>
      </c>
      <c r="N163" s="77">
        <f t="shared" si="64"/>
        <v>46.428571428571423</v>
      </c>
    </row>
    <row r="164" spans="2:14">
      <c r="C164" s="2" t="s">
        <v>92</v>
      </c>
      <c r="J164" s="77">
        <f>VLOOKUP(J$3,$D$155:$E$159,2,0)-J163+J162</f>
        <v>120.53571428571429</v>
      </c>
      <c r="K164" s="77">
        <f>VLOOKUP(K$3,$D$155:$E$159,2,0)-K163+K162</f>
        <v>256.25</v>
      </c>
      <c r="L164" s="77">
        <f>VLOOKUP(L$3,$D$155:$E$159,2,0)-L163+L162</f>
        <v>381.25</v>
      </c>
      <c r="M164" s="77">
        <f>VLOOKUP(M$3,$D$155:$E$159,2,0)-M163+M162</f>
        <v>495.53571428571428</v>
      </c>
      <c r="N164" s="77">
        <f>VLOOKUP(N$3,$D$155:$E$159,2,0)-N163+N162</f>
        <v>599.10714285714289</v>
      </c>
    </row>
    <row r="166" spans="2:14" s="9" customFormat="1">
      <c r="C166" s="9" t="s">
        <v>95</v>
      </c>
      <c r="J166" s="78">
        <f>J149+J163</f>
        <v>155.00428571428574</v>
      </c>
      <c r="K166" s="78">
        <f t="shared" ref="K166:N166" si="65">K149+K163</f>
        <v>164.8257142857143</v>
      </c>
      <c r="L166" s="78">
        <f t="shared" si="65"/>
        <v>175.54000000000002</v>
      </c>
      <c r="M166" s="78">
        <f t="shared" si="65"/>
        <v>186.25428571428574</v>
      </c>
      <c r="N166" s="78">
        <f t="shared" si="65"/>
        <v>196.96857142857144</v>
      </c>
    </row>
    <row r="167" spans="2:14" s="9" customFormat="1">
      <c r="C167" s="9" t="s">
        <v>96</v>
      </c>
      <c r="J167" s="78">
        <f>J150+J164</f>
        <v>1475.3957142857143</v>
      </c>
      <c r="K167" s="78">
        <f t="shared" ref="K167:N167" si="66">K150+K164</f>
        <v>1460.5700000000002</v>
      </c>
      <c r="L167" s="78">
        <f t="shared" si="66"/>
        <v>1435.0300000000002</v>
      </c>
      <c r="M167" s="78">
        <f t="shared" si="66"/>
        <v>1398.7757142857145</v>
      </c>
      <c r="N167" s="78">
        <f t="shared" si="66"/>
        <v>1351.8071428571432</v>
      </c>
    </row>
    <row r="169" spans="2:14">
      <c r="B169" s="9" t="s">
        <v>99</v>
      </c>
    </row>
    <row r="170" spans="2:14" s="9" customFormat="1">
      <c r="C170" s="9" t="str">
        <f>Assumptions!C35</f>
        <v>Tax rate</v>
      </c>
      <c r="G170" s="104">
        <f>Assumptions!G35</f>
        <v>0.35</v>
      </c>
      <c r="I170" s="9" t="s">
        <v>132</v>
      </c>
    </row>
    <row r="172" spans="2:14">
      <c r="C172" s="2" t="str">
        <f>C28</f>
        <v>EBT</v>
      </c>
      <c r="J172" s="77">
        <f>J28</f>
        <v>-1.7087912088413759E-3</v>
      </c>
      <c r="K172" s="77">
        <f>K28</f>
        <v>49.067157666511534</v>
      </c>
      <c r="L172" s="77">
        <f>L28</f>
        <v>101.13201093031853</v>
      </c>
      <c r="M172" s="77">
        <f>M28</f>
        <v>156.70520994613253</v>
      </c>
      <c r="N172" s="77">
        <f>N28</f>
        <v>216.34786286911566</v>
      </c>
    </row>
    <row r="173" spans="2:14">
      <c r="C173" s="2" t="str">
        <f>Assumptions!C8</f>
        <v>income timing differences for accounting purposes</v>
      </c>
      <c r="J173" s="2">
        <f>Assumptions!J8</f>
        <v>40</v>
      </c>
      <c r="K173" s="2">
        <f>Assumptions!K8</f>
        <v>40</v>
      </c>
      <c r="L173" s="2">
        <f>Assumptions!L8</f>
        <v>40</v>
      </c>
      <c r="M173" s="2">
        <f>Assumptions!M8</f>
        <v>40</v>
      </c>
      <c r="N173" s="2">
        <f>Assumptions!N8</f>
        <v>40</v>
      </c>
    </row>
    <row r="174" spans="2:14">
      <c r="C174" s="2" t="s">
        <v>100</v>
      </c>
      <c r="J174" s="77">
        <f>J172-J173</f>
        <v>-40.001708791208841</v>
      </c>
      <c r="K174" s="77">
        <f t="shared" ref="K174:N174" si="67">K172-K173</f>
        <v>9.0671576665115339</v>
      </c>
      <c r="L174" s="77">
        <f t="shared" si="67"/>
        <v>61.132010930318529</v>
      </c>
      <c r="M174" s="77">
        <f t="shared" si="67"/>
        <v>116.70520994613253</v>
      </c>
      <c r="N174" s="77">
        <f t="shared" si="67"/>
        <v>176.34786286911566</v>
      </c>
    </row>
    <row r="176" spans="2:14" s="9" customFormat="1">
      <c r="C176" s="9" t="s">
        <v>99</v>
      </c>
      <c r="J176" s="78">
        <f t="shared" ref="J176:N176" si="68">J174*$G$170</f>
        <v>-14.000598076923094</v>
      </c>
      <c r="K176" s="78">
        <f t="shared" si="68"/>
        <v>3.1735051832790369</v>
      </c>
      <c r="L176" s="78">
        <f t="shared" si="68"/>
        <v>21.396203825611483</v>
      </c>
      <c r="M176" s="78">
        <f t="shared" si="68"/>
        <v>40.84682348114638</v>
      </c>
      <c r="N176" s="78">
        <f t="shared" si="68"/>
        <v>61.721752004190478</v>
      </c>
    </row>
    <row r="177" spans="2:14" s="9" customFormat="1">
      <c r="C177" s="9" t="s">
        <v>101</v>
      </c>
      <c r="J177" s="78">
        <f>J173*$G$170</f>
        <v>14</v>
      </c>
      <c r="K177" s="78">
        <f t="shared" ref="K177:N177" si="69">K173*$G$170</f>
        <v>14</v>
      </c>
      <c r="L177" s="78">
        <f t="shared" si="69"/>
        <v>14</v>
      </c>
      <c r="M177" s="78">
        <f t="shared" si="69"/>
        <v>14</v>
      </c>
      <c r="N177" s="78">
        <f t="shared" si="69"/>
        <v>14</v>
      </c>
    </row>
    <row r="179" spans="2:14">
      <c r="B179" s="9" t="s">
        <v>108</v>
      </c>
    </row>
    <row r="181" spans="2:14" s="9" customFormat="1">
      <c r="C181" s="9" t="str">
        <f>Assumptions!C37</f>
        <v>dividend yield of preferrence shares</v>
      </c>
      <c r="G181" s="104">
        <f>Assumptions!G37</f>
        <v>0.08</v>
      </c>
      <c r="I181" s="9" t="s">
        <v>138</v>
      </c>
    </row>
    <row r="183" spans="2:14">
      <c r="C183" s="2" t="s">
        <v>90</v>
      </c>
      <c r="J183" s="20">
        <f>I185</f>
        <v>0</v>
      </c>
      <c r="K183" s="2">
        <f t="shared" ref="K183:N183" si="70">J185</f>
        <v>0</v>
      </c>
      <c r="L183" s="2">
        <f t="shared" si="70"/>
        <v>50</v>
      </c>
      <c r="M183" s="2">
        <f t="shared" si="70"/>
        <v>50</v>
      </c>
      <c r="N183" s="2">
        <f t="shared" si="70"/>
        <v>50</v>
      </c>
    </row>
    <row r="184" spans="2:14">
      <c r="C184" s="2" t="str">
        <f>Assumptions!C10</f>
        <v>Preferrence Share Issuance / (Buy-Back)</v>
      </c>
      <c r="J184" s="2">
        <f>Assumptions!J10</f>
        <v>0</v>
      </c>
      <c r="K184" s="2">
        <f>Assumptions!K10</f>
        <v>50</v>
      </c>
      <c r="L184" s="2">
        <f>Assumptions!L10</f>
        <v>0</v>
      </c>
      <c r="M184" s="2">
        <f>Assumptions!M10</f>
        <v>0</v>
      </c>
      <c r="N184" s="2">
        <f>Assumptions!N10</f>
        <v>0</v>
      </c>
    </row>
    <row r="185" spans="2:14">
      <c r="C185" s="2" t="s">
        <v>92</v>
      </c>
      <c r="I185" s="20">
        <f>I116</f>
        <v>0</v>
      </c>
      <c r="J185" s="84">
        <f>J183+J184</f>
        <v>0</v>
      </c>
      <c r="K185" s="2">
        <f t="shared" ref="K185:N185" si="71">K183+K184</f>
        <v>50</v>
      </c>
      <c r="L185" s="2">
        <f t="shared" si="71"/>
        <v>50</v>
      </c>
      <c r="M185" s="2">
        <f t="shared" si="71"/>
        <v>50</v>
      </c>
      <c r="N185" s="2">
        <f t="shared" si="71"/>
        <v>50</v>
      </c>
    </row>
    <row r="186" spans="2:14" s="9" customFormat="1">
      <c r="C186" s="9" t="s">
        <v>113</v>
      </c>
      <c r="J186" s="9">
        <f>J185*$G$181</f>
        <v>0</v>
      </c>
      <c r="K186" s="9">
        <f t="shared" ref="K186:N186" si="72">K185*$G$181</f>
        <v>4</v>
      </c>
      <c r="L186" s="9">
        <f t="shared" si="72"/>
        <v>4</v>
      </c>
      <c r="M186" s="9">
        <f t="shared" si="72"/>
        <v>4</v>
      </c>
      <c r="N186" s="9">
        <f t="shared" si="72"/>
        <v>4</v>
      </c>
    </row>
    <row r="188" spans="2:14" s="9" customFormat="1">
      <c r="C188" s="9" t="str">
        <f>Assumptions!C38</f>
        <v>dividend payout common shares</v>
      </c>
      <c r="G188" s="104">
        <f>Assumptions!G38</f>
        <v>0.2</v>
      </c>
    </row>
    <row r="190" spans="2:14">
      <c r="C190" s="2" t="s">
        <v>90</v>
      </c>
      <c r="J190" s="20">
        <f>I192</f>
        <v>1579.6</v>
      </c>
      <c r="K190" s="20">
        <f t="shared" ref="K190:N190" si="73">J192</f>
        <v>1579.6</v>
      </c>
      <c r="L190" s="20">
        <f t="shared" si="73"/>
        <v>1579.6</v>
      </c>
      <c r="M190" s="20">
        <f t="shared" si="73"/>
        <v>1579.6</v>
      </c>
      <c r="N190" s="20">
        <f t="shared" si="73"/>
        <v>1579.6</v>
      </c>
    </row>
    <row r="191" spans="2:14">
      <c r="C191" s="2" t="str">
        <f>Assumptions!C9</f>
        <v>Common Share Issuance / (Buy-Back)</v>
      </c>
      <c r="J191" s="2">
        <f>Assumptions!J9</f>
        <v>0</v>
      </c>
      <c r="K191" s="2">
        <f>Assumptions!K9</f>
        <v>0</v>
      </c>
      <c r="L191" s="2">
        <f>Assumptions!L9</f>
        <v>0</v>
      </c>
      <c r="M191" s="2">
        <f>Assumptions!M9</f>
        <v>0</v>
      </c>
      <c r="N191" s="2">
        <f>Assumptions!N9</f>
        <v>0</v>
      </c>
    </row>
    <row r="192" spans="2:14">
      <c r="C192" s="2" t="s">
        <v>92</v>
      </c>
      <c r="I192" s="20">
        <f>I117</f>
        <v>1579.6</v>
      </c>
      <c r="J192" s="84">
        <f>J190+J191</f>
        <v>1579.6</v>
      </c>
      <c r="K192" s="84">
        <f t="shared" ref="K192:N192" si="74">K190+K191</f>
        <v>1579.6</v>
      </c>
      <c r="L192" s="84">
        <f t="shared" si="74"/>
        <v>1579.6</v>
      </c>
      <c r="M192" s="84">
        <f t="shared" si="74"/>
        <v>1579.6</v>
      </c>
      <c r="N192" s="84">
        <f t="shared" si="74"/>
        <v>1579.6</v>
      </c>
    </row>
    <row r="193" spans="2:14" s="9" customFormat="1">
      <c r="C193" s="9" t="s">
        <v>113</v>
      </c>
      <c r="J193" s="9">
        <f>IF(J37&gt;=0,J37*$G$188,0)</f>
        <v>0</v>
      </c>
      <c r="K193" s="9">
        <f>IF(K37&gt;=0,K37*$G$188,0)</f>
        <v>5.5787304966465001</v>
      </c>
      <c r="L193" s="9">
        <f>IF(L37&gt;=0,L37*$G$188,0)</f>
        <v>12.347161420941411</v>
      </c>
      <c r="M193" s="9">
        <f>IF(M37&gt;=0,M37*$G$188,0)</f>
        <v>19.571677292997233</v>
      </c>
      <c r="N193" s="9">
        <f>IF(N37&gt;=0,N37*$G$188,0)</f>
        <v>27.325222172985036</v>
      </c>
    </row>
    <row r="195" spans="2:14">
      <c r="B195" s="9" t="s">
        <v>114</v>
      </c>
    </row>
    <row r="197" spans="2:14" s="9" customFormat="1">
      <c r="C197" s="9" t="str">
        <f>Assumptions!I34</f>
        <v>excess cash</v>
      </c>
      <c r="G197" s="110">
        <f>Assumptions!M34</f>
        <v>7.4999999999999997E-3</v>
      </c>
    </row>
    <row r="198" spans="2:14">
      <c r="C198" s="2" t="s">
        <v>90</v>
      </c>
      <c r="J198" s="77">
        <f>I200</f>
        <v>18.500000000000043</v>
      </c>
      <c r="K198" s="77">
        <f t="shared" ref="K198:N198" si="75">J200</f>
        <v>2.2379013224447561</v>
      </c>
      <c r="L198" s="77">
        <f t="shared" si="75"/>
        <v>46.957169170719723</v>
      </c>
      <c r="M198" s="77">
        <f t="shared" si="75"/>
        <v>79.476676935311488</v>
      </c>
      <c r="N198" s="77">
        <f t="shared" si="75"/>
        <v>151.16078326295144</v>
      </c>
    </row>
    <row r="199" spans="2:14">
      <c r="C199" s="2" t="s">
        <v>127</v>
      </c>
      <c r="J199" s="77">
        <f>J74</f>
        <v>-16.262098677555286</v>
      </c>
      <c r="K199" s="77">
        <f t="shared" ref="K199:N199" si="76">K74</f>
        <v>44.719267848274967</v>
      </c>
      <c r="L199" s="77">
        <f t="shared" si="76"/>
        <v>32.519507764591765</v>
      </c>
      <c r="M199" s="77">
        <f t="shared" si="76"/>
        <v>71.684106327639967</v>
      </c>
      <c r="N199" s="77">
        <f t="shared" si="76"/>
        <v>114.32977342255253</v>
      </c>
    </row>
    <row r="200" spans="2:14">
      <c r="C200" s="2" t="s">
        <v>92</v>
      </c>
      <c r="I200" s="20">
        <f>I85</f>
        <v>18.500000000000043</v>
      </c>
      <c r="J200" s="77">
        <f>IF(J198+J199&gt;0,J198+J199,0)</f>
        <v>2.2379013224447561</v>
      </c>
      <c r="K200" s="77">
        <f t="shared" ref="K200:N200" si="77">IF(K198+K199&gt;0,K198+K199,0)</f>
        <v>46.957169170719723</v>
      </c>
      <c r="L200" s="77">
        <f t="shared" si="77"/>
        <v>79.476676935311488</v>
      </c>
      <c r="M200" s="77">
        <f t="shared" si="77"/>
        <v>151.16078326295144</v>
      </c>
      <c r="N200" s="77">
        <f t="shared" si="77"/>
        <v>265.49055668550398</v>
      </c>
    </row>
    <row r="201" spans="2:14" s="9" customFormat="1">
      <c r="C201" s="9" t="s">
        <v>123</v>
      </c>
      <c r="J201" s="112">
        <f>J198*$G$197</f>
        <v>0.13875000000000032</v>
      </c>
      <c r="K201" s="112">
        <f t="shared" ref="K201:M201" si="78">K198*$G$197</f>
        <v>1.6784259918335671E-2</v>
      </c>
      <c r="L201" s="112">
        <f t="shared" si="78"/>
        <v>0.35217876878039789</v>
      </c>
      <c r="M201" s="112">
        <f t="shared" si="78"/>
        <v>0.59607507701483609</v>
      </c>
      <c r="N201" s="112">
        <f>N198*$G$197</f>
        <v>1.1337058744721358</v>
      </c>
    </row>
    <row r="203" spans="2:14" s="9" customFormat="1">
      <c r="C203" s="9" t="str">
        <f>Assumptions!I32</f>
        <v>fixed rate debt</v>
      </c>
      <c r="G203" s="110">
        <f>Assumptions!M32</f>
        <v>6.5000000000000002E-2</v>
      </c>
    </row>
    <row r="204" spans="2:14">
      <c r="C204" s="2" t="s">
        <v>90</v>
      </c>
      <c r="J204" s="20">
        <f>I206</f>
        <v>611.79999999999995</v>
      </c>
      <c r="K204" s="20">
        <f t="shared" ref="K204:N204" si="79">J206</f>
        <v>571.79999999999995</v>
      </c>
      <c r="L204" s="20">
        <f t="shared" si="79"/>
        <v>531.79999999999995</v>
      </c>
      <c r="M204" s="20">
        <f t="shared" si="79"/>
        <v>491.79999999999995</v>
      </c>
      <c r="N204" s="20">
        <f t="shared" si="79"/>
        <v>451.79999999999995</v>
      </c>
    </row>
    <row r="205" spans="2:14">
      <c r="C205" s="2" t="str">
        <f>Assumptions!C13</f>
        <v>Fixed Rate Long Term Debt Issuance / (Repayment)</v>
      </c>
      <c r="J205" s="2">
        <f>Assumptions!J13</f>
        <v>-40</v>
      </c>
      <c r="K205" s="2">
        <f>Assumptions!K13</f>
        <v>-40</v>
      </c>
      <c r="L205" s="2">
        <f>Assumptions!L13</f>
        <v>-40</v>
      </c>
      <c r="M205" s="2">
        <f>Assumptions!M13</f>
        <v>-40</v>
      </c>
      <c r="N205" s="2">
        <f>Assumptions!N13</f>
        <v>-40</v>
      </c>
    </row>
    <row r="206" spans="2:14">
      <c r="C206" s="2" t="s">
        <v>92</v>
      </c>
      <c r="I206" s="20">
        <f>I109</f>
        <v>611.79999999999995</v>
      </c>
      <c r="J206" s="84">
        <f>J204+J205</f>
        <v>571.79999999999995</v>
      </c>
      <c r="K206" s="84">
        <f t="shared" ref="K206:N206" si="80">K204+K205</f>
        <v>531.79999999999995</v>
      </c>
      <c r="L206" s="84">
        <f t="shared" si="80"/>
        <v>491.79999999999995</v>
      </c>
      <c r="M206" s="84">
        <f t="shared" si="80"/>
        <v>451.79999999999995</v>
      </c>
      <c r="N206" s="84">
        <f t="shared" si="80"/>
        <v>411.79999999999995</v>
      </c>
    </row>
    <row r="207" spans="2:14" s="9" customFormat="1">
      <c r="C207" s="9" t="s">
        <v>124</v>
      </c>
      <c r="J207" s="112">
        <f>J204*$G$203</f>
        <v>39.766999999999996</v>
      </c>
      <c r="K207" s="112">
        <f t="shared" ref="K207:N207" si="81">K204*$G$203</f>
        <v>37.167000000000002</v>
      </c>
      <c r="L207" s="112">
        <f t="shared" si="81"/>
        <v>34.567</v>
      </c>
      <c r="M207" s="112">
        <f t="shared" si="81"/>
        <v>31.966999999999999</v>
      </c>
      <c r="N207" s="112">
        <f t="shared" si="81"/>
        <v>29.366999999999997</v>
      </c>
    </row>
    <row r="209" spans="3:14">
      <c r="C209" s="9" t="str">
        <f>Assumptions!I37</f>
        <v>Varaiable rate debt</v>
      </c>
      <c r="G209" s="110">
        <f>Assumptions!M37</f>
        <v>5.2499999999999998E-2</v>
      </c>
    </row>
    <row r="210" spans="3:14">
      <c r="C210" s="2" t="s">
        <v>90</v>
      </c>
      <c r="J210" s="20">
        <f>I212</f>
        <v>1008.5000000000001</v>
      </c>
      <c r="K210" s="20">
        <f t="shared" ref="K210:N210" si="82">J212</f>
        <v>988.50000000000011</v>
      </c>
      <c r="L210" s="20">
        <f t="shared" si="82"/>
        <v>968.50000000000011</v>
      </c>
      <c r="M210" s="20">
        <f t="shared" si="82"/>
        <v>948.50000000000011</v>
      </c>
      <c r="N210" s="20">
        <f t="shared" si="82"/>
        <v>928.50000000000011</v>
      </c>
    </row>
    <row r="211" spans="3:14">
      <c r="C211" s="2" t="str">
        <f>Assumptions!C12</f>
        <v>Variable Rate Long Term Debt Issuance / (Repayment)</v>
      </c>
      <c r="J211" s="2">
        <f>Assumptions!J12</f>
        <v>-20</v>
      </c>
      <c r="K211" s="2">
        <f>Assumptions!K12</f>
        <v>-20</v>
      </c>
      <c r="L211" s="2">
        <f>Assumptions!L12</f>
        <v>-20</v>
      </c>
      <c r="M211" s="2">
        <f>Assumptions!M12</f>
        <v>-20</v>
      </c>
      <c r="N211" s="2">
        <f>Assumptions!N12</f>
        <v>-20</v>
      </c>
    </row>
    <row r="212" spans="3:14">
      <c r="C212" s="2" t="s">
        <v>92</v>
      </c>
      <c r="I212" s="20">
        <f>I108</f>
        <v>1008.5000000000001</v>
      </c>
      <c r="J212" s="84">
        <f>J210+J211</f>
        <v>988.50000000000011</v>
      </c>
      <c r="K212" s="84">
        <f t="shared" ref="K212:N212" si="83">K210+K211</f>
        <v>968.50000000000011</v>
      </c>
      <c r="L212" s="84">
        <f t="shared" si="83"/>
        <v>948.50000000000011</v>
      </c>
      <c r="M212" s="84">
        <f t="shared" si="83"/>
        <v>928.50000000000011</v>
      </c>
      <c r="N212" s="84">
        <f t="shared" si="83"/>
        <v>908.50000000000011</v>
      </c>
    </row>
    <row r="213" spans="3:14" s="9" customFormat="1">
      <c r="C213" s="9" t="s">
        <v>124</v>
      </c>
      <c r="J213" s="112">
        <f>J210*$G$209</f>
        <v>52.946250000000006</v>
      </c>
      <c r="K213" s="112">
        <f t="shared" ref="K213:N213" si="84">K210*$G$209</f>
        <v>51.896250000000002</v>
      </c>
      <c r="L213" s="112">
        <f t="shared" si="84"/>
        <v>50.846250000000005</v>
      </c>
      <c r="M213" s="112">
        <f t="shared" si="84"/>
        <v>49.796250000000008</v>
      </c>
      <c r="N213" s="112">
        <f t="shared" si="84"/>
        <v>48.746250000000003</v>
      </c>
    </row>
    <row r="215" spans="3:14" s="9" customFormat="1">
      <c r="C215" s="9" t="str">
        <f>Assumptions!I33</f>
        <v>revolver</v>
      </c>
      <c r="G215" s="110">
        <f>Assumptions!M33</f>
        <v>5.5E-2</v>
      </c>
    </row>
    <row r="217" spans="3:14">
      <c r="C217" s="2" t="str">
        <f>C53</f>
        <v>Operating Cash Flow</v>
      </c>
      <c r="J217" s="2">
        <f t="shared" ref="J217:N217" si="85">J53</f>
        <v>168.73790132244471</v>
      </c>
      <c r="K217" s="2">
        <f t="shared" si="85"/>
        <v>214.29799834492147</v>
      </c>
      <c r="L217" s="2">
        <f t="shared" si="85"/>
        <v>258.86666918553317</v>
      </c>
      <c r="M217" s="2">
        <f t="shared" si="85"/>
        <v>305.2557836206372</v>
      </c>
      <c r="N217" s="2">
        <f t="shared" si="85"/>
        <v>355.65499559553757</v>
      </c>
    </row>
    <row r="218" spans="3:14">
      <c r="C218" s="2" t="str">
        <f>C60</f>
        <v>Investing Cash Flow</v>
      </c>
      <c r="J218" s="2">
        <f t="shared" ref="J218:N218" si="86">J60</f>
        <v>-125</v>
      </c>
      <c r="K218" s="2">
        <f t="shared" si="86"/>
        <v>-150</v>
      </c>
      <c r="L218" s="2">
        <f t="shared" si="86"/>
        <v>-150</v>
      </c>
      <c r="M218" s="2">
        <f t="shared" si="86"/>
        <v>-150</v>
      </c>
      <c r="N218" s="2">
        <f t="shared" si="86"/>
        <v>-150</v>
      </c>
    </row>
    <row r="219" spans="3:14">
      <c r="C219" s="2" t="str">
        <f>C65</f>
        <v>Variable Rate Long Term Debt Issuance / (Repayment)</v>
      </c>
      <c r="J219" s="2">
        <f t="shared" ref="J219:N222" si="87">J65</f>
        <v>-20</v>
      </c>
      <c r="K219" s="2">
        <f t="shared" si="87"/>
        <v>-20</v>
      </c>
      <c r="L219" s="2">
        <f t="shared" si="87"/>
        <v>-20</v>
      </c>
      <c r="M219" s="2">
        <f t="shared" si="87"/>
        <v>-20</v>
      </c>
      <c r="N219" s="2">
        <f t="shared" si="87"/>
        <v>-20</v>
      </c>
    </row>
    <row r="220" spans="3:14">
      <c r="C220" s="2" t="str">
        <f>C66</f>
        <v>Fixed Rate Long Term Debt Issuance / (Repayment)</v>
      </c>
      <c r="J220" s="2">
        <f t="shared" si="87"/>
        <v>-40</v>
      </c>
      <c r="K220" s="2">
        <f t="shared" si="87"/>
        <v>-40</v>
      </c>
      <c r="L220" s="2">
        <f t="shared" si="87"/>
        <v>-40</v>
      </c>
      <c r="M220" s="2">
        <f t="shared" si="87"/>
        <v>-40</v>
      </c>
      <c r="N220" s="2">
        <f t="shared" si="87"/>
        <v>-40</v>
      </c>
    </row>
    <row r="221" spans="3:14">
      <c r="C221" s="2" t="str">
        <f>C67</f>
        <v>Common Share Issuance / (Buy-Back)</v>
      </c>
      <c r="J221" s="2">
        <f t="shared" si="87"/>
        <v>0</v>
      </c>
      <c r="K221" s="2">
        <f t="shared" si="87"/>
        <v>50</v>
      </c>
      <c r="L221" s="2">
        <f t="shared" si="87"/>
        <v>0</v>
      </c>
      <c r="M221" s="2">
        <f t="shared" si="87"/>
        <v>0</v>
      </c>
      <c r="N221" s="2">
        <f t="shared" si="87"/>
        <v>0</v>
      </c>
    </row>
    <row r="222" spans="3:14">
      <c r="C222" s="2" t="str">
        <f>C68</f>
        <v>Preferrence Share Issuance / (Buy-Back)</v>
      </c>
      <c r="J222" s="2">
        <f t="shared" si="87"/>
        <v>0</v>
      </c>
      <c r="K222" s="2">
        <f t="shared" si="87"/>
        <v>0</v>
      </c>
      <c r="L222" s="2">
        <f t="shared" si="87"/>
        <v>0</v>
      </c>
      <c r="M222" s="2">
        <f t="shared" si="87"/>
        <v>0</v>
      </c>
      <c r="N222" s="2">
        <f t="shared" si="87"/>
        <v>0</v>
      </c>
    </row>
    <row r="223" spans="3:14">
      <c r="C223" s="2" t="str">
        <f t="shared" ref="C223" si="88">C71</f>
        <v>Other</v>
      </c>
      <c r="J223" s="2">
        <f t="shared" ref="J223:N223" si="89">J71</f>
        <v>0</v>
      </c>
      <c r="K223" s="2">
        <f t="shared" si="89"/>
        <v>0</v>
      </c>
      <c r="L223" s="2">
        <f t="shared" si="89"/>
        <v>0</v>
      </c>
      <c r="M223" s="2">
        <f t="shared" si="89"/>
        <v>0</v>
      </c>
      <c r="N223" s="2">
        <f t="shared" si="89"/>
        <v>0</v>
      </c>
    </row>
    <row r="224" spans="3:14" s="9" customFormat="1">
      <c r="C224" s="9" t="s">
        <v>125</v>
      </c>
      <c r="J224" s="112">
        <f>SUM(J217:J223)</f>
        <v>-16.262098677555286</v>
      </c>
      <c r="K224" s="112">
        <f t="shared" ref="K224:N224" si="90">SUM(K217:K223)</f>
        <v>54.297998344921467</v>
      </c>
      <c r="L224" s="112">
        <f t="shared" si="90"/>
        <v>48.866669185533169</v>
      </c>
      <c r="M224" s="112">
        <f t="shared" si="90"/>
        <v>95.255783620637203</v>
      </c>
      <c r="N224" s="112">
        <f t="shared" si="90"/>
        <v>145.65499559553757</v>
      </c>
    </row>
    <row r="226" spans="3:14">
      <c r="C226" s="2" t="s">
        <v>90</v>
      </c>
      <c r="J226" s="20">
        <f>I228</f>
        <v>0</v>
      </c>
      <c r="K226" s="2">
        <f t="shared" ref="K226:N226" si="91">J228</f>
        <v>0</v>
      </c>
      <c r="L226" s="2">
        <f t="shared" si="91"/>
        <v>0</v>
      </c>
      <c r="M226" s="2">
        <f t="shared" si="91"/>
        <v>0</v>
      </c>
      <c r="N226" s="2">
        <f t="shared" si="91"/>
        <v>0</v>
      </c>
    </row>
    <row r="227" spans="3:14">
      <c r="C227" s="2" t="s">
        <v>126</v>
      </c>
      <c r="J227" s="111">
        <f>-MIN(J224+J198,J226)</f>
        <v>0</v>
      </c>
      <c r="K227" s="2">
        <f t="shared" ref="K227:N227" si="92">-MIN(K224+K198,K226)</f>
        <v>0</v>
      </c>
      <c r="L227" s="2">
        <f t="shared" si="92"/>
        <v>0</v>
      </c>
      <c r="M227" s="2">
        <f t="shared" si="92"/>
        <v>0</v>
      </c>
      <c r="N227" s="2">
        <f t="shared" si="92"/>
        <v>0</v>
      </c>
    </row>
    <row r="228" spans="3:14">
      <c r="C228" s="2" t="s">
        <v>92</v>
      </c>
      <c r="I228" s="20">
        <f>I101</f>
        <v>0</v>
      </c>
      <c r="J228" s="85">
        <f>J226+J227</f>
        <v>0</v>
      </c>
      <c r="K228" s="2">
        <f t="shared" ref="K228:N228" si="93">K226+K227</f>
        <v>0</v>
      </c>
      <c r="L228" s="2">
        <f t="shared" si="93"/>
        <v>0</v>
      </c>
      <c r="M228" s="2">
        <f t="shared" si="93"/>
        <v>0</v>
      </c>
      <c r="N228" s="2">
        <f t="shared" si="93"/>
        <v>0</v>
      </c>
    </row>
    <row r="229" spans="3:14" s="9" customFormat="1">
      <c r="C229" s="9" t="s">
        <v>124</v>
      </c>
      <c r="J229" s="9">
        <f>J226*$G$215</f>
        <v>0</v>
      </c>
      <c r="K229" s="9">
        <f t="shared" ref="K229:N229" si="94">K226*$G$215</f>
        <v>0</v>
      </c>
      <c r="L229" s="9">
        <f t="shared" si="94"/>
        <v>0</v>
      </c>
      <c r="M229" s="9">
        <f t="shared" si="94"/>
        <v>0</v>
      </c>
      <c r="N229" s="9">
        <f t="shared" si="94"/>
        <v>0</v>
      </c>
    </row>
    <row r="231" spans="3:14" s="9" customFormat="1">
      <c r="C231" s="9" t="s">
        <v>129</v>
      </c>
      <c r="J231" s="112">
        <f>J229+J213+J207-J201</f>
        <v>92.5745</v>
      </c>
      <c r="K231" s="112">
        <f t="shared" ref="K231:N231" si="95">K229+K213+K207-K201</f>
        <v>89.046465740081672</v>
      </c>
      <c r="L231" s="112">
        <f t="shared" si="95"/>
        <v>85.061071231219614</v>
      </c>
      <c r="M231" s="112">
        <f t="shared" si="95"/>
        <v>81.167174922985168</v>
      </c>
      <c r="N231" s="112">
        <f t="shared" si="95"/>
        <v>76.979544125527852</v>
      </c>
    </row>
  </sheetData>
  <sheetProtection formatCells="0"/>
  <printOptions horizontalCentered="1"/>
  <pageMargins left="0.11811023622047245" right="0.11811023622047245" top="0.11811023622047245" bottom="0.19685039370078741" header="0.11811023622047245" footer="0.11811023622047245"/>
  <pageSetup scale="85" orientation="landscape" r:id="rId1"/>
  <headerFooter alignWithMargins="0">
    <oddFooter>&amp;LC:\Users\caspe\OneDrive\Desktop\&amp;F&amp;Cpage &amp;P of &amp;N&amp;R&amp;D&amp;T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Cover</vt:lpstr>
      <vt:lpstr>Summary</vt:lpstr>
      <vt:lpstr>Scenario</vt:lpstr>
      <vt:lpstr>Assumptions</vt:lpstr>
      <vt:lpstr>Model</vt:lpstr>
      <vt:lpstr>Assumptions!Print_Area</vt:lpstr>
      <vt:lpstr>Cover!Print_Area</vt:lpstr>
      <vt:lpstr>Model!Print_Area</vt:lpstr>
      <vt:lpstr>Scenario!Print_Area</vt:lpstr>
      <vt:lpstr>Summary!Print_Area</vt:lpstr>
      <vt:lpstr>Assumptions!Print_Titles</vt:lpstr>
      <vt:lpstr>Model!Print_Titles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2025-05-22T07:45:47Z</dcterms:modified>
</cp:coreProperties>
</file>