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E45FC9E6-5F6F-4334-A673-0A80262390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les of Results" sheetId="1" r:id="rId1"/>
    <sheet name="Memory - 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38" i="1" l="1" a="1"/>
  <c r="BC38" i="1"/>
  <c r="BC35" i="1" a="1"/>
  <c r="BC35" i="1"/>
  <c r="BC32" i="1" a="1"/>
  <c r="BC32" i="1"/>
  <c r="BC30" i="1" a="1"/>
  <c r="BC30" i="1"/>
  <c r="BE38" i="1" a="1"/>
  <c r="BE38" i="1"/>
  <c r="BD38" i="1" a="1"/>
  <c r="BD38" i="1"/>
  <c r="BE35" i="1" a="1"/>
  <c r="BE35" i="1"/>
  <c r="BD35" i="1" a="1"/>
  <c r="BD35" i="1"/>
  <c r="BE32" i="1" a="1"/>
  <c r="BE32" i="1"/>
  <c r="BD32" i="1" a="1"/>
  <c r="BD32" i="1"/>
  <c r="BE30" i="1" a="1"/>
  <c r="BE30" i="1"/>
  <c r="BD30" i="1" a="1"/>
  <c r="BD30" i="1"/>
  <c r="BM23" i="1" a="1"/>
  <c r="BM23" i="1"/>
  <c r="BN23" i="1" a="1"/>
  <c r="BN23" i="1"/>
  <c r="BM24" i="1" a="1"/>
  <c r="BM24" i="1"/>
  <c r="BN24" i="1" a="1"/>
  <c r="BN24" i="1"/>
  <c r="BO23" i="1" a="1"/>
  <c r="BO23" i="1"/>
  <c r="BP23" i="1" a="1"/>
  <c r="BP23" i="1"/>
  <c r="BQ23" i="1" a="1"/>
  <c r="BQ23" i="1"/>
  <c r="BQ6" i="1" a="1"/>
  <c r="BQ6" i="1"/>
  <c r="BP6" i="1" a="1"/>
  <c r="BP6" i="1"/>
  <c r="BO6" i="1" a="1"/>
  <c r="BO6" i="1"/>
  <c r="BI10" i="1" a="1"/>
  <c r="BI10" i="1"/>
  <c r="BI7" i="1" a="1"/>
  <c r="BI7" i="1"/>
  <c r="BJ10" i="1" a="1"/>
  <c r="BJ10" i="1"/>
  <c r="BJ7" i="1" a="1"/>
  <c r="BJ7" i="1"/>
  <c r="BK10" i="1" a="1"/>
  <c r="BK10" i="1"/>
  <c r="BK7" i="1" a="1"/>
  <c r="BK7" i="1"/>
  <c r="BL10" i="1" a="1"/>
  <c r="BL10" i="1"/>
  <c r="BM10" i="1" a="1"/>
  <c r="BM10" i="1"/>
  <c r="BN10" i="1" a="1"/>
  <c r="BN10" i="1"/>
  <c r="BG10" i="1" a="1"/>
  <c r="BG10" i="1"/>
  <c r="BF10" i="1" a="1"/>
  <c r="BF10" i="1"/>
  <c r="BE10" i="1" a="1"/>
  <c r="BE10" i="1"/>
  <c r="BE7" i="1" a="1"/>
  <c r="BE7" i="1"/>
  <c r="BF7" i="1" a="1"/>
  <c r="BF7" i="1"/>
  <c r="BG7" i="1" a="1"/>
  <c r="BG7" i="1"/>
  <c r="BH7" i="1" a="1"/>
  <c r="BH7" i="1"/>
  <c r="BL7" i="1" a="1"/>
  <c r="BL7" i="1"/>
  <c r="BM7" i="1" a="1"/>
  <c r="BM7" i="1"/>
  <c r="BN7" i="1" a="1"/>
  <c r="BN7" i="1"/>
  <c r="BI6" i="1" a="1"/>
  <c r="BI6" i="1"/>
  <c r="BK6" i="1" a="1"/>
  <c r="BK6" i="1"/>
  <c r="BM6" i="1" a="1"/>
  <c r="BM6" i="1"/>
  <c r="BN6" i="1" a="1"/>
  <c r="BN6" i="1"/>
  <c r="BH9" i="1" a="1"/>
  <c r="BH9" i="1"/>
  <c r="BH24" i="1" a="1"/>
  <c r="BH24" i="1"/>
  <c r="BG24" i="1" a="1"/>
  <c r="BG24" i="1"/>
  <c r="BF24" i="1" a="1"/>
  <c r="BF24" i="1"/>
  <c r="BE24" i="1" a="1"/>
  <c r="BE24" i="1"/>
  <c r="BD23" i="1" a="1"/>
  <c r="BD23" i="1"/>
  <c r="BC24" i="1" a="1"/>
  <c r="BC24" i="1"/>
  <c r="BD24" i="1" a="1"/>
  <c r="BD24" i="1"/>
  <c r="BL24" i="1" a="1"/>
  <c r="BL24" i="1" s="1"/>
  <c r="BK24" i="1" a="1"/>
  <c r="BK24" i="1" s="1"/>
  <c r="BJ24" i="1" a="1"/>
  <c r="BJ24" i="1" s="1"/>
  <c r="BI24" i="1" a="1"/>
  <c r="BI24" i="1" s="1"/>
  <c r="BL23" i="1" a="1"/>
  <c r="BL23" i="1" s="1"/>
  <c r="BK23" i="1" a="1"/>
  <c r="BK23" i="1" s="1"/>
  <c r="BJ23" i="1" a="1"/>
  <c r="BJ23" i="1" s="1"/>
  <c r="BI23" i="1" a="1"/>
  <c r="BI23" i="1" s="1"/>
  <c r="BH23" i="1" a="1"/>
  <c r="BH23" i="1" s="1"/>
  <c r="BG23" i="1" a="1"/>
  <c r="BG23" i="1" s="1"/>
  <c r="BF23" i="1" a="1"/>
  <c r="BF23" i="1" s="1"/>
  <c r="BE23" i="1" a="1"/>
  <c r="BE23" i="1" s="1"/>
  <c r="BC23" i="1" a="1"/>
  <c r="BC23" i="1" s="1"/>
  <c r="P9" i="2" a="1"/>
  <c r="P9" i="2"/>
  <c r="N7" i="2"/>
  <c r="BI8" i="1" a="1"/>
  <c r="BI8" i="1"/>
  <c r="BK8" i="1" a="1"/>
  <c r="BK8" i="1"/>
  <c r="BM8" i="1" a="1"/>
  <c r="BM8" i="1"/>
  <c r="BN8" i="1" a="1"/>
  <c r="BN8" i="1"/>
  <c r="BI11" i="1" a="1"/>
  <c r="BI11" i="1"/>
  <c r="BJ11" i="1" a="1"/>
  <c r="BJ11" i="1"/>
  <c r="BK11" i="1" a="1"/>
  <c r="BK11" i="1"/>
  <c r="BL11" i="1" a="1"/>
  <c r="BL11" i="1"/>
  <c r="BM11" i="1" a="1"/>
  <c r="BM11" i="1"/>
  <c r="BN11" i="1" a="1"/>
  <c r="BN11" i="1"/>
  <c r="BQ9" i="1" a="1"/>
  <c r="BQ9" i="1"/>
  <c r="BP9" i="1" a="1"/>
  <c r="BP9" i="1"/>
  <c r="BO9" i="1" a="1"/>
  <c r="BO9" i="1"/>
  <c r="AR40" i="1" a="1"/>
  <c r="AR40" i="1"/>
  <c r="AS40" i="1" a="1"/>
  <c r="AS40" i="1"/>
  <c r="AS41" i="1" a="1"/>
  <c r="AS41" i="1"/>
  <c r="AR41" i="1" a="1"/>
  <c r="AR41" i="1"/>
  <c r="AR54" i="1" a="1"/>
  <c r="AR54" i="1"/>
  <c r="AR55" i="1" a="1"/>
  <c r="AR55" i="1"/>
  <c r="AS55" i="1" a="1"/>
  <c r="AS55" i="1"/>
  <c r="AX54" i="1" a="1"/>
  <c r="AX54" i="1"/>
  <c r="AW54" i="1" a="1"/>
  <c r="AW54" i="1"/>
  <c r="AV54" i="1" a="1"/>
  <c r="AV54" i="1"/>
  <c r="AU54" i="1" a="1"/>
  <c r="AU54" i="1"/>
  <c r="AT54" i="1" a="1"/>
  <c r="AT54" i="1"/>
  <c r="AR52" i="1" a="1"/>
  <c r="AR52" i="1"/>
  <c r="AS52" i="1" a="1"/>
  <c r="AS52" i="1"/>
  <c r="AR53" i="1" a="1"/>
  <c r="AR53" i="1"/>
  <c r="AS53" i="1" a="1"/>
  <c r="AS53" i="1"/>
  <c r="AX52" i="1" a="1"/>
  <c r="AX52" i="1"/>
  <c r="AW52" i="1" a="1"/>
  <c r="AW52" i="1"/>
  <c r="AV52" i="1" a="1"/>
  <c r="AV52" i="1"/>
  <c r="AU52" i="1" a="1"/>
  <c r="AU52" i="1"/>
  <c r="AT52" i="1" a="1"/>
  <c r="AT52" i="1"/>
  <c r="AR50" i="1" a="1"/>
  <c r="AR50" i="1"/>
  <c r="AS50" i="1" a="1"/>
  <c r="AS50" i="1"/>
  <c r="AR51" i="1" a="1"/>
  <c r="AR51" i="1"/>
  <c r="AS51" i="1" a="1"/>
  <c r="AS51" i="1"/>
  <c r="AX50" i="1" a="1"/>
  <c r="AX50" i="1"/>
  <c r="AW50" i="1" a="1"/>
  <c r="AW50" i="1"/>
  <c r="AV50" i="1" a="1"/>
  <c r="AV50" i="1"/>
  <c r="AU50" i="1" a="1"/>
  <c r="AU50" i="1"/>
  <c r="AT50" i="1" a="1"/>
  <c r="AT50" i="1"/>
  <c r="AR48" i="1" a="1"/>
  <c r="AR48" i="1"/>
  <c r="AS48" i="1" a="1"/>
  <c r="AS48" i="1"/>
  <c r="AR49" i="1" a="1"/>
  <c r="AR49" i="1"/>
  <c r="AS49" i="1" a="1"/>
  <c r="AS49" i="1"/>
  <c r="AX48" i="1" a="1"/>
  <c r="AX48" i="1"/>
  <c r="AW48" i="1" a="1"/>
  <c r="AW48" i="1"/>
  <c r="AV48" i="1" a="1"/>
  <c r="AV48" i="1"/>
  <c r="AU48" i="1" a="1"/>
  <c r="AU48" i="1"/>
  <c r="AT48" i="1" a="1"/>
  <c r="AT48" i="1"/>
  <c r="X20" i="1"/>
  <c r="Y20" i="1"/>
  <c r="Z20" i="1"/>
  <c r="AA20" i="1"/>
  <c r="AB20" i="1"/>
  <c r="AD20" i="1"/>
  <c r="AE20" i="1"/>
  <c r="AF20" i="1"/>
  <c r="X21" i="1"/>
  <c r="Y21" i="1"/>
  <c r="Z21" i="1"/>
  <c r="AA21" i="1"/>
  <c r="AB21" i="1"/>
  <c r="AD21" i="1"/>
  <c r="AE21" i="1"/>
  <c r="AF21" i="1"/>
  <c r="X22" i="1"/>
  <c r="Y22" i="1"/>
  <c r="Z22" i="1"/>
  <c r="AA22" i="1"/>
  <c r="AB22" i="1"/>
  <c r="AD22" i="1"/>
  <c r="AE22" i="1"/>
  <c r="AF22" i="1"/>
  <c r="X23" i="1"/>
  <c r="Y23" i="1"/>
  <c r="Z23" i="1"/>
  <c r="AA23" i="1"/>
  <c r="AB23" i="1"/>
  <c r="AD23" i="1"/>
  <c r="AE23" i="1"/>
  <c r="AF23" i="1"/>
  <c r="X24" i="1"/>
  <c r="Y24" i="1"/>
  <c r="Z24" i="1"/>
  <c r="AA24" i="1"/>
  <c r="AB24" i="1"/>
  <c r="AD24" i="1"/>
  <c r="AE24" i="1"/>
  <c r="AF24" i="1"/>
  <c r="X25" i="1"/>
  <c r="Y25" i="1"/>
  <c r="Z25" i="1"/>
  <c r="AA25" i="1"/>
  <c r="AB25" i="1"/>
  <c r="AD25" i="1"/>
  <c r="AE25" i="1"/>
  <c r="AF25" i="1"/>
  <c r="BL4" i="1" a="1"/>
  <c r="BL4" i="1"/>
  <c r="BL5" i="1" a="1"/>
  <c r="BL5" i="1"/>
  <c r="BK5" i="1" a="1"/>
  <c r="BK5" i="1"/>
  <c r="BK4" i="1" a="1"/>
  <c r="BK4" i="1"/>
  <c r="BJ4" i="1" a="1"/>
  <c r="BJ4" i="1"/>
  <c r="BJ5" i="1" a="1"/>
  <c r="BJ5" i="1"/>
  <c r="BI5" i="1" a="1"/>
  <c r="BI5" i="1"/>
  <c r="BI4" i="1" a="1"/>
  <c r="BI4" i="1"/>
  <c r="BQ4" i="1" a="1"/>
  <c r="BQ4" i="1"/>
  <c r="BP4" i="1" a="1"/>
  <c r="BP4" i="1"/>
  <c r="BO4" i="1" a="1"/>
  <c r="BO4" i="1"/>
  <c r="BN4" i="1" a="1"/>
  <c r="BN4" i="1"/>
  <c r="BN5" i="1" a="1"/>
  <c r="BN5" i="1"/>
  <c r="BM5" i="1" a="1"/>
  <c r="BM5" i="1"/>
  <c r="BM4" i="1" a="1"/>
  <c r="BM4" i="1"/>
  <c r="BH11" i="1" a="1"/>
  <c r="BH11" i="1"/>
  <c r="BG11" i="1" a="1"/>
  <c r="BG11" i="1"/>
  <c r="BF11" i="1" a="1"/>
  <c r="BF11" i="1"/>
  <c r="BE11" i="1" a="1"/>
  <c r="BE11" i="1"/>
  <c r="BH10" i="1" a="1"/>
  <c r="BH10" i="1"/>
  <c r="BC9" i="1" a="1"/>
  <c r="BC9" i="1"/>
  <c r="BD9" i="1" a="1"/>
  <c r="BD9" i="1"/>
  <c r="BI9" i="1" a="1"/>
  <c r="BI9" i="1"/>
  <c r="BJ9" i="1" a="1"/>
  <c r="BJ9" i="1"/>
  <c r="BK9" i="1" a="1"/>
  <c r="BK9" i="1"/>
  <c r="BL9" i="1" a="1"/>
  <c r="BL9" i="1"/>
  <c r="BM9" i="1" a="1"/>
  <c r="BM9" i="1"/>
  <c r="BN9" i="1" a="1"/>
  <c r="BN9" i="1"/>
  <c r="BC10" i="1" a="1"/>
  <c r="BC10" i="1"/>
  <c r="BD10" i="1" a="1"/>
  <c r="BD10" i="1"/>
  <c r="BC11" i="1" a="1"/>
  <c r="BC11" i="1"/>
  <c r="BD11" i="1" a="1"/>
  <c r="BD11" i="1"/>
  <c r="BH8" i="1" a="1"/>
  <c r="BH8" i="1"/>
  <c r="BG8" i="1" a="1"/>
  <c r="BG8" i="1"/>
  <c r="BF8" i="1" a="1"/>
  <c r="BF8" i="1"/>
  <c r="BE8" i="1" a="1"/>
  <c r="BE8" i="1"/>
  <c r="BC8" i="1" a="1"/>
  <c r="BC8" i="1"/>
  <c r="BD6" i="1" a="1"/>
  <c r="BD6" i="1"/>
  <c r="BC7" i="1" a="1"/>
  <c r="BC7" i="1"/>
  <c r="BD8" i="1" a="1"/>
  <c r="BD8" i="1"/>
  <c r="BH5" i="1" a="1"/>
  <c r="BH5" i="1"/>
  <c r="BG5" i="1" a="1"/>
  <c r="BG5" i="1"/>
  <c r="BF5" i="1" a="1"/>
  <c r="BF5" i="1"/>
  <c r="BE5" i="1" a="1"/>
  <c r="BE5" i="1"/>
  <c r="BD5" i="1" a="1"/>
  <c r="BD5" i="1"/>
  <c r="BC5" i="1" a="1"/>
  <c r="BC5" i="1"/>
  <c r="BD4" i="1" a="1"/>
  <c r="BD4" i="1"/>
  <c r="BL8" i="1" a="1"/>
  <c r="BL8" i="1" s="1"/>
  <c r="BJ8" i="1" a="1"/>
  <c r="BJ8" i="1" s="1"/>
  <c r="BL6" i="1" a="1"/>
  <c r="BL6" i="1" s="1"/>
  <c r="BJ6" i="1" a="1"/>
  <c r="BJ6" i="1" s="1"/>
  <c r="BH6" i="1" a="1"/>
  <c r="BH6" i="1" s="1"/>
  <c r="BG6" i="1" a="1"/>
  <c r="BG6" i="1" s="1"/>
  <c r="BF6" i="1" a="1"/>
  <c r="BF6" i="1" s="1"/>
  <c r="BE6" i="1" a="1"/>
  <c r="BE6" i="1" s="1"/>
  <c r="BC6" i="1" a="1"/>
  <c r="BC6" i="1" s="1"/>
  <c r="BH4" i="1" a="1"/>
  <c r="BH4" i="1" s="1"/>
  <c r="BG4" i="1" a="1"/>
  <c r="BG4" i="1" s="1"/>
  <c r="BF4" i="1" a="1"/>
  <c r="BF4" i="1" s="1"/>
  <c r="BE4" i="1" a="1"/>
  <c r="BE4" i="1" s="1"/>
  <c r="BC4" i="1" a="1"/>
  <c r="BC4" i="1" s="1"/>
  <c r="AR46" i="1" a="1"/>
  <c r="AR46" i="1"/>
  <c r="AS46" i="1" a="1"/>
  <c r="AS46" i="1"/>
  <c r="AR47" i="1" a="1"/>
  <c r="AR47" i="1"/>
  <c r="AS47" i="1" a="1"/>
  <c r="AS47" i="1"/>
  <c r="AX46" i="1" a="1"/>
  <c r="AX46" i="1"/>
  <c r="AW46" i="1" a="1"/>
  <c r="AW46" i="1"/>
  <c r="AV46" i="1" a="1"/>
  <c r="AV46" i="1"/>
  <c r="AU46" i="1" a="1"/>
  <c r="AU46" i="1"/>
  <c r="AT46" i="1" a="1"/>
  <c r="AT46" i="1"/>
  <c r="AT32" i="1" a="1"/>
  <c r="AT32" i="1"/>
  <c r="AQ55" i="1" a="1"/>
  <c r="AQ55" i="1" s="1"/>
  <c r="AP55" i="1" a="1"/>
  <c r="AP55" i="1" s="1"/>
  <c r="AO55" i="1" a="1"/>
  <c r="AO55" i="1" s="1"/>
  <c r="AN55" i="1" a="1"/>
  <c r="AN55" i="1" s="1"/>
  <c r="AS54" i="1" a="1"/>
  <c r="AS54" i="1" s="1"/>
  <c r="AQ54" i="1" a="1"/>
  <c r="AQ54" i="1" s="1"/>
  <c r="AP54" i="1" a="1"/>
  <c r="AP54" i="1" s="1"/>
  <c r="AO54" i="1" a="1"/>
  <c r="AO54" i="1" s="1"/>
  <c r="AN54" i="1" a="1"/>
  <c r="AN54" i="1" s="1"/>
  <c r="AQ53" i="1" a="1"/>
  <c r="AQ53" i="1" s="1"/>
  <c r="AP53" i="1" a="1"/>
  <c r="AP53" i="1" s="1"/>
  <c r="AO53" i="1" a="1"/>
  <c r="AO53" i="1" s="1"/>
  <c r="AN53" i="1" a="1"/>
  <c r="AN53" i="1" s="1"/>
  <c r="AQ52" i="1" a="1"/>
  <c r="AQ52" i="1" s="1"/>
  <c r="AP52" i="1" a="1"/>
  <c r="AP52" i="1" s="1"/>
  <c r="AO52" i="1" a="1"/>
  <c r="AO52" i="1" s="1"/>
  <c r="AN52" i="1" a="1"/>
  <c r="AN52" i="1" s="1"/>
  <c r="AQ51" i="1" a="1"/>
  <c r="AQ51" i="1" s="1"/>
  <c r="AP51" i="1" a="1"/>
  <c r="AP51" i="1" s="1"/>
  <c r="AO51" i="1" a="1"/>
  <c r="AO51" i="1" s="1"/>
  <c r="AN51" i="1" a="1"/>
  <c r="AN51" i="1" s="1"/>
  <c r="AQ50" i="1" a="1"/>
  <c r="AQ50" i="1" s="1"/>
  <c r="AP50" i="1" a="1"/>
  <c r="AP50" i="1" s="1"/>
  <c r="AO50" i="1" a="1"/>
  <c r="AO50" i="1" s="1"/>
  <c r="AN50" i="1" a="1"/>
  <c r="AN50" i="1" s="1"/>
  <c r="AQ49" i="1" a="1"/>
  <c r="AQ49" i="1" s="1"/>
  <c r="AP49" i="1" a="1"/>
  <c r="AP49" i="1" s="1"/>
  <c r="AO49" i="1" a="1"/>
  <c r="AO49" i="1" s="1"/>
  <c r="AN49" i="1" a="1"/>
  <c r="AN49" i="1" s="1"/>
  <c r="AQ48" i="1" a="1"/>
  <c r="AQ48" i="1" s="1"/>
  <c r="AP48" i="1" a="1"/>
  <c r="AP48" i="1" s="1"/>
  <c r="AO48" i="1" a="1"/>
  <c r="AO48" i="1" s="1"/>
  <c r="AN48" i="1" a="1"/>
  <c r="AN48" i="1" s="1"/>
  <c r="AQ47" i="1" a="1"/>
  <c r="AQ47" i="1" s="1"/>
  <c r="AP47" i="1" a="1"/>
  <c r="AP47" i="1" s="1"/>
  <c r="AO47" i="1" a="1"/>
  <c r="AO47" i="1" s="1"/>
  <c r="AN47" i="1" a="1"/>
  <c r="AN47" i="1" s="1"/>
  <c r="AQ46" i="1" a="1"/>
  <c r="AQ46" i="1" s="1"/>
  <c r="AP46" i="1" a="1"/>
  <c r="AP46" i="1" s="1"/>
  <c r="AO46" i="1" a="1"/>
  <c r="AO46" i="1" s="1"/>
  <c r="AN46" i="1" a="1"/>
  <c r="AN46" i="1" s="1"/>
  <c r="AQ41" i="1" a="1"/>
  <c r="AQ41" i="1" s="1"/>
  <c r="AP41" i="1" a="1"/>
  <c r="AP41" i="1" s="1"/>
  <c r="AO41" i="1" a="1"/>
  <c r="AO41" i="1" s="1"/>
  <c r="AN41" i="1" a="1"/>
  <c r="AN41" i="1" s="1"/>
  <c r="AX40" i="1" a="1"/>
  <c r="AX40" i="1" s="1"/>
  <c r="AW40" i="1" a="1"/>
  <c r="AW40" i="1" s="1"/>
  <c r="AV40" i="1" a="1"/>
  <c r="AV40" i="1" s="1"/>
  <c r="AU40" i="1" a="1"/>
  <c r="AU40" i="1" s="1"/>
  <c r="AT40" i="1" a="1"/>
  <c r="AT40" i="1" s="1"/>
  <c r="AQ40" i="1" a="1"/>
  <c r="AQ40" i="1" s="1"/>
  <c r="AP40" i="1" a="1"/>
  <c r="AP40" i="1" s="1"/>
  <c r="AO40" i="1" a="1"/>
  <c r="AO40" i="1" s="1"/>
  <c r="AN40" i="1" a="1"/>
  <c r="AN40" i="1" s="1"/>
  <c r="AS39" i="1" a="1"/>
  <c r="AS39" i="1" s="1"/>
  <c r="AR39" i="1" a="1"/>
  <c r="AR39" i="1" s="1"/>
  <c r="AQ39" i="1" a="1"/>
  <c r="AQ39" i="1" s="1"/>
  <c r="AP39" i="1" a="1"/>
  <c r="AP39" i="1" s="1"/>
  <c r="AO39" i="1" a="1"/>
  <c r="AO39" i="1" s="1"/>
  <c r="AN39" i="1" a="1"/>
  <c r="AN39" i="1" s="1"/>
  <c r="AX38" i="1" a="1"/>
  <c r="AX38" i="1" s="1"/>
  <c r="AW38" i="1" a="1"/>
  <c r="AW38" i="1" s="1"/>
  <c r="AV38" i="1" a="1"/>
  <c r="AV38" i="1" s="1"/>
  <c r="AU38" i="1" a="1"/>
  <c r="AU38" i="1" s="1"/>
  <c r="AT38" i="1" a="1"/>
  <c r="AT38" i="1" s="1"/>
  <c r="AS38" i="1" a="1"/>
  <c r="AS38" i="1" s="1"/>
  <c r="AR38" i="1" a="1"/>
  <c r="AR38" i="1" s="1"/>
  <c r="AQ38" i="1" a="1"/>
  <c r="AQ38" i="1" s="1"/>
  <c r="AP38" i="1" a="1"/>
  <c r="AP38" i="1" s="1"/>
  <c r="AO38" i="1" a="1"/>
  <c r="AO38" i="1" s="1"/>
  <c r="AN38" i="1" a="1"/>
  <c r="AN38" i="1" s="1"/>
  <c r="AS37" i="1" a="1"/>
  <c r="AS37" i="1" s="1"/>
  <c r="AR37" i="1" a="1"/>
  <c r="AR37" i="1" s="1"/>
  <c r="AQ37" i="1" a="1"/>
  <c r="AQ37" i="1" s="1"/>
  <c r="AP37" i="1" a="1"/>
  <c r="AP37" i="1" s="1"/>
  <c r="AO37" i="1" a="1"/>
  <c r="AO37" i="1" s="1"/>
  <c r="AN37" i="1" a="1"/>
  <c r="AN37" i="1" s="1"/>
  <c r="AX36" i="1" a="1"/>
  <c r="AX36" i="1" s="1"/>
  <c r="AW36" i="1" a="1"/>
  <c r="AW36" i="1" s="1"/>
  <c r="AV36" i="1" a="1"/>
  <c r="AV36" i="1" s="1"/>
  <c r="AU36" i="1" a="1"/>
  <c r="AU36" i="1" s="1"/>
  <c r="AT36" i="1" a="1"/>
  <c r="AT36" i="1" s="1"/>
  <c r="AS36" i="1" a="1"/>
  <c r="AS36" i="1" s="1"/>
  <c r="AR36" i="1" a="1"/>
  <c r="AR36" i="1" s="1"/>
  <c r="AQ36" i="1" a="1"/>
  <c r="AQ36" i="1" s="1"/>
  <c r="AP36" i="1" a="1"/>
  <c r="AP36" i="1" s="1"/>
  <c r="AO36" i="1" a="1"/>
  <c r="AO36" i="1" s="1"/>
  <c r="AN36" i="1" a="1"/>
  <c r="AN36" i="1" s="1"/>
  <c r="AS35" i="1" a="1"/>
  <c r="AS35" i="1" s="1"/>
  <c r="AR35" i="1" a="1"/>
  <c r="AR35" i="1" s="1"/>
  <c r="AQ35" i="1" a="1"/>
  <c r="AQ35" i="1" s="1"/>
  <c r="AP35" i="1" a="1"/>
  <c r="AP35" i="1" s="1"/>
  <c r="AO35" i="1" a="1"/>
  <c r="AO35" i="1" s="1"/>
  <c r="AN35" i="1" a="1"/>
  <c r="AN35" i="1" s="1"/>
  <c r="AX34" i="1" a="1"/>
  <c r="AX34" i="1" s="1"/>
  <c r="AW34" i="1" a="1"/>
  <c r="AW34" i="1" s="1"/>
  <c r="AV34" i="1" a="1"/>
  <c r="AV34" i="1" s="1"/>
  <c r="AU34" i="1" a="1"/>
  <c r="AU34" i="1" s="1"/>
  <c r="AT34" i="1" a="1"/>
  <c r="AT34" i="1" s="1"/>
  <c r="AS34" i="1" a="1"/>
  <c r="AS34" i="1" s="1"/>
  <c r="AR34" i="1" a="1"/>
  <c r="AR34" i="1" s="1"/>
  <c r="AQ34" i="1" a="1"/>
  <c r="AQ34" i="1" s="1"/>
  <c r="AP34" i="1" a="1"/>
  <c r="AP34" i="1" s="1"/>
  <c r="AO34" i="1" a="1"/>
  <c r="AO34" i="1" s="1"/>
  <c r="AN34" i="1" a="1"/>
  <c r="AN34" i="1" s="1"/>
  <c r="AS33" i="1" a="1"/>
  <c r="AS33" i="1" s="1"/>
  <c r="AR33" i="1" a="1"/>
  <c r="AR33" i="1" s="1"/>
  <c r="AQ33" i="1" a="1"/>
  <c r="AQ33" i="1" s="1"/>
  <c r="AP33" i="1" a="1"/>
  <c r="AP33" i="1" s="1"/>
  <c r="AO33" i="1" a="1"/>
  <c r="AO33" i="1" s="1"/>
  <c r="AN33" i="1" a="1"/>
  <c r="AN33" i="1" s="1"/>
  <c r="AX32" i="1" a="1"/>
  <c r="AX32" i="1" s="1"/>
  <c r="AW32" i="1" a="1"/>
  <c r="AW32" i="1" s="1"/>
  <c r="AV32" i="1" a="1"/>
  <c r="AV32" i="1" s="1"/>
  <c r="AU32" i="1" a="1"/>
  <c r="AU32" i="1" s="1"/>
  <c r="AS32" i="1" a="1"/>
  <c r="AS32" i="1" s="1"/>
  <c r="AR32" i="1" a="1"/>
  <c r="AR32" i="1" s="1"/>
  <c r="AQ32" i="1" a="1"/>
  <c r="AQ32" i="1" s="1"/>
  <c r="AP32" i="1" a="1"/>
  <c r="AP32" i="1" s="1"/>
  <c r="AO32" i="1" a="1"/>
  <c r="AO32" i="1" s="1"/>
  <c r="AN32" i="1" a="1"/>
  <c r="AN32" i="1" s="1"/>
  <c r="AQ27" i="1" a="1"/>
  <c r="AQ27" i="1"/>
  <c r="AP27" i="1" a="1"/>
  <c r="AP27" i="1"/>
  <c r="AR27" i="1" a="1"/>
  <c r="AR27" i="1"/>
  <c r="AS27" i="1" a="1"/>
  <c r="AS27" i="1"/>
  <c r="AX26" i="1" a="1"/>
  <c r="AX26" i="1"/>
  <c r="AW26" i="1" a="1"/>
  <c r="AW26" i="1"/>
  <c r="AV26" i="1" a="1"/>
  <c r="AV26" i="1"/>
  <c r="AU26" i="1" a="1"/>
  <c r="AU26" i="1"/>
  <c r="AT26" i="1" a="1"/>
  <c r="AT26" i="1"/>
  <c r="AN23" i="1" a="1"/>
  <c r="AN23" i="1"/>
  <c r="AO23" i="1" a="1"/>
  <c r="AO23" i="1"/>
  <c r="AP23" i="1" a="1"/>
  <c r="AP23" i="1"/>
  <c r="AQ23" i="1" a="1"/>
  <c r="AQ23" i="1"/>
  <c r="AR23" i="1" a="1"/>
  <c r="AR23" i="1"/>
  <c r="AS23" i="1" a="1"/>
  <c r="AS23" i="1"/>
  <c r="AP25" i="1" a="1"/>
  <c r="AP25" i="1"/>
  <c r="AQ25" i="1" a="1"/>
  <c r="AQ25" i="1"/>
  <c r="AR25" i="1" a="1"/>
  <c r="AR25" i="1"/>
  <c r="AS25" i="1" a="1"/>
  <c r="AS25" i="1"/>
  <c r="AX24" i="1" a="1"/>
  <c r="AX24" i="1"/>
  <c r="AW24" i="1" a="1"/>
  <c r="AW24" i="1"/>
  <c r="AV24" i="1" a="1"/>
  <c r="AV24" i="1"/>
  <c r="AU24" i="1" a="1"/>
  <c r="AU24" i="1"/>
  <c r="AT24" i="1" a="1"/>
  <c r="AT24" i="1"/>
  <c r="AT18" i="1" a="1"/>
  <c r="AT18" i="1"/>
  <c r="AU18" i="1" a="1"/>
  <c r="AU18" i="1"/>
  <c r="AX18" i="1" a="1"/>
  <c r="AX18" i="1"/>
  <c r="AW18" i="1" a="1"/>
  <c r="AW18" i="1"/>
  <c r="AV18" i="1" a="1"/>
  <c r="AV18" i="1"/>
  <c r="AX20" i="1" a="1"/>
  <c r="AX20" i="1"/>
  <c r="AW20" i="1" a="1"/>
  <c r="AW20" i="1"/>
  <c r="AV20" i="1" a="1"/>
  <c r="AV20" i="1"/>
  <c r="AU20" i="1" a="1"/>
  <c r="AU20" i="1"/>
  <c r="AT20" i="1" a="1"/>
  <c r="AT20" i="1"/>
  <c r="AX22" i="1" a="1"/>
  <c r="AX22" i="1" s="1"/>
  <c r="AW22" i="1" a="1"/>
  <c r="AW22" i="1" s="1"/>
  <c r="AV22" i="1" a="1"/>
  <c r="AV22" i="1" s="1"/>
  <c r="AU22" i="1" a="1"/>
  <c r="AU22" i="1" s="1"/>
  <c r="AT22" i="1" a="1"/>
  <c r="AT22" i="1"/>
  <c r="AS20" i="1" a="1"/>
  <c r="AS20" i="1"/>
  <c r="AR20" i="1" a="1"/>
  <c r="AR20" i="1"/>
  <c r="AS21" i="1" a="1"/>
  <c r="AS21" i="1"/>
  <c r="AR21" i="1" a="1"/>
  <c r="AR21" i="1"/>
  <c r="AQ21" i="1" a="1"/>
  <c r="AQ21" i="1"/>
  <c r="AP21" i="1" a="1"/>
  <c r="AP21" i="1"/>
  <c r="AO21" i="1" a="1"/>
  <c r="AO21" i="1"/>
  <c r="AN21" i="1" a="1"/>
  <c r="AN21" i="1"/>
  <c r="AS19" i="1" a="1"/>
  <c r="AS19" i="1"/>
  <c r="AS18" i="1" a="1"/>
  <c r="AS18" i="1"/>
  <c r="AR18" i="1" a="1"/>
  <c r="AR18" i="1"/>
  <c r="AR19" i="1" a="1"/>
  <c r="AR19" i="1"/>
  <c r="AO27" i="1" a="1"/>
  <c r="AO27" i="1" s="1"/>
  <c r="AN27" i="1" a="1"/>
  <c r="AN27" i="1" s="1"/>
  <c r="AS26" i="1" a="1"/>
  <c r="AS26" i="1" s="1"/>
  <c r="AR26" i="1" a="1"/>
  <c r="AR26" i="1" s="1"/>
  <c r="AQ26" i="1" a="1"/>
  <c r="AQ26" i="1" s="1"/>
  <c r="AP26" i="1" a="1"/>
  <c r="AP26" i="1" s="1"/>
  <c r="AO26" i="1" a="1"/>
  <c r="AO26" i="1" s="1"/>
  <c r="AN26" i="1" a="1"/>
  <c r="AN26" i="1" s="1"/>
  <c r="AO25" i="1" a="1"/>
  <c r="AO25" i="1" s="1"/>
  <c r="AN25" i="1" a="1"/>
  <c r="AN25" i="1" s="1"/>
  <c r="AS24" i="1" a="1"/>
  <c r="AS24" i="1" s="1"/>
  <c r="AR24" i="1" a="1"/>
  <c r="AR24" i="1" s="1"/>
  <c r="AQ24" i="1" a="1"/>
  <c r="AQ24" i="1" s="1"/>
  <c r="AP24" i="1" a="1"/>
  <c r="AP24" i="1" s="1"/>
  <c r="AO24" i="1" a="1"/>
  <c r="AO24" i="1" s="1"/>
  <c r="AN24" i="1" a="1"/>
  <c r="AN24" i="1" s="1"/>
  <c r="AS22" i="1" a="1"/>
  <c r="AS22" i="1" s="1"/>
  <c r="AR22" i="1" a="1"/>
  <c r="AR22" i="1" s="1"/>
  <c r="AQ22" i="1" a="1"/>
  <c r="AQ22" i="1" s="1"/>
  <c r="AP22" i="1" a="1"/>
  <c r="AP22" i="1" s="1"/>
  <c r="AO22" i="1" a="1"/>
  <c r="AO22" i="1" s="1"/>
  <c r="AN22" i="1" a="1"/>
  <c r="AN22" i="1" s="1"/>
  <c r="AQ20" i="1" a="1"/>
  <c r="AQ20" i="1" s="1"/>
  <c r="AP20" i="1" a="1"/>
  <c r="AP20" i="1" s="1"/>
  <c r="AO20" i="1" a="1"/>
  <c r="AO20" i="1" s="1"/>
  <c r="AN20" i="1" a="1"/>
  <c r="AN20" i="1" s="1"/>
  <c r="AQ19" i="1" a="1"/>
  <c r="AQ19" i="1" s="1"/>
  <c r="AP19" i="1" a="1"/>
  <c r="AP19" i="1" s="1"/>
  <c r="AO19" i="1" a="1"/>
  <c r="AO19" i="1" s="1"/>
  <c r="AN19" i="1" a="1"/>
  <c r="AN19" i="1" s="1"/>
  <c r="AQ18" i="1" a="1"/>
  <c r="AQ18" i="1" s="1"/>
  <c r="AP18" i="1" a="1"/>
  <c r="AP18" i="1" s="1"/>
  <c r="AO18" i="1" a="1"/>
  <c r="AO18" i="1" s="1"/>
  <c r="AN18" i="1" a="1"/>
  <c r="AN18" i="1" s="1"/>
  <c r="AP12" i="1" a="1"/>
  <c r="AP12" i="1"/>
  <c r="AQ12" i="1" a="1"/>
  <c r="AQ12" i="1"/>
  <c r="AR12" i="1" a="1"/>
  <c r="AR12" i="1"/>
  <c r="AS12" i="1" a="1"/>
  <c r="AS12" i="1"/>
  <c r="AT12" i="1" a="1"/>
  <c r="AT12" i="1"/>
  <c r="AV12" i="1" a="1"/>
  <c r="AV12" i="1"/>
  <c r="AW12" i="1" a="1"/>
  <c r="AW12" i="1"/>
  <c r="AX12" i="1" a="1"/>
  <c r="AX12" i="1"/>
  <c r="AY12" i="1" a="1"/>
  <c r="AY12" i="1"/>
  <c r="AY13" i="1" a="1"/>
  <c r="AY13" i="1"/>
  <c r="AX13" i="1" a="1"/>
  <c r="AX13" i="1"/>
  <c r="AW13" i="1" a="1"/>
  <c r="AW13" i="1"/>
  <c r="AV13" i="1" a="1"/>
  <c r="AV13" i="1"/>
  <c r="AU13" i="1" a="1"/>
  <c r="AU13" i="1"/>
  <c r="AT13" i="1" a="1"/>
  <c r="AT13" i="1"/>
  <c r="AS13" i="1" a="1"/>
  <c r="AS13" i="1"/>
  <c r="AR13" i="1" a="1"/>
  <c r="AR13" i="1"/>
  <c r="AQ13" i="1" a="1"/>
  <c r="AQ13" i="1"/>
  <c r="AP13" i="1" a="1"/>
  <c r="AP13" i="1"/>
  <c r="AO12" i="1" a="1"/>
  <c r="AO12" i="1"/>
  <c r="AO13" i="1" a="1"/>
  <c r="AO13" i="1"/>
  <c r="AN13" i="1" a="1"/>
  <c r="AN13" i="1"/>
  <c r="AY10" i="1" a="1"/>
  <c r="AY10" i="1"/>
  <c r="AX10" i="1" a="1"/>
  <c r="AX10" i="1"/>
  <c r="AV10" i="1" a="1"/>
  <c r="AV10" i="1"/>
  <c r="AU10" i="1" a="1"/>
  <c r="AU10" i="1"/>
  <c r="AT10" i="1" a="1"/>
  <c r="AT10" i="1"/>
  <c r="AS10" i="1" a="1"/>
  <c r="AS10" i="1"/>
  <c r="AR10" i="1" a="1"/>
  <c r="AR10" i="1"/>
  <c r="AQ10" i="1" a="1"/>
  <c r="AQ10" i="1"/>
  <c r="AP10" i="1" a="1"/>
  <c r="AP10" i="1"/>
  <c r="AO10" i="1" a="1"/>
  <c r="AO10" i="1"/>
  <c r="AN11" i="1" a="1"/>
  <c r="AN11" i="1"/>
  <c r="AO11" i="1" a="1"/>
  <c r="AO11" i="1"/>
  <c r="AP11" i="1" a="1"/>
  <c r="AP11" i="1"/>
  <c r="AQ11" i="1" a="1"/>
  <c r="AQ11" i="1"/>
  <c r="AR11" i="1" a="1"/>
  <c r="AR11" i="1"/>
  <c r="AS11" i="1" a="1"/>
  <c r="AS11" i="1"/>
  <c r="AT11" i="1" a="1"/>
  <c r="AT11" i="1"/>
  <c r="AU11" i="1" a="1"/>
  <c r="AU11" i="1"/>
  <c r="AV11" i="1" a="1"/>
  <c r="AV11" i="1"/>
  <c r="AW11" i="1" a="1"/>
  <c r="AW11" i="1"/>
  <c r="AX11" i="1" a="1"/>
  <c r="AX11" i="1"/>
  <c r="AY11" i="1" a="1"/>
  <c r="AY11" i="1"/>
  <c r="AO8" i="1" a="1"/>
  <c r="AO8" i="1"/>
  <c r="AT8" i="1" a="1"/>
  <c r="AT8" i="1"/>
  <c r="AS8" i="1" a="1"/>
  <c r="AS8" i="1"/>
  <c r="AR8" i="1" a="1"/>
  <c r="AR8" i="1"/>
  <c r="AQ8" i="1" a="1"/>
  <c r="AQ8" i="1"/>
  <c r="AP8" i="1" a="1"/>
  <c r="AP8" i="1"/>
  <c r="AV8" i="1" a="1"/>
  <c r="AV8" i="1"/>
  <c r="AX8" i="1" a="1"/>
  <c r="AX8" i="1"/>
  <c r="AY8" i="1" a="1"/>
  <c r="AY8" i="1"/>
  <c r="AY9" i="1" a="1"/>
  <c r="AY9" i="1"/>
  <c r="AX9" i="1" a="1"/>
  <c r="AX9" i="1"/>
  <c r="AW9" i="1" a="1"/>
  <c r="AW9" i="1"/>
  <c r="AV9" i="1" a="1"/>
  <c r="AV9" i="1"/>
  <c r="AU9" i="1" a="1"/>
  <c r="AU9" i="1"/>
  <c r="AT9" i="1" a="1"/>
  <c r="AT9" i="1"/>
  <c r="AS9" i="1" a="1"/>
  <c r="AS9" i="1"/>
  <c r="AR9" i="1" a="1"/>
  <c r="AR9" i="1"/>
  <c r="AQ9" i="1" a="1"/>
  <c r="AQ9" i="1"/>
  <c r="AP9" i="1" a="1"/>
  <c r="AP9" i="1"/>
  <c r="AO9" i="1" a="1"/>
  <c r="AO9" i="1"/>
  <c r="AN9" i="1" a="1"/>
  <c r="AN9" i="1"/>
  <c r="AY6" i="1" a="1"/>
  <c r="AY6" i="1"/>
  <c r="AX6" i="1" a="1"/>
  <c r="AX6" i="1"/>
  <c r="AV6" i="1" a="1"/>
  <c r="AV6" i="1"/>
  <c r="AU6" i="1" a="1"/>
  <c r="AU6" i="1"/>
  <c r="AT6" i="1" a="1"/>
  <c r="AT6" i="1"/>
  <c r="AS6" i="1" a="1"/>
  <c r="AS6" i="1"/>
  <c r="AR6" i="1" a="1"/>
  <c r="AR6" i="1"/>
  <c r="AQ6" i="1" a="1"/>
  <c r="AQ6" i="1"/>
  <c r="AP6" i="1" a="1"/>
  <c r="AP6" i="1"/>
  <c r="AO7" i="1" a="1"/>
  <c r="AO7" i="1"/>
  <c r="AO6" i="1" a="1"/>
  <c r="AO6" i="1"/>
  <c r="AN6" i="1" a="1"/>
  <c r="AN6" i="1"/>
  <c r="AY7" i="1" a="1"/>
  <c r="AY7" i="1"/>
  <c r="AX7" i="1" a="1"/>
  <c r="AX7" i="1"/>
  <c r="AW7" i="1" a="1"/>
  <c r="AW7" i="1"/>
  <c r="AV7" i="1" a="1"/>
  <c r="AV7" i="1"/>
  <c r="AU7" i="1" a="1"/>
  <c r="AU7" i="1"/>
  <c r="AT7" i="1" a="1"/>
  <c r="AT7" i="1"/>
  <c r="AS7" i="1" a="1"/>
  <c r="AS7" i="1"/>
  <c r="AR7" i="1" a="1"/>
  <c r="AR7" i="1"/>
  <c r="AQ7" i="1" a="1"/>
  <c r="AQ7" i="1"/>
  <c r="AP7" i="1" a="1"/>
  <c r="AP7" i="1"/>
  <c r="AN7" i="1" a="1"/>
  <c r="AN7" i="1"/>
  <c r="AY5" i="1" a="1"/>
  <c r="AY5" i="1"/>
  <c r="AX5" i="1" a="1"/>
  <c r="AX5" i="1"/>
  <c r="AW5" i="1" a="1"/>
  <c r="AW5" i="1"/>
  <c r="AV5" i="1" a="1"/>
  <c r="AV5" i="1"/>
  <c r="AU5" i="1" a="1"/>
  <c r="AU5" i="1"/>
  <c r="AT5" i="1" a="1"/>
  <c r="AT5" i="1"/>
  <c r="AS5" i="1" a="1"/>
  <c r="AS5" i="1"/>
  <c r="AR5" i="1" a="1"/>
  <c r="AR5" i="1"/>
  <c r="AQ5" i="1" a="1"/>
  <c r="AQ5" i="1"/>
  <c r="AP5" i="1" a="1"/>
  <c r="AP5" i="1"/>
  <c r="AO5" i="1" a="1"/>
  <c r="AO5" i="1"/>
  <c r="AN5" i="1" a="1"/>
  <c r="AN5" i="1"/>
  <c r="AY4" i="1" a="1"/>
  <c r="AY4" i="1"/>
  <c r="AW6" i="1" a="1"/>
  <c r="AW6" i="1" s="1"/>
  <c r="AU8" i="1" a="1"/>
  <c r="AU8" i="1" s="1"/>
  <c r="AW8" i="1" a="1"/>
  <c r="AW8" i="1" s="1"/>
  <c r="AW10" i="1" a="1"/>
  <c r="AW10" i="1" s="1"/>
  <c r="AU12" i="1" a="1"/>
  <c r="AU12" i="1" s="1"/>
  <c r="AN8" i="1" a="1"/>
  <c r="AN8" i="1" s="1"/>
  <c r="AN10" i="1" a="1"/>
  <c r="AN10" i="1" s="1"/>
  <c r="AN12" i="1" a="1"/>
  <c r="AN12" i="1" s="1"/>
  <c r="AX4" i="1" a="1"/>
  <c r="AX4" i="1"/>
  <c r="AW4" i="1" a="1"/>
  <c r="AW4" i="1"/>
  <c r="AV4" i="1" a="1"/>
  <c r="AV4" i="1"/>
  <c r="AU4" i="1" a="1"/>
  <c r="AU4" i="1"/>
  <c r="AT4" i="1" a="1"/>
  <c r="AT4" i="1"/>
  <c r="AS4" i="1" a="1"/>
  <c r="AS4" i="1"/>
  <c r="AR4" i="1" a="1"/>
  <c r="AR4" i="1"/>
  <c r="AQ4" i="1" a="1"/>
  <c r="AQ4" i="1"/>
  <c r="AP4" i="1" a="1"/>
  <c r="AP4" i="1"/>
  <c r="AO4" i="1" a="1"/>
  <c r="AO4" i="1"/>
  <c r="AN4" i="1" a="1"/>
  <c r="AN4" i="1"/>
  <c r="AI13" i="1"/>
  <c r="AI12" i="1"/>
  <c r="AI11" i="1"/>
  <c r="AI10" i="1"/>
  <c r="AI9" i="1"/>
  <c r="AI4" i="1"/>
  <c r="AI5" i="1"/>
  <c r="AI6" i="1"/>
  <c r="AI14" i="1"/>
  <c r="S7" i="1"/>
  <c r="S8" i="1"/>
  <c r="S9" i="1"/>
  <c r="S10" i="1"/>
  <c r="S11" i="1"/>
  <c r="S6" i="1"/>
  <c r="S5" i="1"/>
  <c r="K10" i="2"/>
  <c r="I63" i="1"/>
  <c r="H63" i="1"/>
  <c r="G63" i="1"/>
  <c r="E65" i="1" s="1"/>
  <c r="F65" i="1" s="1"/>
  <c r="F63" i="1"/>
  <c r="E63" i="1"/>
  <c r="I56" i="1"/>
  <c r="H56" i="1"/>
  <c r="G56" i="1"/>
  <c r="E58" i="1" s="1"/>
  <c r="F58" i="1" s="1"/>
  <c r="F56" i="1"/>
  <c r="E56" i="1"/>
  <c r="I49" i="1"/>
  <c r="H49" i="1"/>
  <c r="G49" i="1"/>
  <c r="E51" i="1" s="1"/>
  <c r="F51" i="1" s="1"/>
  <c r="F49" i="1"/>
  <c r="E49" i="1"/>
  <c r="I42" i="1"/>
  <c r="H42" i="1"/>
  <c r="G42" i="1"/>
  <c r="E44" i="1" s="1"/>
  <c r="F44" i="1" s="1"/>
  <c r="F42" i="1"/>
  <c r="E42" i="1"/>
  <c r="I35" i="1"/>
  <c r="H35" i="1"/>
  <c r="G35" i="1"/>
  <c r="E37" i="1" s="1"/>
  <c r="F37" i="1" s="1"/>
  <c r="F35" i="1"/>
  <c r="E35" i="1"/>
  <c r="I28" i="1"/>
  <c r="H28" i="1"/>
  <c r="G28" i="1"/>
  <c r="E30" i="1" s="1"/>
  <c r="F30" i="1" s="1"/>
  <c r="F28" i="1"/>
  <c r="E28" i="1"/>
  <c r="I21" i="1"/>
  <c r="H21" i="1"/>
  <c r="G21" i="1"/>
  <c r="E23" i="1" s="1"/>
  <c r="F23" i="1" s="1"/>
  <c r="F21" i="1"/>
  <c r="E21" i="1"/>
  <c r="I14" i="1"/>
  <c r="H14" i="1"/>
  <c r="G14" i="1"/>
  <c r="F14" i="1"/>
  <c r="E14" i="1"/>
  <c r="E16" i="1"/>
  <c r="F16" i="1" s="1"/>
  <c r="K24" i="2"/>
  <c r="K5" i="2"/>
  <c r="K16" i="2"/>
  <c r="G47" i="2"/>
  <c r="G45" i="2"/>
  <c r="G46" i="2"/>
  <c r="G44" i="2"/>
  <c r="F45" i="2"/>
  <c r="F46" i="2"/>
  <c r="F47" i="2"/>
  <c r="F48" i="2"/>
  <c r="F49" i="2"/>
  <c r="F44" i="2"/>
  <c r="E45" i="2"/>
  <c r="E46" i="2"/>
  <c r="E47" i="2"/>
  <c r="E48" i="2"/>
  <c r="E49" i="2"/>
  <c r="E44" i="2"/>
  <c r="E34" i="2"/>
  <c r="E35" i="2" s="1"/>
  <c r="E36" i="2" s="1"/>
  <c r="E37" i="2" s="1"/>
  <c r="E38" i="2" s="1"/>
  <c r="E39" i="2" s="1"/>
  <c r="E40" i="2" s="1"/>
  <c r="E41" i="2" s="1"/>
  <c r="E42" i="2" s="1"/>
  <c r="E24" i="2"/>
  <c r="E25" i="2" s="1"/>
  <c r="E26" i="2" s="1"/>
  <c r="E27" i="2" s="1"/>
  <c r="E28" i="2" s="1"/>
  <c r="E29" i="2" s="1"/>
  <c r="E30" i="2" s="1"/>
  <c r="E31" i="2" s="1"/>
  <c r="E32" i="2" s="1"/>
  <c r="E14" i="2"/>
  <c r="E15" i="2" s="1"/>
  <c r="E16" i="2" s="1"/>
  <c r="E17" i="2" s="1"/>
  <c r="E18" i="2" s="1"/>
  <c r="E19" i="2" s="1"/>
  <c r="E20" i="2" s="1"/>
  <c r="E21" i="2" s="1"/>
  <c r="E22" i="2" s="1"/>
  <c r="I7" i="1"/>
  <c r="F7" i="1"/>
  <c r="G7" i="1"/>
  <c r="H7" i="1"/>
  <c r="E7" i="1"/>
  <c r="E9" i="1" l="1"/>
  <c r="F9" i="1" s="1"/>
  <c r="E10" i="1"/>
  <c r="F10" i="1" s="1"/>
  <c r="E8" i="1"/>
  <c r="F8" i="1" s="1"/>
  <c r="E66" i="1"/>
  <c r="F66" i="1" s="1"/>
  <c r="E64" i="1"/>
  <c r="F64" i="1" s="1"/>
  <c r="E59" i="1"/>
  <c r="F59" i="1" s="1"/>
  <c r="E57" i="1"/>
  <c r="F57" i="1" s="1"/>
  <c r="E52" i="1"/>
  <c r="F52" i="1" s="1"/>
  <c r="E50" i="1"/>
  <c r="F50" i="1" s="1"/>
  <c r="E45" i="1"/>
  <c r="F45" i="1" s="1"/>
  <c r="E43" i="1"/>
  <c r="F43" i="1" s="1"/>
  <c r="E38" i="1"/>
  <c r="F38" i="1" s="1"/>
  <c r="E36" i="1"/>
  <c r="F36" i="1" s="1"/>
  <c r="E31" i="1"/>
  <c r="F31" i="1" s="1"/>
  <c r="E29" i="1"/>
  <c r="F29" i="1" s="1"/>
  <c r="E24" i="1"/>
  <c r="F24" i="1" s="1"/>
  <c r="E22" i="1"/>
  <c r="F22" i="1" s="1"/>
  <c r="E17" i="1"/>
  <c r="F17" i="1" s="1"/>
  <c r="E15" i="1"/>
  <c r="F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<sst xmlns="http://schemas.openxmlformats.org/spreadsheetml/2006/main" count="467" uniqueCount="119">
  <si>
    <t>Base</t>
  </si>
  <si>
    <t>Hex</t>
  </si>
  <si>
    <t>From scatter.txt :</t>
  </si>
  <si>
    <t>From .map file :</t>
  </si>
  <si>
    <t>Dec</t>
  </si>
  <si>
    <t>CMake</t>
  </si>
  <si>
    <t>ROM</t>
  </si>
  <si>
    <t>RAM</t>
  </si>
  <si>
    <t>Total MB</t>
  </si>
  <si>
    <t>NO MEMORY</t>
  </si>
  <si>
    <t>Instuctions</t>
  </si>
  <si>
    <t>Core Cycles</t>
  </si>
  <si>
    <t>S Cycles</t>
  </si>
  <si>
    <t>N Cycles</t>
  </si>
  <si>
    <t>I Cycles</t>
  </si>
  <si>
    <t>C Cycles</t>
  </si>
  <si>
    <t>Wait Cycles</t>
  </si>
  <si>
    <t>Total</t>
  </si>
  <si>
    <t>True Idle Cycles</t>
  </si>
  <si>
    <t>Clock</t>
  </si>
  <si>
    <t>Hz</t>
  </si>
  <si>
    <t>project</t>
  </si>
  <si>
    <t>name</t>
  </si>
  <si>
    <t>start</t>
  </si>
  <si>
    <t>limit</t>
  </si>
  <si>
    <t>Nread_ns</t>
  </si>
  <si>
    <t>Nwrite_ns</t>
  </si>
  <si>
    <t>Sread_ns</t>
  </si>
  <si>
    <t>Swrite_ns</t>
  </si>
  <si>
    <t>Nreads</t>
  </si>
  <si>
    <t>Nwrites</t>
  </si>
  <si>
    <t>Sreads</t>
  </si>
  <si>
    <t>Swrites</t>
  </si>
  <si>
    <t>ns</t>
  </si>
  <si>
    <t>s</t>
  </si>
  <si>
    <t>cw-optimized-2-v3</t>
  </si>
  <si>
    <t>clock</t>
  </si>
  <si>
    <t>cputime</t>
  </si>
  <si>
    <t>sys_clock</t>
  </si>
  <si>
    <t>Totals</t>
  </si>
  <si>
    <t>Code</t>
  </si>
  <si>
    <t>RO Data</t>
  </si>
  <si>
    <t>RW Data</t>
  </si>
  <si>
    <t>ZI Data</t>
  </si>
  <si>
    <t>Debug</t>
  </si>
  <si>
    <t>Start Address</t>
  </si>
  <si>
    <t>End Address</t>
  </si>
  <si>
    <t>MB</t>
  </si>
  <si>
    <t>Heap Base</t>
  </si>
  <si>
    <t>Stack Base</t>
  </si>
  <si>
    <t>initial</t>
  </si>
  <si>
    <t>cw-initial</t>
  </si>
  <si>
    <t>scatter.txt</t>
  </si>
  <si>
    <t>No memory declared</t>
  </si>
  <si>
    <t>Object</t>
  </si>
  <si>
    <t>0x00000000</t>
  </si>
  <si>
    <t>0x04000000</t>
  </si>
  <si>
    <t>0x06000000</t>
  </si>
  <si>
    <t>0x08000000</t>
  </si>
  <si>
    <t>0x10000000</t>
  </si>
  <si>
    <t>optimized-1</t>
  </si>
  <si>
    <t>Library</t>
  </si>
  <si>
    <t xml:space="preserve">0x01000000 </t>
  </si>
  <si>
    <t>0x01000000</t>
  </si>
  <si>
    <t>0x02000000</t>
  </si>
  <si>
    <t>optimized-2-v3</t>
  </si>
  <si>
    <t>cw-optimized-1</t>
  </si>
  <si>
    <t>scatter2.txt</t>
  </si>
  <si>
    <t>Grand</t>
  </si>
  <si>
    <t>optimized-2-v1</t>
  </si>
  <si>
    <t>optimized-3-v1</t>
  </si>
  <si>
    <t>SRAM</t>
  </si>
  <si>
    <t>RO</t>
  </si>
  <si>
    <t>kB</t>
  </si>
  <si>
    <t>optimized-2-v2</t>
  </si>
  <si>
    <t>cw-optimized-2-v1</t>
  </si>
  <si>
    <t>DRAM</t>
  </si>
  <si>
    <t>RW</t>
  </si>
  <si>
    <t xml:space="preserve">0x00800000 </t>
  </si>
  <si>
    <t>scatter3.txt</t>
  </si>
  <si>
    <t>WITH MEMORY</t>
  </si>
  <si>
    <t>cw-optimized-2-v2</t>
  </si>
  <si>
    <t>optimized-3-v2</t>
  </si>
  <si>
    <t>optimized-2-v3-sc2</t>
  </si>
  <si>
    <t>Wait_States</t>
  </si>
  <si>
    <t>memory.map</t>
  </si>
  <si>
    <t>scatter4.txt</t>
  </si>
  <si>
    <t>Percentage of Reduction (%):</t>
  </si>
  <si>
    <t>memory2.map</t>
  </si>
  <si>
    <t>memory3.map</t>
  </si>
  <si>
    <t>memory4.map</t>
  </si>
  <si>
    <t>memory5.map</t>
  </si>
  <si>
    <t>** decimal is in seconds only , the other are in us</t>
  </si>
  <si>
    <t>clock (s)</t>
  </si>
  <si>
    <t>cputime (in clock units)</t>
  </si>
  <si>
    <t>Memory</t>
  </si>
  <si>
    <t>Bytes</t>
  </si>
  <si>
    <t>hex address</t>
  </si>
  <si>
    <t>Memory to Address</t>
  </si>
  <si>
    <t>B</t>
  </si>
  <si>
    <t>Input Bytes:</t>
  </si>
  <si>
    <t>hex :</t>
  </si>
  <si>
    <t>Address to Memory</t>
  </si>
  <si>
    <t>Input hex:</t>
  </si>
  <si>
    <t>Bits to Bytes</t>
  </si>
  <si>
    <t>Mbits</t>
  </si>
  <si>
    <t>Memory:</t>
  </si>
  <si>
    <t>Bus width</t>
  </si>
  <si>
    <t>Input number:</t>
  </si>
  <si>
    <t>Bus width:</t>
  </si>
  <si>
    <t>bits</t>
  </si>
  <si>
    <t>hex:</t>
  </si>
  <si>
    <t>19E141A</t>
  </si>
  <si>
    <t>Clock:</t>
  </si>
  <si>
    <t>MHz</t>
  </si>
  <si>
    <t>Time:</t>
  </si>
  <si>
    <t>sec</t>
  </si>
  <si>
    <t>GB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</si>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</sst>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2" xfId="0" applyBorder="1" applyAlignment="1">
      <alignment vertical="center"/>
    </xf>
    <xf numFmtId="0" fontId="0" fillId="2" borderId="1" xfId="0" applyFill="1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2" borderId="4" xfId="0" applyFill="1" applyBorder="1"/>
    <xf numFmtId="0" fontId="0" fillId="2" borderId="1" xfId="0" applyFill="1" applyBorder="1" applyAlignment="1">
      <alignment vertical="center"/>
    </xf>
    <xf numFmtId="0" fontId="0" fillId="2" borderId="3" xfId="0" applyFill="1" applyBorder="1"/>
    <xf numFmtId="0" fontId="0" fillId="2" borderId="3" xfId="0" applyFill="1" applyBorder="1" applyAlignment="1">
      <alignment vertical="center"/>
    </xf>
    <xf numFmtId="0" fontId="0" fillId="2" borderId="5" xfId="0" applyFill="1" applyBorder="1"/>
    <xf numFmtId="0" fontId="0" fillId="2" borderId="7" xfId="0" applyFill="1" applyBorder="1"/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5" xfId="0" applyFill="1" applyBorder="1"/>
    <xf numFmtId="0" fontId="0" fillId="2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8" xfId="0" applyFill="1" applyBorder="1"/>
    <xf numFmtId="3" fontId="0" fillId="0" borderId="1" xfId="0" applyNumberFormat="1" applyBorder="1"/>
    <xf numFmtId="3" fontId="0" fillId="0" borderId="4" xfId="0" applyNumberFormat="1" applyBorder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90"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theme="7" tint="-0.249977111117893"/>
        </patternFill>
      </fill>
    </dxf>
    <dxf>
      <font>
        <color theme="0"/>
      </font>
      <fill>
        <patternFill patternType="solid">
          <bgColor rgb="FF7030A0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theme="5"/>
        </patternFill>
      </fill>
    </dxf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theme="4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Q67"/>
  <sheetViews>
    <sheetView tabSelected="1" topLeftCell="AO8" workbookViewId="0">
      <selection activeCell="BC29" sqref="BC29"/>
    </sheetView>
  </sheetViews>
  <sheetFormatPr defaultRowHeight="15"/>
  <cols>
    <col min="2" max="2" width="3.140625" customWidth="1"/>
    <col min="3" max="3" width="7.28515625" customWidth="1"/>
    <col min="8" max="8" width="9.85546875" bestFit="1" customWidth="1"/>
    <col min="11" max="11" width="14.28515625" customWidth="1"/>
    <col min="12" max="12" width="12.28515625" customWidth="1"/>
    <col min="13" max="13" width="11.85546875" customWidth="1"/>
    <col min="14" max="14" width="4.5703125" customWidth="1"/>
    <col min="15" max="17" width="12.140625" customWidth="1"/>
    <col min="18" max="18" width="11.140625" customWidth="1"/>
    <col min="19" max="19" width="4" customWidth="1"/>
    <col min="23" max="23" width="27" bestFit="1" customWidth="1"/>
    <col min="24" max="24" width="12.85546875" bestFit="1" customWidth="1"/>
    <col min="25" max="25" width="13.7109375" bestFit="1" customWidth="1"/>
    <col min="26" max="26" width="11.28515625" customWidth="1"/>
    <col min="27" max="28" width="12.85546875" bestFit="1" customWidth="1"/>
    <col min="29" max="29" width="8.140625" bestFit="1" customWidth="1"/>
    <col min="30" max="31" width="13.7109375" bestFit="1" customWidth="1"/>
    <col min="32" max="32" width="14.85546875" bestFit="1" customWidth="1"/>
    <col min="35" max="35" width="10.85546875" bestFit="1" customWidth="1"/>
    <col min="38" max="38" width="17.7109375" bestFit="1" customWidth="1"/>
    <col min="40" max="40" width="9.85546875" bestFit="1" customWidth="1"/>
    <col min="41" max="41" width="12" bestFit="1" customWidth="1"/>
    <col min="44" max="44" width="10.85546875" bestFit="1" customWidth="1"/>
    <col min="46" max="47" width="12" bestFit="1" customWidth="1"/>
    <col min="48" max="48" width="11.7109375" bestFit="1" customWidth="1"/>
    <col min="49" max="49" width="12" bestFit="1" customWidth="1"/>
    <col min="50" max="50" width="14.85546875" bestFit="1" customWidth="1"/>
    <col min="51" max="52" width="12" bestFit="1" customWidth="1"/>
    <col min="53" max="53" width="17.7109375" bestFit="1" customWidth="1"/>
    <col min="54" max="54" width="12" bestFit="1" customWidth="1"/>
    <col min="55" max="55" width="13.7109375" bestFit="1" customWidth="1"/>
    <col min="56" max="56" width="21.85546875" bestFit="1" customWidth="1"/>
    <col min="57" max="58" width="12" bestFit="1" customWidth="1"/>
    <col min="60" max="61" width="13.7109375" bestFit="1" customWidth="1"/>
    <col min="62" max="62" width="14.85546875" bestFit="1" customWidth="1"/>
    <col min="63" max="63" width="10.85546875" bestFit="1" customWidth="1"/>
    <col min="64" max="64" width="9.85546875" bestFit="1" customWidth="1"/>
    <col min="65" max="65" width="10.85546875" bestFit="1" customWidth="1"/>
    <col min="67" max="69" width="12" bestFit="1" customWidth="1"/>
  </cols>
  <sheetData>
    <row r="2" spans="2:69">
      <c r="AL2" t="s">
        <v>0</v>
      </c>
      <c r="AM2" t="s">
        <v>1</v>
      </c>
      <c r="AN2" s="47" t="s">
        <v>2</v>
      </c>
      <c r="AO2" s="47"/>
      <c r="AP2" s="48" t="s">
        <v>3</v>
      </c>
      <c r="AQ2" s="47"/>
      <c r="AR2" s="47"/>
      <c r="AS2" s="47"/>
      <c r="BA2" t="s">
        <v>0</v>
      </c>
      <c r="BB2" t="s">
        <v>4</v>
      </c>
      <c r="BC2" s="47" t="s">
        <v>2</v>
      </c>
      <c r="BD2" s="47"/>
      <c r="BE2" s="48" t="s">
        <v>3</v>
      </c>
      <c r="BF2" s="47"/>
      <c r="BG2" s="47"/>
      <c r="BH2" s="47"/>
    </row>
    <row r="3" spans="2:69">
      <c r="E3" s="55" t="s">
        <v>5</v>
      </c>
      <c r="F3" s="55"/>
      <c r="G3" s="55"/>
      <c r="H3" s="55"/>
      <c r="I3" s="55"/>
      <c r="K3" s="5"/>
      <c r="L3" s="47" t="s">
        <v>6</v>
      </c>
      <c r="M3" s="47"/>
      <c r="N3" s="47"/>
      <c r="O3" s="47" t="s">
        <v>7</v>
      </c>
      <c r="P3" s="47"/>
      <c r="Q3" s="47"/>
      <c r="R3" s="47"/>
      <c r="S3" s="47"/>
      <c r="T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H3" t="s">
        <v>19</v>
      </c>
      <c r="AI3" s="32">
        <v>50000000</v>
      </c>
      <c r="AJ3" t="s">
        <v>20</v>
      </c>
      <c r="AL3" s="34" t="s">
        <v>21</v>
      </c>
      <c r="AM3" s="2" t="s">
        <v>22</v>
      </c>
      <c r="AN3" s="18" t="s">
        <v>23</v>
      </c>
      <c r="AO3" s="18" t="s">
        <v>24</v>
      </c>
      <c r="AP3" s="18" t="s">
        <v>25</v>
      </c>
      <c r="AQ3" s="18" t="s">
        <v>26</v>
      </c>
      <c r="AR3" s="18" t="s">
        <v>27</v>
      </c>
      <c r="AS3" s="18" t="s">
        <v>28</v>
      </c>
      <c r="AT3" s="2" t="s">
        <v>29</v>
      </c>
      <c r="AU3" s="2" t="s">
        <v>30</v>
      </c>
      <c r="AV3" s="2" t="s">
        <v>31</v>
      </c>
      <c r="AW3" s="2" t="s">
        <v>32</v>
      </c>
      <c r="AX3" s="2" t="s">
        <v>33</v>
      </c>
      <c r="AY3" s="2" t="s">
        <v>34</v>
      </c>
      <c r="BA3" s="34" t="s">
        <v>35</v>
      </c>
      <c r="BB3" s="2" t="s">
        <v>22</v>
      </c>
      <c r="BC3" s="18" t="s">
        <v>23</v>
      </c>
      <c r="BD3" s="18" t="s">
        <v>24</v>
      </c>
      <c r="BE3" s="18" t="s">
        <v>25</v>
      </c>
      <c r="BF3" s="18" t="s">
        <v>26</v>
      </c>
      <c r="BG3" s="18" t="s">
        <v>27</v>
      </c>
      <c r="BH3" s="18" t="s">
        <v>28</v>
      </c>
      <c r="BI3" s="2" t="s">
        <v>29</v>
      </c>
      <c r="BJ3" s="2" t="s">
        <v>30</v>
      </c>
      <c r="BK3" s="2" t="s">
        <v>31</v>
      </c>
      <c r="BL3" s="2" t="s">
        <v>32</v>
      </c>
      <c r="BM3" s="2" t="s">
        <v>33</v>
      </c>
      <c r="BN3" s="2" t="s">
        <v>34</v>
      </c>
      <c r="BO3" s="34" t="s">
        <v>36</v>
      </c>
      <c r="BP3" s="34" t="s">
        <v>37</v>
      </c>
      <c r="BQ3" s="34" t="s">
        <v>38</v>
      </c>
    </row>
    <row r="4" spans="2:69">
      <c r="C4" s="24"/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K4" s="5"/>
      <c r="L4" s="1" t="s">
        <v>45</v>
      </c>
      <c r="M4" s="1" t="s">
        <v>46</v>
      </c>
      <c r="N4" s="1" t="s">
        <v>47</v>
      </c>
      <c r="O4" s="1" t="s">
        <v>45</v>
      </c>
      <c r="P4" s="1" t="s">
        <v>48</v>
      </c>
      <c r="Q4" s="1" t="s">
        <v>49</v>
      </c>
      <c r="R4" s="1" t="s">
        <v>46</v>
      </c>
      <c r="S4" s="1" t="s">
        <v>47</v>
      </c>
      <c r="T4" s="1"/>
      <c r="W4" s="2" t="s">
        <v>50</v>
      </c>
      <c r="X4" s="31">
        <v>620226123</v>
      </c>
      <c r="Y4" s="31">
        <v>102298801</v>
      </c>
      <c r="Z4" s="31">
        <v>728855498</v>
      </c>
      <c r="AA4" s="31">
        <v>232897531</v>
      </c>
      <c r="AB4" s="31">
        <v>120254198</v>
      </c>
      <c r="AC4" s="2">
        <v>0</v>
      </c>
      <c r="AD4" s="2">
        <v>0</v>
      </c>
      <c r="AE4" s="31">
        <v>1082007227</v>
      </c>
      <c r="AF4" s="2">
        <v>0</v>
      </c>
      <c r="AI4" t="str">
        <f>DEC2HEX(X4/AI3)</f>
        <v>C</v>
      </c>
      <c r="AL4" s="44" t="s">
        <v>51</v>
      </c>
      <c r="AM4" s="33" t="s">
        <v>6</v>
      </c>
      <c r="AN4" s="35" cm="1">
        <f t="array" ref="AN4">_xlfn.LET(_xlpm.v,0,_xlpm.b,AM2,IF(_xlpm.b="Dec",HEX2DEC(_xlpm.v),IF(_xlpm.b="Hex",_xlpm.v,IF(_xlpm.b="Bin",HEX2BIN(_xlpm.v),IF(_xlpm.b="Oct",HEX2OCT(_xlpm.v),"?")))))</f>
        <v>0</v>
      </c>
      <c r="AO4" s="35" cm="1">
        <f t="array" ref="AO4">_xlfn.LET(_xlpm.v,4000000,_xlpm.b,AM2,IF(_xlpm.b="Dec",HEX2DEC(_xlpm.v),IF(_xlpm.b="Hex",_xlpm.v,IF(_xlpm.b="Bin",HEX2BIN(_xlpm.v),IF(_xlpm.b="Oct",HEX2OCT(_xlpm.v),"?")))))</f>
        <v>4000000</v>
      </c>
      <c r="AP4" s="35" cm="1">
        <f t="array" ref="AP4">_xlfn.LET(_xlpm.v,1,_xlpm.b,AM2,IF(_xlpm.b="Dec",HEX2DEC(_xlpm.v),IF(_xlpm.b="Hex",_xlpm.v,IF(_xlpm.b="Bin",HEX2BIN(_xlpm.v),IF(_xlpm.b="Oct",HEX2OCT(_xlpm.v),"?")))))</f>
        <v>1</v>
      </c>
      <c r="AQ4" s="35" cm="1">
        <f t="array" ref="AQ4">_xlfn.LET(_xlpm.v,1,_xlpm.b,AM2,IF(_xlpm.b="Dec",HEX2DEC(_xlpm.v),IF(_xlpm.b="Hex",_xlpm.v,IF(_xlpm.b="Bin",HEX2BIN(_xlpm.v),IF(_xlpm.b="Oct",HEX2OCT(_xlpm.v),"?")))))</f>
        <v>1</v>
      </c>
      <c r="AR4" s="35" cm="1">
        <f t="array" ref="AR4">_xlfn.LET(_xlpm.v,1,_xlpm.b,AM2,IF(_xlpm.b="Dec",HEX2DEC(_xlpm.v),IF(_xlpm.b="Hex",_xlpm.v,IF(_xlpm.b="Bin",HEX2BIN(_xlpm.v),IF(_xlpm.b="Oct",HEX2OCT(_xlpm.v),"?")))))</f>
        <v>1</v>
      </c>
      <c r="AS4" s="35" cm="1">
        <f t="array" ref="AS4">_xlfn.LET(_xlpm.v,1,_xlpm.b,AM2,IF(_xlpm.b="Dec",HEX2DEC(_xlpm.v),IF(_xlpm.b="Hex",_xlpm.v,IF(_xlpm.b="Bin",HEX2BIN(_xlpm.v),IF(_xlpm.b="Oct",HEX2OCT(_xlpm.v),"?")))))</f>
        <v>1</v>
      </c>
      <c r="AT4" s="35" t="str" cm="1">
        <f t="array" ref="AT4">_xlfn.LET(_xlpm.v,"86C1E82",_xlpm.b,AM2,IF(_xlpm.b="Dec",HEX2DEC(_xlpm.v),IF(_xlpm.b="Hex",_xlpm.v,IF(_xlpm.b="Bin",HEX2BIN(_xlpm.v),IF(_xlpm.b="Oct",HEX2OCT(_xlpm.v),"?")))))</f>
        <v>86C1E82</v>
      </c>
      <c r="AU4" s="35" cm="1">
        <f t="array" ref="AU4">_xlfn.LET(_xlpm.v,0,_xlpm.b,AM2,IF(_xlpm.b="Dec",HEX2DEC(_xlpm.v),IF(_xlpm.b="Hex",_xlpm.v,IF(_xlpm.b="Bin",HEX2BIN(_xlpm.v),IF(_xlpm.b="Oct",HEX2OCT(_xlpm.v),"?")))))</f>
        <v>0</v>
      </c>
      <c r="AV4" s="35" t="str" cm="1">
        <f t="array" ref="AV4">_xlfn.LET(_xlpm.v,"2737C5F0",_xlpm.b,AM2,IF(_xlpm.b="Dec",HEX2DEC(_xlpm.v),IF(_xlpm.b="Hex",_xlpm.v,IF(_xlpm.b="Bin",HEX2BIN(_xlpm.v),IF(_xlpm.b="Oct",HEX2OCT(_xlpm.v),"?")))))</f>
        <v>2737C5F0</v>
      </c>
      <c r="AW4" s="35" cm="1">
        <f t="array" ref="AW4">_xlfn.LET(_xlpm.v,0,_xlpm.b,AM2,IF(_xlpm.b="Dec",HEX2DEC(_xlpm.v),IF(_xlpm.b="Hex",_xlpm.v,IF(_xlpm.b="Bin",HEX2BIN(_xlpm.v),IF(_xlpm.b="Oct",HEX2OCT(_xlpm.v),"?")))))</f>
        <v>0</v>
      </c>
      <c r="AX4" s="35" t="str" cm="1">
        <f t="array" ref="AX4">_xlfn.LET(_xlpm.v,"3ABC02E8",_xlpm.b,AM2,IF(_xlpm.b="Dec",HEX2DEC(_xlpm.v),IF(_xlpm.b="Hex",_xlpm.v,IF(_xlpm.b="Bin",HEX2BIN(_xlpm.v),IF(_xlpm.b="Oct",HEX2OCT(_xlpm.v),"?")))))</f>
        <v>3ABC02E8</v>
      </c>
      <c r="AY4" s="35" t="str" cm="1">
        <f t="array" ref="AY4">_xlfn.LET(_xlpm.v,"F",_xlpm.b,AM2,IF(_xlpm.b="Dec",HEX2DEC(_xlpm.v),IF(_xlpm.b="Hex",_xlpm.v,IF(_xlpm.b="Bin",HEX2BIN(_xlpm.v),IF(_xlpm.b="Oct",HEX2OCT(_xlpm.v),"?")))))</f>
        <v>F</v>
      </c>
      <c r="BA4" s="44" t="s">
        <v>52</v>
      </c>
      <c r="BB4" s="33" t="s">
        <v>6</v>
      </c>
      <c r="BC4" s="35" cm="1">
        <f t="array" ref="BC4">_xlfn.LET(_xlpm.v,0,_xlpm.b,BB2,IF(_xlpm.b="Dec",HEX2DEC(_xlpm.v),IF(_xlpm.b="Hex",_xlpm.v,IF(_xlpm.b="Bin",HEX2BIN(_xlpm.v),IF(_xlpm.b="Oct",HEX2OCT(_xlpm.v),"?")))))</f>
        <v>0</v>
      </c>
      <c r="BD4" s="35" cm="1">
        <f t="array" ref="BD4">_xlfn.LET(_xlpm.v,800000,_xlpm.b,BB2,IF(_xlpm.b="Dec",HEX2DEC(_xlpm.v),IF(_xlpm.b="Hex",_xlpm.v,IF(_xlpm.b="Bin",HEX2BIN(_xlpm.v),IF(_xlpm.b="Oct",HEX2OCT(_xlpm.v),"?")))))</f>
        <v>8388608</v>
      </c>
      <c r="BE4" s="35" cm="1">
        <f t="array" ref="BE4">_xlfn.LET(_xlpm.v,1,_xlpm.b,BB2,IF(_xlpm.b="Dec",HEX2DEC(_xlpm.v),IF(_xlpm.b="Hex",_xlpm.v,IF(_xlpm.b="Bin",HEX2BIN(_xlpm.v),IF(_xlpm.b="Oct",HEX2OCT(_xlpm.v),"?")))))</f>
        <v>1</v>
      </c>
      <c r="BF4" s="35" cm="1">
        <f t="array" ref="BF4">_xlfn.LET(_xlpm.v,1,_xlpm.b,BB2,IF(_xlpm.b="Dec",HEX2DEC(_xlpm.v),IF(_xlpm.b="Hex",_xlpm.v,IF(_xlpm.b="Bin",HEX2BIN(_xlpm.v),IF(_xlpm.b="Oct",HEX2OCT(_xlpm.v),"?")))))</f>
        <v>1</v>
      </c>
      <c r="BG4" s="35" cm="1">
        <f t="array" ref="BG4">_xlfn.LET(_xlpm.v,1,_xlpm.b,BB2,IF(_xlpm.b="Dec",HEX2DEC(_xlpm.v),IF(_xlpm.b="Hex",_xlpm.v,IF(_xlpm.b="Bin",HEX2BIN(_xlpm.v),IF(_xlpm.b="Oct",HEX2OCT(_xlpm.v),"?")))))</f>
        <v>1</v>
      </c>
      <c r="BH4" s="35" cm="1">
        <f t="array" ref="BH4">_xlfn.LET(_xlpm.v,1,_xlpm.b,BB2,IF(_xlpm.b="Dec",HEX2DEC(_xlpm.v),IF(_xlpm.b="Hex",_xlpm.v,IF(_xlpm.b="Bin",HEX2BIN(_xlpm.v),IF(_xlpm.b="Oct",HEX2OCT(_xlpm.v),"?")))))</f>
        <v>1</v>
      </c>
      <c r="BI4" s="35" cm="1">
        <f t="array" ref="BI4">_xlfn.LET(_xlpm.v,"49F7FD0",_xlpm.b,BB2,IF(_xlpm.b="Dec",HEX2DEC(_xlpm.v),IF(_xlpm.b="Hex",_xlpm.v,IF(_xlpm.b="Bin",HEX2BIN(_xlpm.v),IF(_xlpm.b="Oct",HEX2OCT(_xlpm.v),"?")))))</f>
        <v>77561808</v>
      </c>
      <c r="BJ4" s="35" cm="1">
        <f t="array" ref="BJ4">_xlfn.LET(_xlpm.v,0,_xlpm.b,BB2,IF(_xlpm.b="Dec",HEX2DEC(_xlpm.v),IF(_xlpm.b="Hex",_xlpm.v,IF(_xlpm.b="Bin",HEX2BIN(_xlpm.v),IF(_xlpm.b="Oct",HEX2OCT(_xlpm.v),"?")))))</f>
        <v>0</v>
      </c>
      <c r="BK4" s="35" cm="1">
        <f t="array" ref="BK4">_xlfn.LET(_xlpm.v,"1E1FB08A",_xlpm.b,BB2,IF(_xlpm.b="Dec",HEX2DEC(_xlpm.v),IF(_xlpm.b="Hex",_xlpm.v,IF(_xlpm.b="Bin",HEX2BIN(_xlpm.v),IF(_xlpm.b="Oct",HEX2OCT(_xlpm.v),"?")))))</f>
        <v>505393290</v>
      </c>
      <c r="BL4" s="35" cm="1">
        <f t="array" ref="BL4">_xlfn.LET(_xlpm.v,"0",_xlpm.b,BB2,IF(_xlpm.b="Dec",HEX2DEC(_xlpm.v),IF(_xlpm.b="Hex",_xlpm.v,IF(_xlpm.b="Bin",HEX2BIN(_xlpm.v),IF(_xlpm.b="Oct",HEX2OCT(_xlpm.v),"?")))))</f>
        <v>0</v>
      </c>
      <c r="BM4" s="35" cm="1">
        <f t="array" ref="BM4">_xlfn.LET(_xlpm.v,"53B2F54",_xlpm.b,BB2,IF(_xlpm.b="Dec",HEX2DEC(_xlpm.v),IF(_xlpm.b="Hex",_xlpm.v,IF(_xlpm.b="Bin",HEX2BIN(_xlpm.v),IF(_xlpm.b="Oct",HEX2OCT(_xlpm.v),"?")))))</f>
        <v>87764820</v>
      </c>
      <c r="BN4" s="37" cm="1">
        <f t="array" ref="BN4">_xlfn.LET(_xlpm.v,"E",_xlpm.b,BB2,IF(_xlpm.b="Dec",HEX2DEC(_xlpm.v),IF(_xlpm.b="Hex",_xlpm.v,IF(_xlpm.b="Bin",HEX2BIN(_xlpm.v),IF(_xlpm.b="Oct",HEX2OCT(_xlpm.v),"?")))))</f>
        <v>14</v>
      </c>
      <c r="BO4" s="45" cm="1">
        <f t="array" ref="BO4">_xlfn.LET(_xlpm.v,"1910EBF",_xlpm.b,BB2,IF(_xlpm.b="Dec",HEX2DEC(_xlpm.v),IF(_xlpm.b="Hex",_xlpm.v,IF(_xlpm.b="Bin",HEX2BIN(_xlpm.v),IF(_xlpm.b="Oct",HEX2OCT(_xlpm.v),"?")))))</f>
        <v>26283711</v>
      </c>
      <c r="BP4" s="45" cm="1">
        <f t="array" ref="BP4">_xlfn.LET(_xlpm.v,"4E54E178",_xlpm.b,BB2,IF(_xlpm.b="Dec",HEX2DEC(_xlpm.v),IF(_xlpm.b="Hex",_xlpm.v,IF(_xlpm.b="Bin",HEX2BIN(_xlpm.v),IF(_xlpm.b="Oct",HEX2OCT(_xlpm.v),"?")))))</f>
        <v>1314185592</v>
      </c>
      <c r="BQ4" s="45" cm="1">
        <f t="array" ref="BQ4">_xlfn.LET(_xlpm.v,"A44",_xlpm.b,BB2,IF(_xlpm.b="Dec",HEX2DEC(_xlpm.v),IF(_xlpm.b="Hex",_xlpm.v,IF(_xlpm.b="Bin",HEX2BIN(_xlpm.v),IF(_xlpm.b="Oct",HEX2OCT(_xlpm.v),"?")))))</f>
        <v>2628</v>
      </c>
    </row>
    <row r="5" spans="2:69">
      <c r="B5" s="49" t="s">
        <v>53</v>
      </c>
      <c r="C5" s="50" t="s">
        <v>50</v>
      </c>
      <c r="D5" s="1" t="s">
        <v>54</v>
      </c>
      <c r="E5" s="3">
        <v>7248</v>
      </c>
      <c r="F5" s="1">
        <v>60</v>
      </c>
      <c r="G5" s="1">
        <v>108</v>
      </c>
      <c r="H5" s="1">
        <v>22197156</v>
      </c>
      <c r="I5" s="1">
        <v>24016</v>
      </c>
      <c r="K5" s="1" t="s">
        <v>50</v>
      </c>
      <c r="L5" s="1" t="s">
        <v>55</v>
      </c>
      <c r="M5" s="1" t="s">
        <v>56</v>
      </c>
      <c r="N5" s="1">
        <v>64</v>
      </c>
      <c r="O5" s="1" t="s">
        <v>56</v>
      </c>
      <c r="P5" s="1" t="s">
        <v>57</v>
      </c>
      <c r="Q5" s="1" t="s">
        <v>58</v>
      </c>
      <c r="R5" s="1" t="s">
        <v>59</v>
      </c>
      <c r="S5" s="1">
        <f>T5-N5</f>
        <v>192</v>
      </c>
      <c r="T5" s="1">
        <v>256</v>
      </c>
      <c r="W5" s="1" t="s">
        <v>60</v>
      </c>
      <c r="X5" s="30">
        <v>844442376</v>
      </c>
      <c r="Y5" s="30">
        <v>1287663527</v>
      </c>
      <c r="Z5" s="30">
        <v>974504597</v>
      </c>
      <c r="AA5" s="30">
        <v>243573763</v>
      </c>
      <c r="AB5" s="30">
        <v>167334313</v>
      </c>
      <c r="AC5" s="1">
        <v>0</v>
      </c>
      <c r="AD5" s="1">
        <v>0</v>
      </c>
      <c r="AE5" s="30">
        <v>1385412673</v>
      </c>
      <c r="AF5" s="1">
        <v>0</v>
      </c>
      <c r="AI5" t="str">
        <f>DEC2HEX(X5/AI3)</f>
        <v>10</v>
      </c>
      <c r="AL5" s="44"/>
      <c r="AM5" s="33" t="s">
        <v>7</v>
      </c>
      <c r="AN5" s="35" cm="1">
        <f t="array" ref="AN5">_xlfn.LET(_xlpm.v,4000000,_xlpm.b,AM2,IF(_xlpm.b="Dec",HEX2DEC(_xlpm.v),IF(_xlpm.b="Hex",_xlpm.v,IF(_xlpm.b="Bin",HEX2BIN(_xlpm.v),IF(_xlpm.b="Oct",HEX2OCT(_xlpm.v),"?")))))</f>
        <v>4000000</v>
      </c>
      <c r="AO5" s="35" cm="1">
        <f t="array" ref="AO5">_xlfn.LET(_xlpm.v,10000000,_xlpm.b,AM2,IF(_xlpm.b="Dec",HEX2DEC(_xlpm.v),IF(_xlpm.b="Hex",_xlpm.v,IF(_xlpm.b="Bin",HEX2BIN(_xlpm.v),IF(_xlpm.b="Oct",HEX2OCT(_xlpm.v),"?")))))</f>
        <v>10000000</v>
      </c>
      <c r="AP5" s="35" t="str" cm="1">
        <f t="array" ref="AP5">_xlfn.LET(_xlpm.v,"FA",_xlpm.b,AM2,IF(_xlpm.b="Dec",HEX2DEC(_xlpm.v),IF(_xlpm.b="Hex",_xlpm.v,IF(_xlpm.b="Bin",HEX2BIN(_xlpm.v),IF(_xlpm.b="Oct",HEX2OCT(_xlpm.v),"?")))))</f>
        <v>FA</v>
      </c>
      <c r="AQ5" s="35" t="str" cm="1">
        <f t="array" ref="AQ5">_xlfn.LET(_xlpm.v,"FA",_xlpm.b,AM2,IF(_xlpm.b="Dec",HEX2DEC(_xlpm.v),IF(_xlpm.b="Hex",_xlpm.v,IF(_xlpm.b="Bin",HEX2BIN(_xlpm.v),IF(_xlpm.b="Oct",HEX2OCT(_xlpm.v),"?")))))</f>
        <v>FA</v>
      </c>
      <c r="AR5" s="35" cm="1">
        <f t="array" ref="AR5">_xlfn.LET(_xlpm.v,32,_xlpm.b,AM2,IF(_xlpm.b="Dec",HEX2DEC(_xlpm.v),IF(_xlpm.b="Hex",_xlpm.v,IF(_xlpm.b="Bin",HEX2BIN(_xlpm.v),IF(_xlpm.b="Oct",HEX2OCT(_xlpm.v),"?")))))</f>
        <v>32</v>
      </c>
      <c r="AS5" s="35" cm="1">
        <f t="array" ref="AS5">_xlfn.LET(_xlpm.v,32,_xlpm.b,AM2,IF(_xlpm.b="Dec",HEX2DEC(_xlpm.v),IF(_xlpm.b="Hex",_xlpm.v,IF(_xlpm.b="Bin",HEX2BIN(_xlpm.v),IF(_xlpm.b="Oct",HEX2OCT(_xlpm.v),"?")))))</f>
        <v>32</v>
      </c>
      <c r="AT5" s="35" t="str" cm="1">
        <f t="array" ref="AT5">_xlfn.LET(_xlpm.v,"2B13DBC",_xlpm.b,AM2,IF(_xlpm.b="Dec",HEX2DEC(_xlpm.v),IF(_xlpm.b="Hex",_xlpm.v,IF(_xlpm.b="Bin",HEX2BIN(_xlpm.v),IF(_xlpm.b="Oct",HEX2OCT(_xlpm.v),"?")))))</f>
        <v>2B13DBC</v>
      </c>
      <c r="AU5" s="35" t="str" cm="1">
        <f t="array" ref="AU5">_xlfn.LET(_xlpm.v,"2C46046",_xlpm.b,AM2,IF(_xlpm.b="Dec",HEX2DEC(_xlpm.v),IF(_xlpm.b="Hex",_xlpm.v,IF(_xlpm.b="Bin",HEX2BIN(_xlpm.v),IF(_xlpm.b="Oct",HEX2OCT(_xlpm.v),"?")))))</f>
        <v>2C46046</v>
      </c>
      <c r="AV5" s="35" t="str" cm="1">
        <f t="array" ref="AV5">_xlfn.LET(_xlpm.v,"1BFE3DF",_xlpm.b,AM2,IF(_xlpm.b="Dec",HEX2DEC(_xlpm.v),IF(_xlpm.b="Hex",_xlpm.v,IF(_xlpm.b="Bin",HEX2BIN(_xlpm.v),IF(_xlpm.b="Oct",HEX2OCT(_xlpm.v),"?")))))</f>
        <v>1BFE3DF</v>
      </c>
      <c r="AW5" s="35" t="str" cm="1">
        <f t="array" ref="AW5">_xlfn.LET(_xlpm.v,"279CA7A",_xlpm.b,AM2,IF(_xlpm.b="Dec",HEX2DEC(_xlpm.v),IF(_xlpm.b="Hex",_xlpm.v,IF(_xlpm.b="Bin",HEX2BIN(_xlpm.v),IF(_xlpm.b="Oct",HEX2OCT(_xlpm.v),"?")))))</f>
        <v>279CA7A</v>
      </c>
      <c r="AX5" s="35" t="str" cm="1">
        <f t="array" ref="AX5">_xlfn.LET(_xlpm.v,"40B3EE4",_xlpm.b,AM2,IF(_xlpm.b="Dec",HEX2DEC(_xlpm.v),IF(_xlpm.b="Hex",_xlpm.v,IF(_xlpm.b="Bin",HEX2BIN(_xlpm.v),IF(_xlpm.b="Oct",HEX2OCT(_xlpm.v),"?")))))</f>
        <v>40B3EE4</v>
      </c>
      <c r="AY5" s="35" t="str" cm="1">
        <f t="array" ref="AY5">_xlfn.LET(_xlpm.v,"1C",_xlpm.b,AM2,IF(_xlpm.b="Dec",HEX2DEC(_xlpm.v),IF(_xlpm.b="Hex",_xlpm.v,IF(_xlpm.b="Bin",HEX2BIN(_xlpm.v),IF(_xlpm.b="Oct",HEX2OCT(_xlpm.v),"?")))))</f>
        <v>1C</v>
      </c>
      <c r="BA5" s="41"/>
      <c r="BB5" s="33" t="s">
        <v>7</v>
      </c>
      <c r="BC5" s="35" cm="1">
        <f t="array" ref="BC5">_xlfn.LET(_xlpm.v,800000,_xlpm.b,BB2,IF(_xlpm.b="Dec",HEX2DEC(_xlpm.v),IF(_xlpm.b="Hex",_xlpm.v,IF(_xlpm.b="Bin",HEX2BIN(_xlpm.v),IF(_xlpm.b="Oct",HEX2OCT(_xlpm.v),"?")))))</f>
        <v>8388608</v>
      </c>
      <c r="BD5" s="35" cm="1">
        <f t="array" ref="BD5">_xlfn.LET(_xlpm.v,2000000,_xlpm.b,BB2,IF(_xlpm.b="Dec",HEX2DEC(_xlpm.v),IF(_xlpm.b="Hex",_xlpm.v,IF(_xlpm.b="Bin",HEX2BIN(_xlpm.v),IF(_xlpm.b="Oct",HEX2OCT(_xlpm.v),"?")))))</f>
        <v>33554432</v>
      </c>
      <c r="BE5" s="35" cm="1">
        <f t="array" ref="BE5">_xlfn.LET(_xlpm.v,"7D",_xlpm.b,BB2,IF(_xlpm.b="Dec",HEX2DEC(_xlpm.v),IF(_xlpm.b="Hex",_xlpm.v,IF(_xlpm.b="Bin",HEX2BIN(_xlpm.v),IF(_xlpm.b="Oct",HEX2OCT(_xlpm.v),"?")))))</f>
        <v>125</v>
      </c>
      <c r="BF5" s="35" cm="1">
        <f t="array" ref="BF5">_xlfn.LET(_xlpm.v,"7D",_xlpm.b,BB2,IF(_xlpm.b="Dec",HEX2DEC(_xlpm.v),IF(_xlpm.b="Hex",_xlpm.v,IF(_xlpm.b="Bin",HEX2BIN(_xlpm.v),IF(_xlpm.b="Oct",HEX2OCT(_xlpm.v),"?")))))</f>
        <v>125</v>
      </c>
      <c r="BG5" s="35" cm="1">
        <f t="array" ref="BG5">_xlfn.LET(_xlpm.v,19,_xlpm.b,BB2,IF(_xlpm.b="Dec",HEX2DEC(_xlpm.v),IF(_xlpm.b="Hex",_xlpm.v,IF(_xlpm.b="Bin",HEX2BIN(_xlpm.v),IF(_xlpm.b="Oct",HEX2OCT(_xlpm.v),"?")))))</f>
        <v>25</v>
      </c>
      <c r="BH5" s="35" cm="1">
        <f t="array" ref="BH5">_xlfn.LET(_xlpm.v,"19",_xlpm.b,BB2,IF(_xlpm.b="Dec",HEX2DEC(_xlpm.v),IF(_xlpm.b="Hex",_xlpm.v,IF(_xlpm.b="Bin",HEX2BIN(_xlpm.v),IF(_xlpm.b="Oct",HEX2OCT(_xlpm.v),"?")))))</f>
        <v>25</v>
      </c>
      <c r="BI5" s="35" cm="1">
        <f t="array" ref="BI5">_xlfn.LET(_xlpm.v,"1A3DE69",_xlpm.b,BB2,IF(_xlpm.b="Dec",HEX2DEC(_xlpm.v),IF(_xlpm.b="Hex",_xlpm.v,IF(_xlpm.b="Bin",HEX2BIN(_xlpm.v),IF(_xlpm.b="Oct",HEX2OCT(_xlpm.v),"?")))))</f>
        <v>27516521</v>
      </c>
      <c r="BJ5" s="35" cm="1">
        <f t="array" ref="BJ5">_xlfn.LET(_xlpm.v,"11F10B6",_xlpm.b,BB2,IF(_xlpm.b="Dec",HEX2DEC(_xlpm.v),IF(_xlpm.b="Hex",_xlpm.v,IF(_xlpm.b="Bin",HEX2BIN(_xlpm.v),IF(_xlpm.b="Oct",HEX2OCT(_xlpm.v),"?")))))</f>
        <v>18813110</v>
      </c>
      <c r="BK5" s="35" cm="1">
        <f t="array" ref="BK5">_xlfn.LET(_xlpm.v,"C518D5",_xlpm.b,BB2,IF(_xlpm.b="Dec",HEX2DEC(_xlpm.v),IF(_xlpm.b="Hex",_xlpm.v,IF(_xlpm.b="Bin",HEX2BIN(_xlpm.v),IF(_xlpm.b="Oct",HEX2OCT(_xlpm.v),"?")))))</f>
        <v>12916949</v>
      </c>
      <c r="BL5" s="35" cm="1">
        <f t="array" ref="BL5">_xlfn.LET(_xlpm.v,"F901A3",_xlpm.b,BB2,IF(_xlpm.b="Dec",HEX2DEC(_xlpm.v),IF(_xlpm.b="Hex",_xlpm.v,IF(_xlpm.b="Bin",HEX2BIN(_xlpm.v),IF(_xlpm.b="Oct",HEX2OCT(_xlpm.v),"?")))))</f>
        <v>16318883</v>
      </c>
      <c r="BM5" s="35" cm="1">
        <f t="array" ref="BM5">_xlfn.LET(_xlpm.v,"123FE4D8",_xlpm.b,BB2,IF(_xlpm.b="Dec",HEX2DEC(_xlpm.v),IF(_xlpm.b="Hex",_xlpm.v,IF(_xlpm.b="Bin",HEX2BIN(_xlpm.v),IF(_xlpm.b="Oct",HEX2OCT(_xlpm.v),"?")))))</f>
        <v>306177240</v>
      </c>
      <c r="BN5" s="37" cm="1">
        <f t="array" ref="BN5">_xlfn.LET(_xlpm.v,"A",_xlpm.b,BB2,IF(_xlpm.b="Dec",HEX2DEC(_xlpm.v),IF(_xlpm.b="Hex",_xlpm.v,IF(_xlpm.b="Bin",HEX2BIN(_xlpm.v),IF(_xlpm.b="Oct",HEX2OCT(_xlpm.v),"?")))))</f>
        <v>10</v>
      </c>
      <c r="BO5" s="46"/>
      <c r="BP5" s="46"/>
      <c r="BQ5" s="46"/>
    </row>
    <row r="6" spans="2:69">
      <c r="B6" s="49"/>
      <c r="C6" s="50"/>
      <c r="D6" s="16" t="s">
        <v>61</v>
      </c>
      <c r="E6" s="21">
        <v>23180</v>
      </c>
      <c r="F6" s="20">
        <v>610</v>
      </c>
      <c r="G6" s="20">
        <v>0</v>
      </c>
      <c r="H6" s="20">
        <v>300</v>
      </c>
      <c r="I6" s="20">
        <v>8216</v>
      </c>
      <c r="K6" s="1" t="s">
        <v>60</v>
      </c>
      <c r="L6" s="1" t="s">
        <v>55</v>
      </c>
      <c r="M6" s="1" t="s">
        <v>62</v>
      </c>
      <c r="N6" s="1">
        <v>16</v>
      </c>
      <c r="O6" s="1" t="s">
        <v>62</v>
      </c>
      <c r="P6" s="1" t="s">
        <v>63</v>
      </c>
      <c r="Q6" s="1" t="s">
        <v>64</v>
      </c>
      <c r="R6" s="1" t="s">
        <v>56</v>
      </c>
      <c r="S6" s="1">
        <f>T6-N6</f>
        <v>48</v>
      </c>
      <c r="T6" s="1">
        <v>64</v>
      </c>
      <c r="W6" s="1" t="s">
        <v>65</v>
      </c>
      <c r="X6" s="30">
        <v>470994406</v>
      </c>
      <c r="Y6" s="30">
        <v>694339163</v>
      </c>
      <c r="Z6" s="30">
        <v>534629122</v>
      </c>
      <c r="AA6" s="30">
        <v>123891439</v>
      </c>
      <c r="AB6" s="30">
        <v>84076059</v>
      </c>
      <c r="AC6" s="1">
        <v>0</v>
      </c>
      <c r="AD6" s="30">
        <v>0</v>
      </c>
      <c r="AE6" s="30">
        <v>1357023856</v>
      </c>
      <c r="AF6" s="30">
        <v>0</v>
      </c>
      <c r="AI6" t="str">
        <f>DEC2HEX(X6/AI3)</f>
        <v>9</v>
      </c>
      <c r="AL6" s="44" t="s">
        <v>66</v>
      </c>
      <c r="AM6" s="33" t="s">
        <v>6</v>
      </c>
      <c r="AN6" s="35" t="str" cm="1">
        <f t="array" ref="AN6">_xlfn.LET(_xlpm.v,"0",_xlpm.b,AM2,IF(_xlpm.b="Dec",HEX2DEC(_xlpm.v),IF(_xlpm.b="Hex",_xlpm.v,IF(_xlpm.b="Bin",HEX2BIN(_xlpm.v),IF(_xlpm.b="Oct",HEX2OCT(_xlpm.v),"?")))))</f>
        <v>0</v>
      </c>
      <c r="AO6" s="35" cm="1">
        <f t="array" ref="AO6">_xlfn.LET(_xlpm.v,10000000,_xlpm.b,AM2,IF(_xlpm.b="Dec",HEX2DEC(_xlpm.v),IF(_xlpm.b="Hex",_xlpm.v,IF(_xlpm.b="Bin",HEX2BIN(_xlpm.v),IF(_xlpm.b="Oct",HEX2OCT(_xlpm.v),"?")))))</f>
        <v>10000000</v>
      </c>
      <c r="AP6" s="35" t="str" cm="1">
        <f t="array" ref="AP6">_xlfn.LET(_xlpm.v,"1",_xlpm.b,AM2,IF(_xlpm.b="Dec",HEX2DEC(_xlpm.v),IF(_xlpm.b="Hex",_xlpm.v,IF(_xlpm.b="Bin",HEX2BIN(_xlpm.v),IF(_xlpm.b="Oct",HEX2OCT(_xlpm.v),"?")))))</f>
        <v>1</v>
      </c>
      <c r="AQ6" s="35" cm="1">
        <f t="array" ref="AQ6">_xlfn.LET(_xlpm.v,1,_xlpm.b,AM2,IF(_xlpm.b="Dec",HEX2DEC(_xlpm.v),IF(_xlpm.b="Hex",_xlpm.v,IF(_xlpm.b="Bin",HEX2BIN(_xlpm.v),IF(_xlpm.b="Oct",HEX2OCT(_xlpm.v),"?")))))</f>
        <v>1</v>
      </c>
      <c r="AR6" s="35" cm="1">
        <f t="array" ref="AR6">_xlfn.LET(_xlpm.v,1,_xlpm.b,AM2,IF(_xlpm.b="Dec",HEX2DEC(_xlpm.v),IF(_xlpm.b="Hex",_xlpm.v,IF(_xlpm.b="Bin",HEX2BIN(_xlpm.v),IF(_xlpm.b="Oct",HEX2OCT(_xlpm.v),"?")))))</f>
        <v>1</v>
      </c>
      <c r="AS6" s="35" cm="1">
        <f t="array" ref="AS6">_xlfn.LET(_xlpm.v,1,_xlpm.b,AM2,IF(_xlpm.b="Dec",HEX2DEC(_xlpm.v),IF(_xlpm.b="Hex",_xlpm.v,IF(_xlpm.b="Bin",HEX2BIN(_xlpm.v),IF(_xlpm.b="Oct",HEX2OCT(_xlpm.v),"?")))))</f>
        <v>1</v>
      </c>
      <c r="AT6" s="35" t="str" cm="1">
        <f t="array" ref="AT6">_xlfn.LET(_xlpm.v,"8E51666",_xlpm.b,AM2,IF(_xlpm.b="Dec",HEX2DEC(_xlpm.v),IF(_xlpm.b="Hex",_xlpm.v,IF(_xlpm.b="Bin",HEX2BIN(_xlpm.v),IF(_xlpm.b="Oct",HEX2OCT(_xlpm.v),"?")))))</f>
        <v>8E51666</v>
      </c>
      <c r="AU6" s="35" t="str" cm="1">
        <f t="array" ref="AU6">_xlfn.LET(_xlpm.v,"0",_xlpm.b,AM2,IF(_xlpm.b="Dec",HEX2DEC(_xlpm.v),IF(_xlpm.b="Hex",_xlpm.v,IF(_xlpm.b="Bin",HEX2BIN(_xlpm.v),IF(_xlpm.b="Oct",HEX2OCT(_xlpm.v),"?")))))</f>
        <v>0</v>
      </c>
      <c r="AV6" s="35" t="str" cm="1">
        <f t="array" ref="AV6">_xlfn.LET(_xlpm.v,"35139A8F",_xlpm.b,AM2,IF(_xlpm.b="Dec",HEX2DEC(_xlpm.v),IF(_xlpm.b="Hex",_xlpm.v,IF(_xlpm.b="Bin",HEX2BIN(_xlpm.v),IF(_xlpm.b="Oct",HEX2OCT(_xlpm.v),"?")))))</f>
        <v>35139A8F</v>
      </c>
      <c r="AW6" s="35" cm="1">
        <f t="array" ref="AW6">_xlfn.LET(_xlpm.v,0,_xlpm.b,AM2,IF(_xlpm.b="Dec",HEX2DEC(_xlpm.v),IF(_xlpm.b="Hex",_xlpm.v,IF(_xlpm.b="Bin",HEX2BIN(_xlpm.v),IF(_xlpm.b="Oct",HEX2OCT(_xlpm.v),"?")))))</f>
        <v>0</v>
      </c>
      <c r="AX6" s="35" t="str" cm="1">
        <f t="array" ref="AX6">_xlfn.LET(_xlpm.v,"2F560B24",_xlpm.b,AM2,IF(_xlpm.b="Dec",HEX2DEC(_xlpm.v),IF(_xlpm.b="Hex",_xlpm.v,IF(_xlpm.b="Bin",HEX2BIN(_xlpm.v),IF(_xlpm.b="Oct",HEX2OCT(_xlpm.v),"?")))))</f>
        <v>2F560B24</v>
      </c>
      <c r="AY6" s="35" cm="1">
        <f t="array" ref="AY6">_xlfn.LET(_xlpm.v,14,_xlpm.b,AM2,IF(_xlpm.b="Dec",HEX2DEC(_xlpm.v),IF(_xlpm.b="Hex",_xlpm.v,IF(_xlpm.b="Bin",HEX2BIN(_xlpm.v),IF(_xlpm.b="Oct",HEX2OCT(_xlpm.v),"?")))))</f>
        <v>14</v>
      </c>
      <c r="BA6" s="44" t="s">
        <v>67</v>
      </c>
      <c r="BB6" s="36" t="s">
        <v>6</v>
      </c>
      <c r="BC6" s="35" cm="1">
        <f t="array" ref="BC6">_xlfn.LET(_xlpm.v,"0",_xlpm.b,BB2,IF(_xlpm.b="Dec",HEX2DEC(_xlpm.v),IF(_xlpm.b="Hex",_xlpm.v,IF(_xlpm.b="Bin",HEX2BIN(_xlpm.v),IF(_xlpm.b="Oct",HEX2OCT(_xlpm.v),"?")))))</f>
        <v>0</v>
      </c>
      <c r="BD6" s="35" cm="1">
        <f t="array" ref="BD6">_xlfn.LET(_xlpm.v,8000000,_xlpm.b,BB2,IF(_xlpm.b="Dec",HEX2DEC(_xlpm.v),IF(_xlpm.b="Hex",_xlpm.v,IF(_xlpm.b="Bin",HEX2BIN(_xlpm.v),IF(_xlpm.b="Oct",HEX2OCT(_xlpm.v),"?")))))</f>
        <v>134217728</v>
      </c>
      <c r="BE6" s="35" cm="1">
        <f t="array" ref="BE6">_xlfn.LET(_xlpm.v,"1",_xlpm.b,BB2,IF(_xlpm.b="Dec",HEX2DEC(_xlpm.v),IF(_xlpm.b="Hex",_xlpm.v,IF(_xlpm.b="Bin",HEX2BIN(_xlpm.v),IF(_xlpm.b="Oct",HEX2OCT(_xlpm.v),"?")))))</f>
        <v>1</v>
      </c>
      <c r="BF6" s="35" cm="1">
        <f t="array" ref="BF6">_xlfn.LET(_xlpm.v,1,_xlpm.b,BB2,IF(_xlpm.b="Dec",HEX2DEC(_xlpm.v),IF(_xlpm.b="Hex",_xlpm.v,IF(_xlpm.b="Bin",HEX2BIN(_xlpm.v),IF(_xlpm.b="Oct",HEX2OCT(_xlpm.v),"?")))))</f>
        <v>1</v>
      </c>
      <c r="BG6" s="35" cm="1">
        <f t="array" ref="BG6">_xlfn.LET(_xlpm.v,1,_xlpm.b,BB2,IF(_xlpm.b="Dec",HEX2DEC(_xlpm.v),IF(_xlpm.b="Hex",_xlpm.v,IF(_xlpm.b="Bin",HEX2BIN(_xlpm.v),IF(_xlpm.b="Oct",HEX2OCT(_xlpm.v),"?")))))</f>
        <v>1</v>
      </c>
      <c r="BH6" s="35" cm="1">
        <f t="array" ref="BH6">_xlfn.LET(_xlpm.v,1,_xlpm.b,BB2,IF(_xlpm.b="Dec",HEX2DEC(_xlpm.v),IF(_xlpm.b="Hex",_xlpm.v,IF(_xlpm.b="Bin",HEX2BIN(_xlpm.v),IF(_xlpm.b="Oct",HEX2OCT(_xlpm.v),"?")))))</f>
        <v>1</v>
      </c>
      <c r="BI6" s="35" cm="1">
        <f t="array" ref="BI6">_xlfn.LET(_xlpm.v,"49F7FBA",_xlpm.b,BB2,IF(_xlpm.b="Dec",HEX2DEC(_xlpm.v),IF(_xlpm.b="Hex",_xlpm.v,IF(_xlpm.b="Bin",HEX2BIN(_xlpm.v),IF(_xlpm.b="Oct",HEX2OCT(_xlpm.v),"?")))))</f>
        <v>77561786</v>
      </c>
      <c r="BJ6" s="35" cm="1">
        <f t="array" ref="BJ6">_xlfn.LET(_xlpm.v,"0",_xlpm.b,BB2,IF(_xlpm.b="Dec",HEX2DEC(_xlpm.v),IF(_xlpm.b="Hex",_xlpm.v,IF(_xlpm.b="Bin",HEX2BIN(_xlpm.v),IF(_xlpm.b="Oct",HEX2OCT(_xlpm.v),"?")))))</f>
        <v>0</v>
      </c>
      <c r="BK6" s="35" cm="1">
        <f t="array" ref="BK6">_xlfn.LET(_xlpm.v,"1E1FB056",_xlpm.b,BB2,IF(_xlpm.b="Dec",HEX2DEC(_xlpm.v),IF(_xlpm.b="Hex",_xlpm.v,IF(_xlpm.b="Bin",HEX2BIN(_xlpm.v),IF(_xlpm.b="Oct",HEX2OCT(_xlpm.v),"?")))))</f>
        <v>505393238</v>
      </c>
      <c r="BL6" s="35" cm="1">
        <f t="array" ref="BL6">_xlfn.LET(_xlpm.v,0,_xlpm.b,BB2,IF(_xlpm.b="Dec",HEX2DEC(_xlpm.v),IF(_xlpm.b="Hex",_xlpm.v,IF(_xlpm.b="Bin",HEX2BIN(_xlpm.v),IF(_xlpm.b="Oct",HEX2OCT(_xlpm.v),"?")))))</f>
        <v>0</v>
      </c>
      <c r="BM6" s="35" cm="1">
        <f t="array" ref="BM6">_xlfn.LET(_xlpm.v,"2749340",_xlpm.b,BB2,IF(_xlpm.b="Dec",HEX2DEC(_xlpm.v),IF(_xlpm.b="Hex",_xlpm.v,IF(_xlpm.b="Bin",HEX2BIN(_xlpm.v),IF(_xlpm.b="Oct",HEX2OCT(_xlpm.v),"?")))))</f>
        <v>41194304</v>
      </c>
      <c r="BN6" s="40" cm="1">
        <f t="array" ref="BN6">_xlfn.LET(_xlpm.v,"B",_xlpm.b,BB2,IF(_xlpm.b="Dec",HEX2DEC(_xlpm.v),IF(_xlpm.b="Hex",_xlpm.v,IF(_xlpm.b="Bin",HEX2BIN(_xlpm.v),IF(_xlpm.b="Oct",HEX2OCT(_xlpm.v),"?")))))</f>
        <v>11</v>
      </c>
      <c r="BO6" s="57" cm="1">
        <f t="array" ref="BO6">_xlfn.LET(_xlpm.v,"E29F5A",_xlpm.b,BB2,IF(_xlpm.b="Dec",HEX2DEC(_xlpm.v),IF(_xlpm.b="Hex",_xlpm.v,IF(_xlpm.b="Bin",HEX2BIN(_xlpm.v),IF(_xlpm.b="Oct",HEX2OCT(_xlpm.v),"?")))))</f>
        <v>14851930</v>
      </c>
      <c r="BP6" s="57" cm="1">
        <f t="array" ref="BP6">_xlfn.LET(_xlpm.v,"2C431F98",_xlpm.b,BB2,IF(_xlpm.b="Dec",HEX2DEC(_xlpm.v),IF(_xlpm.b="Hex",_xlpm.v,IF(_xlpm.b="Bin",HEX2BIN(_xlpm.v),IF(_xlpm.b="Oct",HEX2OCT(_xlpm.v),"?")))))</f>
        <v>742596504</v>
      </c>
      <c r="BQ6" s="57" cm="1">
        <f t="array" ref="BQ6">_xlfn.LET(_xlpm.v,"5CD",_xlpm.b,BB2,IF(_xlpm.b="Dec",HEX2DEC(_xlpm.v),IF(_xlpm.b="Hex",_xlpm.v,IF(_xlpm.b="Bin",HEX2BIN(_xlpm.v),IF(_xlpm.b="Oct",HEX2OCT(_xlpm.v),"?")))))</f>
        <v>1485</v>
      </c>
    </row>
    <row r="7" spans="2:69">
      <c r="B7" s="49"/>
      <c r="C7" s="50"/>
      <c r="D7" s="20" t="s">
        <v>68</v>
      </c>
      <c r="E7" s="21">
        <f>SUM(E5:E6)</f>
        <v>30428</v>
      </c>
      <c r="F7" s="20">
        <f t="shared" ref="F7:H7" si="0">SUM(F5:F6)</f>
        <v>670</v>
      </c>
      <c r="G7" s="20">
        <f t="shared" si="0"/>
        <v>108</v>
      </c>
      <c r="H7" s="20">
        <f t="shared" si="0"/>
        <v>22197456</v>
      </c>
      <c r="I7" s="20">
        <f>SUM(I5:I6)</f>
        <v>32232</v>
      </c>
      <c r="K7" s="1" t="s">
        <v>69</v>
      </c>
      <c r="L7" s="1" t="s">
        <v>55</v>
      </c>
      <c r="M7" s="1" t="s">
        <v>62</v>
      </c>
      <c r="N7" s="1">
        <v>16</v>
      </c>
      <c r="O7" s="1" t="s">
        <v>62</v>
      </c>
      <c r="P7" s="1" t="s">
        <v>63</v>
      </c>
      <c r="Q7" s="1" t="s">
        <v>64</v>
      </c>
      <c r="R7" s="1" t="s">
        <v>56</v>
      </c>
      <c r="S7" s="1">
        <f t="shared" ref="S7:S11" si="1">T7-N7</f>
        <v>48</v>
      </c>
      <c r="T7" s="1">
        <v>64</v>
      </c>
      <c r="W7" s="1" t="s">
        <v>70</v>
      </c>
      <c r="X7" s="30">
        <v>377499895</v>
      </c>
      <c r="Y7" s="30">
        <v>555538749</v>
      </c>
      <c r="Z7" s="30">
        <v>434852992</v>
      </c>
      <c r="AA7" s="30">
        <v>95472978</v>
      </c>
      <c r="AB7" s="30">
        <v>61677728</v>
      </c>
      <c r="AC7" s="1">
        <v>0</v>
      </c>
      <c r="AD7" s="1">
        <v>0</v>
      </c>
      <c r="AE7" s="30">
        <v>592003698</v>
      </c>
      <c r="AF7" s="1">
        <v>0</v>
      </c>
      <c r="AL7" s="44"/>
      <c r="AM7" s="33" t="s">
        <v>7</v>
      </c>
      <c r="AN7" s="35" cm="1">
        <f t="array" ref="AN7">_xlfn.LET(_xlpm.v,1000000,_xlpm.b,AM2,IF(_xlpm.b="Dec",HEX2DEC(_xlpm.v),IF(_xlpm.b="Hex",_xlpm.v,IF(_xlpm.b="Bin",HEX2BIN(_xlpm.v),IF(_xlpm.b="Oct",HEX2OCT(_xlpm.v),"?")))))</f>
        <v>1000000</v>
      </c>
      <c r="AO7" s="35" cm="1">
        <f t="array" ref="AO7">_xlfn.LET(_xlpm.v,40000000,_xlpm.b,AM2,IF(_xlpm.b="Dec",HEX2DEC(_xlpm.v),IF(_xlpm.b="Hex",_xlpm.v,IF(_xlpm.b="Bin",HEX2BIN(_xlpm.v),IF(_xlpm.b="Oct",HEX2OCT(_xlpm.v),"?")))))</f>
        <v>40000000</v>
      </c>
      <c r="AP7" s="35" t="str" cm="1">
        <f t="array" ref="AP7">_xlfn.LET(_xlpm.v,"FA",_xlpm.b,AM2,IF(_xlpm.b="Dec",HEX2DEC(_xlpm.v),IF(_xlpm.b="Hex",_xlpm.v,IF(_xlpm.b="Bin",HEX2BIN(_xlpm.v),IF(_xlpm.b="Oct",HEX2OCT(_xlpm.v),"?")))))</f>
        <v>FA</v>
      </c>
      <c r="AQ7" s="35" t="str" cm="1">
        <f t="array" ref="AQ7">_xlfn.LET(_xlpm.v,"FA",_xlpm.b,AM2,IF(_xlpm.b="Dec",HEX2DEC(_xlpm.v),IF(_xlpm.b="Hex",_xlpm.v,IF(_xlpm.b="Bin",HEX2BIN(_xlpm.v),IF(_xlpm.b="Oct",HEX2OCT(_xlpm.v),"?")))))</f>
        <v>FA</v>
      </c>
      <c r="AR7" s="35" cm="1">
        <f t="array" ref="AR7">_xlfn.LET(_xlpm.v,32,_xlpm.b,AM2,IF(_xlpm.b="Dec",HEX2DEC(_xlpm.v),IF(_xlpm.b="Hex",_xlpm.v,IF(_xlpm.b="Bin",HEX2BIN(_xlpm.v),IF(_xlpm.b="Oct",HEX2OCT(_xlpm.v),"?")))))</f>
        <v>32</v>
      </c>
      <c r="AS7" s="35" cm="1">
        <f t="array" ref="AS7">_xlfn.LET(_xlpm.v,32,_xlpm.b,AM2,IF(_xlpm.b="Dec",HEX2DEC(_xlpm.v),IF(_xlpm.b="Hex",_xlpm.v,IF(_xlpm.b="Bin",HEX2BIN(_xlpm.v),IF(_xlpm.b="Oct",HEX2OCT(_xlpm.v),"?")))))</f>
        <v>32</v>
      </c>
      <c r="AT7" s="35" t="str" cm="1">
        <f t="array" ref="AT7">_xlfn.LET(_xlpm.v,"2F8F968",_xlpm.b,AM2,IF(_xlpm.b="Dec",HEX2DEC(_xlpm.v),IF(_xlpm.b="Hex",_xlpm.v,IF(_xlpm.b="Bin",HEX2BIN(_xlpm.v),IF(_xlpm.b="Oct",HEX2OCT(_xlpm.v),"?")))))</f>
        <v>2F8F968</v>
      </c>
      <c r="AU7" s="35" t="str" cm="1">
        <f t="array" ref="AU7">_xlfn.LET(_xlpm.v,"29E148E",_xlpm.b,AM2,IF(_xlpm.b="Dec",HEX2DEC(_xlpm.v),IF(_xlpm.b="Hex",_xlpm.v,IF(_xlpm.b="Bin",HEX2BIN(_xlpm.v),IF(_xlpm.b="Oct",HEX2OCT(_xlpm.v),"?")))))</f>
        <v>29E148E</v>
      </c>
      <c r="AV7" s="35" t="str" cm="1">
        <f t="array" ref="AV7">_xlfn.LET(_xlpm.v,"23686EF",_xlpm.b,AM2,IF(_xlpm.b="Dec",HEX2DEC(_xlpm.v),IF(_xlpm.b="Hex",_xlpm.v,IF(_xlpm.b="Bin",HEX2BIN(_xlpm.v),IF(_xlpm.b="Oct",HEX2OCT(_xlpm.v),"?")))))</f>
        <v>23686EF</v>
      </c>
      <c r="AW7" s="35" t="str" cm="1">
        <f t="array" ref="AW7">_xlfn.LET(_xlpm.v,"2BCAD34",_xlpm.b,AM2,IF(_xlpm.b="Dec",HEX2DEC(_xlpm.v),IF(_xlpm.b="Hex",_xlpm.v,IF(_xlpm.b="Bin",HEX2BIN(_xlpm.v),IF(_xlpm.b="Oct",HEX2OCT(_xlpm.v),"?")))))</f>
        <v>2BCAD34</v>
      </c>
      <c r="AX7" s="35" t="str" cm="1">
        <f t="array" ref="AX7">_xlfn.LET(_xlpm.v,"15E1840C",_xlpm.b,AM2,IF(_xlpm.b="Dec",HEX2DEC(_xlpm.v),IF(_xlpm.b="Hex",_xlpm.v,IF(_xlpm.b="Bin",HEX2BIN(_xlpm.v),IF(_xlpm.b="Oct",HEX2OCT(_xlpm.v),"?")))))</f>
        <v>15E1840C</v>
      </c>
      <c r="AY7" s="35" t="str" cm="1">
        <f t="array" ref="AY7">_xlfn.LET(_xlpm.v,"1D",_xlpm.b,AM2,IF(_xlpm.b="Dec",HEX2DEC(_xlpm.v),IF(_xlpm.b="Hex",_xlpm.v,IF(_xlpm.b="Bin",HEX2BIN(_xlpm.v),IF(_xlpm.b="Oct",HEX2OCT(_xlpm.v),"?")))))</f>
        <v>1D</v>
      </c>
      <c r="BA7" s="44"/>
      <c r="BB7" s="36" t="s">
        <v>71</v>
      </c>
      <c r="BC7" s="35" cm="1">
        <f t="array" ref="BC7">_xlfn.LET(_xlpm.v,800000,_xlpm.b,BB2,IF(_xlpm.b="Dec",HEX2DEC(_xlpm.v),IF(_xlpm.b="Hex",_xlpm.v,IF(_xlpm.b="Bin",HEX2BIN(_xlpm.v),IF(_xlpm.b="Oct",HEX2OCT(_xlpm.v),"?")))))</f>
        <v>8388608</v>
      </c>
      <c r="BD7" s="35">
        <v>1400000</v>
      </c>
      <c r="BE7" s="35" cm="1">
        <f t="array" ref="BE7">_xlfn.LET(_xlpm.v,DEC2HEX(1),_xlpm.b,BB2,IF(_xlpm.b="Dec",HEX2DEC(_xlpm.v),IF(_xlpm.b="Hex",_xlpm.v,IF(_xlpm.b="Bin",HEX2BIN(_xlpm.v),IF(_xlpm.b="Oct",HEX2OCT(_xlpm.v),"?")))))</f>
        <v>1</v>
      </c>
      <c r="BF7" s="35" cm="1">
        <f t="array" ref="BF7">_xlfn.LET(_xlpm.v,DEC2HEX(1),_xlpm.b,BB2,IF(_xlpm.b="Dec",HEX2DEC(_xlpm.v),IF(_xlpm.b="Hex",_xlpm.v,IF(_xlpm.b="Bin",HEX2BIN(_xlpm.v),IF(_xlpm.b="Oct",HEX2OCT(_xlpm.v),"?")))))</f>
        <v>1</v>
      </c>
      <c r="BG7" s="35" cm="1">
        <f t="array" ref="BG7">_xlfn.LET(_xlpm.v,DEC2HEX(1),_xlpm.b,BB2,IF(_xlpm.b="Dec",HEX2DEC(_xlpm.v),IF(_xlpm.b="Hex",_xlpm.v,IF(_xlpm.b="Bin",HEX2BIN(_xlpm.v),IF(_xlpm.b="Oct",HEX2OCT(_xlpm.v),"?")))))</f>
        <v>1</v>
      </c>
      <c r="BH7" s="35" cm="1">
        <f t="array" ref="BH7">_xlfn.LET(_xlpm.v,DEC2HEX(1),_xlpm.b,BB2,IF(_xlpm.b="Dec",HEX2DEC(_xlpm.v),IF(_xlpm.b="Hex",_xlpm.v,IF(_xlpm.b="Bin",HEX2BIN(_xlpm.v),IF(_xlpm.b="Oct",HEX2OCT(_xlpm.v),"?")))))</f>
        <v>1</v>
      </c>
      <c r="BI7" s="35" cm="1">
        <f t="array" ref="BI7">_xlfn.LET(_xlpm.v,"1A3DE5D",_xlpm.b,BB2,IF(_xlpm.b="Dec",HEX2DEC(_xlpm.v),IF(_xlpm.b="Hex",_xlpm.v,IF(_xlpm.b="Bin",HEX2BIN(_xlpm.v),IF(_xlpm.b="Oct",HEX2OCT(_xlpm.v),"?")))))</f>
        <v>27516509</v>
      </c>
      <c r="BJ7" s="35" cm="1">
        <f t="array" ref="BJ7">_xlfn.LET(_xlpm.v,"11F10AD",_xlpm.b,BB2,IF(_xlpm.b="Dec",HEX2DEC(_xlpm.v),IF(_xlpm.b="Hex",_xlpm.v,IF(_xlpm.b="Bin",HEX2BIN(_xlpm.v),IF(_xlpm.b="Oct",HEX2OCT(_xlpm.v),"?")))))</f>
        <v>18813101</v>
      </c>
      <c r="BK7" s="35" cm="1">
        <f t="array" ref="BK7">_xlfn.LET(_xlpm.v,"C518D5",_xlpm.b,BB2,IF(_xlpm.b="Dec",HEX2DEC(_xlpm.v),IF(_xlpm.b="Hex",_xlpm.v,IF(_xlpm.b="Bin",HEX2BIN(_xlpm.v),IF(_xlpm.b="Oct",HEX2OCT(_xlpm.v),"?")))))</f>
        <v>12916949</v>
      </c>
      <c r="BL7" s="35" cm="1">
        <f t="array" ref="BL7">_xlfn.LET(_xlpm.v,"F9019E",_xlpm.b,BB2,IF(_xlpm.b="Dec",HEX2DEC(_xlpm.v),IF(_xlpm.b="Hex",_xlpm.v,IF(_xlpm.b="Bin",HEX2BIN(_xlpm.v),IF(_xlpm.b="Oct",HEX2OCT(_xlpm.v),"?")))))</f>
        <v>16318878</v>
      </c>
      <c r="BM7" s="35" cm="1">
        <f t="array" ref="BM7">_xlfn.LET(_xlpm.v,"1E79F360",_xlpm.b,BB2,IF(_xlpm.b="Dec",HEX2DEC(_xlpm.v),IF(_xlpm.b="Hex",_xlpm.v,IF(_xlpm.b="Bin",HEX2BIN(_xlpm.v),IF(_xlpm.b="Oct",HEX2OCT(_xlpm.v),"?")))))</f>
        <v>511308640</v>
      </c>
      <c r="BN7" s="37" cm="1">
        <f t="array" ref="BN7">_xlfn.LET(_xlpm.v,"1",_xlpm.b,BB2,IF(_xlpm.b="Dec",HEX2DEC(_xlpm.v),IF(_xlpm.b="Hex",_xlpm.v,IF(_xlpm.b="Bin",HEX2BIN(_xlpm.v),IF(_xlpm.b="Oct",HEX2OCT(_xlpm.v),"?")))))</f>
        <v>1</v>
      </c>
      <c r="BO7" s="57"/>
      <c r="BP7" s="57"/>
      <c r="BQ7" s="57"/>
    </row>
    <row r="8" spans="2:69">
      <c r="B8" s="49"/>
      <c r="C8" s="50"/>
      <c r="D8" s="6" t="s">
        <v>72</v>
      </c>
      <c r="E8" s="17">
        <f>SUM(E7,F7)</f>
        <v>31098</v>
      </c>
      <c r="F8" s="6">
        <f>E8/1024</f>
        <v>30.369140625</v>
      </c>
      <c r="G8" s="6" t="s">
        <v>73</v>
      </c>
      <c r="H8" s="12"/>
      <c r="I8" s="12"/>
      <c r="K8" s="1" t="s">
        <v>74</v>
      </c>
      <c r="L8" s="1" t="s">
        <v>55</v>
      </c>
      <c r="M8" s="1" t="s">
        <v>62</v>
      </c>
      <c r="N8" s="1">
        <v>16</v>
      </c>
      <c r="O8" s="1" t="s">
        <v>62</v>
      </c>
      <c r="P8" s="1" t="s">
        <v>63</v>
      </c>
      <c r="Q8" s="1" t="s">
        <v>64</v>
      </c>
      <c r="R8" s="1" t="s">
        <v>56</v>
      </c>
      <c r="S8" s="1">
        <f t="shared" si="1"/>
        <v>48</v>
      </c>
      <c r="T8" s="1">
        <v>64</v>
      </c>
      <c r="AL8" s="44" t="s">
        <v>75</v>
      </c>
      <c r="AM8" s="33" t="s">
        <v>6</v>
      </c>
      <c r="AN8" s="35" cm="1">
        <f t="array" ref="AN8">_xlfn.LET(_xlpm.v,0,_xlpm.b,AM2,IF(_xlpm.b="Dec",HEX2DEC(_xlpm.v),IF(_xlpm.b="Hex",_xlpm.v,IF(_xlpm.b="Bin",HEX2BIN(_xlpm.v),IF(_xlpm.b="Oct",HEX2OCT(_xlpm.v),"?")))))</f>
        <v>0</v>
      </c>
      <c r="AO8" s="35" cm="1">
        <f t="array" ref="AO8">_xlfn.LET(_xlpm.v,1000000,_xlpm.b,AM2,IF(_xlpm.b="Dec",HEX2DEC(_xlpm.v),IF(_xlpm.b="Hex",_xlpm.v,IF(_xlpm.b="Bin",HEX2BIN(_xlpm.v),IF(_xlpm.b="Oct",HEX2OCT(_xlpm.v),"?")))))</f>
        <v>1000000</v>
      </c>
      <c r="AP8" s="35" cm="1">
        <f t="array" ref="AP8">_xlfn.LET(_xlpm.v,1,_xlpm.b,AM2,IF(_xlpm.b="Dec",HEX2DEC(_xlpm.v),IF(_xlpm.b="Hex",_xlpm.v,IF(_xlpm.b="Bin",HEX2BIN(_xlpm.v),IF(_xlpm.b="Oct",HEX2OCT(_xlpm.v),"?")))))</f>
        <v>1</v>
      </c>
      <c r="AQ8" s="35" cm="1">
        <f t="array" ref="AQ8">_xlfn.LET(_xlpm.v,1,_xlpm.b,AM2,IF(_xlpm.b="Dec",HEX2DEC(_xlpm.v),IF(_xlpm.b="Hex",_xlpm.v,IF(_xlpm.b="Bin",HEX2BIN(_xlpm.v),IF(_xlpm.b="Oct",HEX2OCT(_xlpm.v),"?")))))</f>
        <v>1</v>
      </c>
      <c r="AR8" s="35" cm="1">
        <f t="array" ref="AR8">_xlfn.LET(_xlpm.v,1,_xlpm.b,AM2,IF(_xlpm.b="Dec",HEX2DEC(_xlpm.v),IF(_xlpm.b="Hex",_xlpm.v,IF(_xlpm.b="Bin",HEX2BIN(_xlpm.v),IF(_xlpm.b="Oct",HEX2OCT(_xlpm.v),"?")))))</f>
        <v>1</v>
      </c>
      <c r="AS8" s="35" cm="1">
        <f t="array" ref="AS8">_xlfn.LET(_xlpm.v,1,_xlpm.b,AM2,IF(_xlpm.b="Dec",HEX2DEC(_xlpm.v),IF(_xlpm.b="Hex",_xlpm.v,IF(_xlpm.b="Bin",HEX2BIN(_xlpm.v),IF(_xlpm.b="Oct",HEX2OCT(_xlpm.v),"?")))))</f>
        <v>1</v>
      </c>
      <c r="AT8" s="35" t="str" cm="1">
        <f t="array" ref="AT8">_xlfn.LET(_xlpm.v,"627B729",_xlpm.b,AM2,IF(_xlpm.b="Dec",HEX2DEC(_xlpm.v),IF(_xlpm.b="Hex",_xlpm.v,IF(_xlpm.b="Bin",HEX2BIN(_xlpm.v),IF(_xlpm.b="Oct",HEX2OCT(_xlpm.v),"?")))))</f>
        <v>627B729</v>
      </c>
      <c r="AU8" s="35" cm="1">
        <f t="array" ref="AU8">_xlfn.LET(_xlpm.v,0,_xlpm.b,AM2,IF(_xlpm.b="Dec",HEX2DEC(_xlpm.v),IF(_xlpm.b="Hex",_xlpm.v,IF(_xlpm.b="Bin",HEX2BIN(_xlpm.v),IF(_xlpm.b="Oct",HEX2OCT(_xlpm.v),"?")))))</f>
        <v>0</v>
      </c>
      <c r="AV8" s="35" t="str" cm="1">
        <f t="array" ref="AV8">_xlfn.LET(_xlpm.v,"23D46568",_xlpm.b,AM2,IF(_xlpm.b="Dec",HEX2DEC(_xlpm.v),IF(_xlpm.b="Hex",_xlpm.v,IF(_xlpm.b="Bin",HEX2BIN(_xlpm.v),IF(_xlpm.b="Oct",HEX2OCT(_xlpm.v),"?")))))</f>
        <v>23D46568</v>
      </c>
      <c r="AW8" s="35" cm="1">
        <f t="array" ref="AW8">_xlfn.LET(_xlpm.v,0,_xlpm.b,AM2,IF(_xlpm.b="Dec",HEX2DEC(_xlpm.v),IF(_xlpm.b="Hex",_xlpm.v,IF(_xlpm.b="Bin",HEX2BIN(_xlpm.v),IF(_xlpm.b="Oct",HEX2OCT(_xlpm.v),"?")))))</f>
        <v>0</v>
      </c>
      <c r="AX8" s="35" t="str" cm="1">
        <f t="array" ref="AX8">_xlfn.LET(_xlpm.v,"53B2F54",_xlpm.b,AM2,IF(_xlpm.b="Dec",HEX2DEC(_xlpm.v),IF(_xlpm.b="Hex",_xlpm.v,IF(_xlpm.b="Bin",HEX2BIN(_xlpm.v),IF(_xlpm.b="Oct",HEX2OCT(_xlpm.v),"?")))))</f>
        <v>53B2F54</v>
      </c>
      <c r="AY8" s="35" t="str" cm="1">
        <f t="array" ref="AY8">_xlfn.LET(_xlpm.v,"E",_xlpm.b,AM2,IF(_xlpm.b="Dec",HEX2DEC(_xlpm.v),IF(_xlpm.b="Hex",_xlpm.v,IF(_xlpm.b="Bin",HEX2BIN(_xlpm.v),IF(_xlpm.b="Oct",HEX2OCT(_xlpm.v),"?")))))</f>
        <v>E</v>
      </c>
      <c r="BA8" s="41"/>
      <c r="BB8" s="36" t="s">
        <v>76</v>
      </c>
      <c r="BC8" s="35" cm="1">
        <f t="array" ref="BC8">_xlfn.LET(_xlpm.v,1400000,_xlpm.b,BB2,IF(_xlpm.b="Dec",HEX2DEC(_xlpm.v),IF(_xlpm.b="Hex",_xlpm.v,IF(_xlpm.b="Bin",HEX2BIN(_xlpm.v),IF(_xlpm.b="Oct",HEX2OCT(_xlpm.v),"?")))))</f>
        <v>20971520</v>
      </c>
      <c r="BD8" s="35" cm="1">
        <f t="array" ref="BD8">_xlfn.LET(_xlpm.v,2000000,_xlpm.b,BB2,IF(_xlpm.b="Dec",HEX2DEC(_xlpm.v),IF(_xlpm.b="Hex",_xlpm.v,IF(_xlpm.b="Bin",HEX2BIN(_xlpm.v),IF(_xlpm.b="Oct",HEX2OCT(_xlpm.v),"?")))))</f>
        <v>33554432</v>
      </c>
      <c r="BE8" s="35" cm="1">
        <f t="array" ref="BE8">_xlfn.LET(_xlpm.v,"7D",_xlpm.b,BB2,IF(_xlpm.b="Dec",HEX2DEC(_xlpm.v),IF(_xlpm.b="Hex",_xlpm.v,IF(_xlpm.b="Bin",HEX2BIN(_xlpm.v),IF(_xlpm.b="Oct",HEX2OCT(_xlpm.v),"?")))))</f>
        <v>125</v>
      </c>
      <c r="BF8" s="35" cm="1">
        <f t="array" ref="BF8">_xlfn.LET(_xlpm.v,"7D",_xlpm.b,BB2,IF(_xlpm.b="Dec",HEX2DEC(_xlpm.v),IF(_xlpm.b="Hex",_xlpm.v,IF(_xlpm.b="Bin",HEX2BIN(_xlpm.v),IF(_xlpm.b="Oct",HEX2OCT(_xlpm.v),"?")))))</f>
        <v>125</v>
      </c>
      <c r="BG8" s="35" cm="1">
        <f t="array" ref="BG8">_xlfn.LET(_xlpm.v,19,_xlpm.b,BB2,IF(_xlpm.b="Dec",HEX2DEC(_xlpm.v),IF(_xlpm.b="Hex",_xlpm.v,IF(_xlpm.b="Bin",HEX2BIN(_xlpm.v),IF(_xlpm.b="Oct",HEX2OCT(_xlpm.v),"?")))))</f>
        <v>25</v>
      </c>
      <c r="BH8" s="35" cm="1">
        <f t="array" ref="BH8">_xlfn.LET(_xlpm.v,19,_xlpm.b,BB2,IF(_xlpm.b="Dec",HEX2DEC(_xlpm.v),IF(_xlpm.b="Hex",_xlpm.v,IF(_xlpm.b="Bin",HEX2BIN(_xlpm.v),IF(_xlpm.b="Oct",HEX2OCT(_xlpm.v),"?")))))</f>
        <v>25</v>
      </c>
      <c r="BI8" s="35" cm="1">
        <f t="array" ref="BI8">_xlfn.LET(_xlpm.v,"0",_xlpm.b,BB2,IF(_xlpm.b="Dec",HEX2DEC(_xlpm.v),IF(_xlpm.b="Hex",_xlpm.v,IF(_xlpm.b="Bin",HEX2BIN(_xlpm.v),IF(_xlpm.b="Oct",HEX2OCT(_xlpm.v),"?")))))</f>
        <v>0</v>
      </c>
      <c r="BJ8" s="35" cm="1">
        <f t="array" ref="BJ8">_xlfn.LET(_xlpm.v,0,_xlpm.b,BB2,IF(_xlpm.b="Dec",HEX2DEC(_xlpm.v),IF(_xlpm.b="Hex",_xlpm.v,IF(_xlpm.b="Bin",HEX2BIN(_xlpm.v),IF(_xlpm.b="Oct",HEX2OCT(_xlpm.v),"?")))))</f>
        <v>0</v>
      </c>
      <c r="BK8" s="35" cm="1">
        <f t="array" ref="BK8">_xlfn.LET(_xlpm.v,"0",_xlpm.b,BB2,IF(_xlpm.b="Dec",HEX2DEC(_xlpm.v),IF(_xlpm.b="Hex",_xlpm.v,IF(_xlpm.b="Bin",HEX2BIN(_xlpm.v),IF(_xlpm.b="Oct",HEX2OCT(_xlpm.v),"?")))))</f>
        <v>0</v>
      </c>
      <c r="BL8" s="35" cm="1">
        <f t="array" ref="BL8">_xlfn.LET(_xlpm.v,0,_xlpm.b,BB2,IF(_xlpm.b="Dec",HEX2DEC(_xlpm.v),IF(_xlpm.b="Hex",_xlpm.v,IF(_xlpm.b="Bin",HEX2BIN(_xlpm.v),IF(_xlpm.b="Oct",HEX2OCT(_xlpm.v),"?")))))</f>
        <v>0</v>
      </c>
      <c r="BM8" s="35" cm="1">
        <f t="array" ref="BM8">_xlfn.LET(_xlpm.v,"0",_xlpm.b,BB2,IF(_xlpm.b="Dec",HEX2DEC(_xlpm.v),IF(_xlpm.b="Hex",_xlpm.v,IF(_xlpm.b="Bin",HEX2BIN(_xlpm.v),IF(_xlpm.b="Oct",HEX2OCT(_xlpm.v),"?")))))</f>
        <v>0</v>
      </c>
      <c r="BN8" s="37" cm="1">
        <f t="array" ref="BN8">_xlfn.LET(_xlpm.v,"0",_xlpm.b,BB2,IF(_xlpm.b="Dec",HEX2DEC(_xlpm.v),IF(_xlpm.b="Hex",_xlpm.v,IF(_xlpm.b="Bin",HEX2BIN(_xlpm.v),IF(_xlpm.b="Oct",HEX2OCT(_xlpm.v),"?")))))</f>
        <v>0</v>
      </c>
      <c r="BO8" s="57"/>
      <c r="BP8" s="57"/>
      <c r="BQ8" s="57"/>
    </row>
    <row r="9" spans="2:69">
      <c r="B9" s="49"/>
      <c r="C9" s="50"/>
      <c r="D9" s="1" t="s">
        <v>77</v>
      </c>
      <c r="E9" s="26">
        <f>SUM(G7,H7)</f>
        <v>22197564</v>
      </c>
      <c r="F9" s="2">
        <f>E9/(1024^2)</f>
        <v>21.169246673583984</v>
      </c>
      <c r="G9" s="22" t="s">
        <v>47</v>
      </c>
      <c r="H9" s="9"/>
      <c r="I9" s="5"/>
      <c r="K9" s="1" t="s">
        <v>65</v>
      </c>
      <c r="L9" s="1" t="s">
        <v>55</v>
      </c>
      <c r="M9" s="1" t="s">
        <v>78</v>
      </c>
      <c r="N9" s="1">
        <v>8</v>
      </c>
      <c r="O9" s="1" t="s">
        <v>78</v>
      </c>
      <c r="P9" s="1" t="s">
        <v>78</v>
      </c>
      <c r="Q9" s="1" t="s">
        <v>63</v>
      </c>
      <c r="R9" s="1" t="s">
        <v>64</v>
      </c>
      <c r="S9" s="1">
        <f t="shared" si="1"/>
        <v>24</v>
      </c>
      <c r="T9" s="1">
        <v>32</v>
      </c>
      <c r="AI9" t="str">
        <f>DEC2HEX(X9/AI3)</f>
        <v>0</v>
      </c>
      <c r="AL9" s="44"/>
      <c r="AM9" s="33" t="s">
        <v>7</v>
      </c>
      <c r="AN9" s="35" cm="1">
        <f t="array" ref="AN9">_xlfn.LET(_xlpm.v,1000000,_xlpm.b,AM2,IF(_xlpm.b="Dec",HEX2DEC(_xlpm.v),IF(_xlpm.b="Hex",_xlpm.v,IF(_xlpm.b="Bin",HEX2BIN(_xlpm.v),IF(_xlpm.b="Oct",HEX2OCT(_xlpm.v),"?")))))</f>
        <v>1000000</v>
      </c>
      <c r="AO9" s="35" cm="1">
        <f t="array" ref="AO9">_xlfn.LET(_xlpm.v,4000000,_xlpm.b,AM2,IF(_xlpm.b="Dec",HEX2DEC(_xlpm.v),IF(_xlpm.b="Hex",_xlpm.v,IF(_xlpm.b="Bin",HEX2BIN(_xlpm.v),IF(_xlpm.b="Oct",HEX2OCT(_xlpm.v),"?")))))</f>
        <v>4000000</v>
      </c>
      <c r="AP9" s="35" t="str" cm="1">
        <f t="array" ref="AP9">_xlfn.LET(_xlpm.v,"FA",_xlpm.b,AM2,IF(_xlpm.b="Dec",HEX2DEC(_xlpm.v),IF(_xlpm.b="Hex",_xlpm.v,IF(_xlpm.b="Bin",HEX2BIN(_xlpm.v),IF(_xlpm.b="Oct",HEX2OCT(_xlpm.v),"?")))))</f>
        <v>FA</v>
      </c>
      <c r="AQ9" s="35" t="str" cm="1">
        <f t="array" ref="AQ9">_xlfn.LET(_xlpm.v,"FA",_xlpm.b,AM2,IF(_xlpm.b="Dec",HEX2DEC(_xlpm.v),IF(_xlpm.b="Hex",_xlpm.v,IF(_xlpm.b="Bin",HEX2BIN(_xlpm.v),IF(_xlpm.b="Oct",HEX2OCT(_xlpm.v),"?")))))</f>
        <v>FA</v>
      </c>
      <c r="AR9" s="35" cm="1">
        <f t="array" ref="AR9">_xlfn.LET(_xlpm.v,32,_xlpm.b,AM2,IF(_xlpm.b="Dec",HEX2DEC(_xlpm.v),IF(_xlpm.b="Hex",_xlpm.v,IF(_xlpm.b="Bin",HEX2BIN(_xlpm.v),IF(_xlpm.b="Oct",HEX2OCT(_xlpm.v),"?")))))</f>
        <v>32</v>
      </c>
      <c r="AS9" s="35" cm="1">
        <f t="array" ref="AS9">_xlfn.LET(_xlpm.v,32,_xlpm.b,AM2,IF(_xlpm.b="Dec",HEX2DEC(_xlpm.v),IF(_xlpm.b="Hex",_xlpm.v,IF(_xlpm.b="Bin",HEX2BIN(_xlpm.v),IF(_xlpm.b="Oct",HEX2OCT(_xlpm.v),"?")))))</f>
        <v>32</v>
      </c>
      <c r="AT9" s="35" t="str" cm="1">
        <f t="array" ref="AT9">_xlfn.LET(_xlpm.v,"1F4D41D",_xlpm.b,AM2,IF(_xlpm.b="Dec",HEX2DEC(_xlpm.v),IF(_xlpm.b="Hex",_xlpm.v,IF(_xlpm.b="Bin",HEX2BIN(_xlpm.v),IF(_xlpm.b="Oct",HEX2OCT(_xlpm.v),"?")))))</f>
        <v>1F4D41D</v>
      </c>
      <c r="AU9" s="35" t="str" cm="1">
        <f t="array" ref="AU9">_xlfn.LET(_xlpm.v,"19DB953",_xlpm.b,AM2,IF(_xlpm.b="Dec",HEX2DEC(_xlpm.v),IF(_xlpm.b="Hex",_xlpm.v,IF(_xlpm.b="Bin",HEX2BIN(_xlpm.v),IF(_xlpm.b="Oct",HEX2OCT(_xlpm.v),"?")))))</f>
        <v>19DB953</v>
      </c>
      <c r="AV9" s="35" t="str" cm="1">
        <f t="array" ref="AV9">_xlfn.LET(_xlpm.v,"13A7488",_xlpm.b,AM2,IF(_xlpm.b="Dec",HEX2DEC(_xlpm.v),IF(_xlpm.b="Hex",_xlpm.v,IF(_xlpm.b="Bin",HEX2BIN(_xlpm.v),IF(_xlpm.b="Oct",HEX2OCT(_xlpm.v),"?")))))</f>
        <v>13A7488</v>
      </c>
      <c r="AW9" s="35" t="str" cm="1">
        <f t="array" ref="AW9">_xlfn.LET(_xlpm.v,"1A01B0F",_xlpm.b,AM2,IF(_xlpm.b="Dec",HEX2DEC(_xlpm.v),IF(_xlpm.b="Hex",_xlpm.v,IF(_xlpm.b="Bin",HEX2BIN(_xlpm.v),IF(_xlpm.b="Oct",HEX2OCT(_xlpm.v),"?")))))</f>
        <v>1A01B0F</v>
      </c>
      <c r="AX9" s="35" t="str" cm="1">
        <f t="array" ref="AX9">_xlfn.LET(_xlpm.v,"1B2F1924",_xlpm.b,AM2,IF(_xlpm.b="Dec",HEX2DEC(_xlpm.v),IF(_xlpm.b="Hex",_xlpm.v,IF(_xlpm.b="Bin",HEX2BIN(_xlpm.v),IF(_xlpm.b="Oct",HEX2OCT(_xlpm.v),"?")))))</f>
        <v>1B2F1924</v>
      </c>
      <c r="AY9" s="35" cm="1">
        <f t="array" ref="AY9">_xlfn.LET(_xlpm.v,12,_xlpm.b,AM2,IF(_xlpm.b="Dec",HEX2DEC(_xlpm.v),IF(_xlpm.b="Hex",_xlpm.v,IF(_xlpm.b="Bin",HEX2BIN(_xlpm.v),IF(_xlpm.b="Oct",HEX2OCT(_xlpm.v),"?")))))</f>
        <v>12</v>
      </c>
      <c r="BA9" s="41" t="s">
        <v>79</v>
      </c>
      <c r="BB9" s="36" t="s">
        <v>6</v>
      </c>
      <c r="BC9" s="35" cm="1">
        <f t="array" ref="BC9">_xlfn.LET(_xlpm.v,0,_xlpm.b,BB2,IF(_xlpm.b="Dec",HEX2DEC(_xlpm.v),IF(_xlpm.b="Hex",_xlpm.v,IF(_xlpm.b="Bin",HEX2BIN(_xlpm.v),IF(_xlpm.b="Oct",HEX2OCT(_xlpm.v),"?")))))</f>
        <v>0</v>
      </c>
      <c r="BD9" s="35" cm="1">
        <f t="array" ref="BD9">_xlfn.LET(_xlpm.v,800000,_xlpm.b,BB2,IF(_xlpm.b="Dec",HEX2DEC(_xlpm.v),IF(_xlpm.b="Hex",_xlpm.v,IF(_xlpm.b="Bin",HEX2BIN(_xlpm.v),IF(_xlpm.b="Oct",HEX2OCT(_xlpm.v),"?")))))</f>
        <v>8388608</v>
      </c>
      <c r="BE9" s="35">
        <v>1</v>
      </c>
      <c r="BF9" s="35">
        <v>1</v>
      </c>
      <c r="BG9" s="35">
        <v>1</v>
      </c>
      <c r="BH9" s="35" cm="1">
        <f t="array" ref="BH9">_xlfn.LET(_xlpm.v,1,_xlpm.b,BB2,IF(_xlpm.b="Dec",HEX2DEC(_xlpm.v),IF(_xlpm.b="Hex",_xlpm.v,IF(_xlpm.b="Bin",HEX2BIN(_xlpm.v),IF(_xlpm.b="Oct",HEX2OCT(_xlpm.v),"?")))))</f>
        <v>1</v>
      </c>
      <c r="BI9" s="35" cm="1">
        <f t="array" ref="BI9">_xlfn.LET(_xlpm.v,"1F4D41D",_xlpm.b,BB2,IF(_xlpm.b="Dec",HEX2DEC(_xlpm.v),IF(_xlpm.b="Hex",_xlpm.v,IF(_xlpm.b="Bin",HEX2BIN(_xlpm.v),IF(_xlpm.b="Oct",HEX2OCT(_xlpm.v),"?")))))</f>
        <v>32822301</v>
      </c>
      <c r="BJ9" s="35" cm="1">
        <f t="array" ref="BJ9">_xlfn.LET(_xlpm.v,"19DB953",_xlpm.b,BB2,IF(_xlpm.b="Dec",HEX2DEC(_xlpm.v),IF(_xlpm.b="Hex",_xlpm.v,IF(_xlpm.b="Bin",HEX2BIN(_xlpm.v),IF(_xlpm.b="Oct",HEX2OCT(_xlpm.v),"?")))))</f>
        <v>27113811</v>
      </c>
      <c r="BK9" s="35" cm="1">
        <f t="array" ref="BK9">_xlfn.LET(_xlpm.v,"13A7488",_xlpm.b,BB2,IF(_xlpm.b="Dec",HEX2DEC(_xlpm.v),IF(_xlpm.b="Hex",_xlpm.v,IF(_xlpm.b="Bin",HEX2BIN(_xlpm.v),IF(_xlpm.b="Oct",HEX2OCT(_xlpm.v),"?")))))</f>
        <v>20608136</v>
      </c>
      <c r="BL9" s="35" cm="1">
        <f t="array" ref="BL9">_xlfn.LET(_xlpm.v,"1A01B0F",_xlpm.b,BB2,IF(_xlpm.b="Dec",HEX2DEC(_xlpm.v),IF(_xlpm.b="Hex",_xlpm.v,IF(_xlpm.b="Bin",HEX2BIN(_xlpm.v),IF(_xlpm.b="Oct",HEX2OCT(_xlpm.v),"?")))))</f>
        <v>27269903</v>
      </c>
      <c r="BM9" s="35" cm="1">
        <f t="array" ref="BM9">_xlfn.LET(_xlpm.v,"1B2F1924",_xlpm.b,BB2,IF(_xlpm.b="Dec",HEX2DEC(_xlpm.v),IF(_xlpm.b="Hex",_xlpm.v,IF(_xlpm.b="Bin",HEX2BIN(_xlpm.v),IF(_xlpm.b="Oct",HEX2OCT(_xlpm.v),"?")))))</f>
        <v>456071460</v>
      </c>
      <c r="BN9" s="37" cm="1">
        <f t="array" ref="BN9">_xlfn.LET(_xlpm.v,12,_xlpm.b,BB2,IF(_xlpm.b="Dec",HEX2DEC(_xlpm.v),IF(_xlpm.b="Hex",_xlpm.v,IF(_xlpm.b="Bin",HEX2BIN(_xlpm.v),IF(_xlpm.b="Oct",HEX2OCT(_xlpm.v),"?")))))</f>
        <v>18</v>
      </c>
      <c r="BO9" s="57" cm="1">
        <f t="array" ref="BO9">_xlfn.LET(_xlpm.v,"E29F5A",_xlpm.b,BB2,IF(_xlpm.b="Dec",HEX2DEC(_xlpm.v),IF(_xlpm.b="Hex",_xlpm.v,IF(_xlpm.b="Bin",HEX2BIN(_xlpm.v),IF(_xlpm.b="Oct",HEX2OCT(_xlpm.v),"?")))))</f>
        <v>14851930</v>
      </c>
      <c r="BP9" s="57" cm="1">
        <f t="array" ref="BP9">_xlfn.LET(_xlpm.v,"2C431F98",_xlpm.b,BB2,IF(_xlpm.b="Dec",HEX2DEC(_xlpm.v),IF(_xlpm.b="Hex",_xlpm.v,IF(_xlpm.b="Bin",HEX2BIN(_xlpm.v),IF(_xlpm.b="Oct",HEX2OCT(_xlpm.v),"?")))))</f>
        <v>742596504</v>
      </c>
      <c r="BQ9" s="57" cm="1">
        <f t="array" ref="BQ9">_xlfn.LET(_xlpm.v,"5CD",_xlpm.b,BB2,IF(_xlpm.b="Dec",HEX2DEC(_xlpm.v),IF(_xlpm.b="Hex",_xlpm.v,IF(_xlpm.b="Bin",HEX2BIN(_xlpm.v),IF(_xlpm.b="Oct",HEX2OCT(_xlpm.v),"?")))))</f>
        <v>1485</v>
      </c>
    </row>
    <row r="10" spans="2:69">
      <c r="B10" s="49"/>
      <c r="C10" s="50"/>
      <c r="D10" s="1" t="s">
        <v>6</v>
      </c>
      <c r="E10" s="27">
        <f>SUM(E7:G7)</f>
        <v>31206</v>
      </c>
      <c r="F10" s="1">
        <f t="shared" ref="F9:F10" si="2">E10/1024</f>
        <v>30.474609375</v>
      </c>
      <c r="G10" s="14" t="s">
        <v>73</v>
      </c>
      <c r="H10" s="25"/>
      <c r="I10" s="8"/>
      <c r="K10" s="1" t="s">
        <v>70</v>
      </c>
      <c r="L10" s="1" t="s">
        <v>55</v>
      </c>
      <c r="M10" s="1"/>
      <c r="N10" s="1"/>
      <c r="O10" s="1"/>
      <c r="P10" s="1"/>
      <c r="Q10" s="1"/>
      <c r="R10" s="1"/>
      <c r="S10" s="1">
        <f t="shared" si="1"/>
        <v>0</v>
      </c>
      <c r="T10" s="1"/>
      <c r="W10" s="1" t="s">
        <v>80</v>
      </c>
      <c r="X10" s="1" t="s">
        <v>10</v>
      </c>
      <c r="Y10" s="1" t="s">
        <v>11</v>
      </c>
      <c r="Z10" s="1" t="s">
        <v>12</v>
      </c>
      <c r="AA10" s="1" t="s">
        <v>13</v>
      </c>
      <c r="AB10" s="1" t="s">
        <v>14</v>
      </c>
      <c r="AC10" s="1" t="s">
        <v>15</v>
      </c>
      <c r="AD10" s="1" t="s">
        <v>16</v>
      </c>
      <c r="AE10" s="1" t="s">
        <v>17</v>
      </c>
      <c r="AF10" s="1" t="s">
        <v>18</v>
      </c>
      <c r="AI10" t="e">
        <f>DEC2HEX(X10/AI3)</f>
        <v>#VALUE!</v>
      </c>
      <c r="AL10" s="44" t="s">
        <v>81</v>
      </c>
      <c r="AM10" s="33" t="s">
        <v>6</v>
      </c>
      <c r="AN10" s="35" cm="1">
        <f t="array" ref="AN10">_xlfn.LET(_xlpm.v,0,_xlpm.b,AM2,IF(_xlpm.b="Dec",HEX2DEC(_xlpm.v),IF(_xlpm.b="Hex",_xlpm.v,IF(_xlpm.b="Bin",HEX2BIN(_xlpm.v),IF(_xlpm.b="Oct",HEX2OCT(_xlpm.v),"?")))))</f>
        <v>0</v>
      </c>
      <c r="AO10" s="35" cm="1">
        <f t="array" ref="AO10">_xlfn.LET(_xlpm.v,1000000,_xlpm.b,AM2,IF(_xlpm.b="Dec",HEX2DEC(_xlpm.v),IF(_xlpm.b="Hex",_xlpm.v,IF(_xlpm.b="Bin",HEX2BIN(_xlpm.v),IF(_xlpm.b="Oct",HEX2OCT(_xlpm.v),"?")))))</f>
        <v>1000000</v>
      </c>
      <c r="AP10" s="35" cm="1">
        <f t="array" ref="AP10">_xlfn.LET(_xlpm.v,1,_xlpm.b,AM2,IF(_xlpm.b="Dec",HEX2DEC(_xlpm.v),IF(_xlpm.b="Hex",_xlpm.v,IF(_xlpm.b="Bin",HEX2BIN(_xlpm.v),IF(_xlpm.b="Oct",HEX2OCT(_xlpm.v),"?")))))</f>
        <v>1</v>
      </c>
      <c r="AQ10" s="35" cm="1">
        <f t="array" ref="AQ10">_xlfn.LET(_xlpm.v,1,_xlpm.b,AM2,IF(_xlpm.b="Dec",HEX2DEC(_xlpm.v),IF(_xlpm.b="Hex",_xlpm.v,IF(_xlpm.b="Bin",HEX2BIN(_xlpm.v),IF(_xlpm.b="Oct",HEX2OCT(_xlpm.v),"?")))))</f>
        <v>1</v>
      </c>
      <c r="AR10" s="35" cm="1">
        <f t="array" ref="AR10">_xlfn.LET(_xlpm.v,1,_xlpm.b,AM2,IF(_xlpm.b="Dec",HEX2DEC(_xlpm.v),IF(_xlpm.b="Hex",_xlpm.v,IF(_xlpm.b="Bin",HEX2BIN(_xlpm.v),IF(_xlpm.b="Oct",HEX2OCT(_xlpm.v),"?")))))</f>
        <v>1</v>
      </c>
      <c r="AS10" s="35" cm="1">
        <f t="array" ref="AS10">_xlfn.LET(_xlpm.v,1,_xlpm.b,AM2,IF(_xlpm.b="Dec",HEX2DEC(_xlpm.v),IF(_xlpm.b="Hex",_xlpm.v,IF(_xlpm.b="Bin",HEX2BIN(_xlpm.v),IF(_xlpm.b="Oct",HEX2OCT(_xlpm.v),"?")))))</f>
        <v>1</v>
      </c>
      <c r="AT10" s="35" t="str" cm="1">
        <f t="array" ref="AT10">_xlfn.LET(_xlpm.v,"627B729",_xlpm.b,AM2,IF(_xlpm.b="Dec",HEX2DEC(_xlpm.v),IF(_xlpm.b="Hex",_xlpm.v,IF(_xlpm.b="Bin",HEX2BIN(_xlpm.v),IF(_xlpm.b="Oct",HEX2OCT(_xlpm.v),"?")))))</f>
        <v>627B729</v>
      </c>
      <c r="AU10" s="35" cm="1">
        <f t="array" ref="AU10">_xlfn.LET(_xlpm.v,0,_xlpm.b,AM2,IF(_xlpm.b="Dec",HEX2DEC(_xlpm.v),IF(_xlpm.b="Hex",_xlpm.v,IF(_xlpm.b="Bin",HEX2BIN(_xlpm.v),IF(_xlpm.b="Oct",HEX2OCT(_xlpm.v),"?")))))</f>
        <v>0</v>
      </c>
      <c r="AV10" s="35" t="str" cm="1">
        <f t="array" ref="AV10">_xlfn.LET(_xlpm.v,"23D46568",_xlpm.b,AM2,IF(_xlpm.b="Dec",HEX2DEC(_xlpm.v),IF(_xlpm.b="Hex",_xlpm.v,IF(_xlpm.b="Bin",HEX2BIN(_xlpm.v),IF(_xlpm.b="Oct",HEX2OCT(_xlpm.v),"?")))))</f>
        <v>23D46568</v>
      </c>
      <c r="AW10" s="35" cm="1">
        <f t="array" ref="AW10">_xlfn.LET(_xlpm.v,0,_xlpm.b,AM2,IF(_xlpm.b="Dec",HEX2DEC(_xlpm.v),IF(_xlpm.b="Hex",_xlpm.v,IF(_xlpm.b="Bin",HEX2BIN(_xlpm.v),IF(_xlpm.b="Oct",HEX2OCT(_xlpm.v),"?")))))</f>
        <v>0</v>
      </c>
      <c r="AX10" s="35" t="str" cm="1">
        <f t="array" ref="AX10">_xlfn.LET(_xlpm.v,"53B2F54",_xlpm.b,AM2,IF(_xlpm.b="Dec",HEX2DEC(_xlpm.v),IF(_xlpm.b="Hex",_xlpm.v,IF(_xlpm.b="Bin",HEX2BIN(_xlpm.v),IF(_xlpm.b="Oct",HEX2OCT(_xlpm.v),"?")))))</f>
        <v>53B2F54</v>
      </c>
      <c r="AY10" s="35" t="str" cm="1">
        <f t="array" ref="AY10">_xlfn.LET(_xlpm.v,"E",_xlpm.b,AM2,IF(_xlpm.b="Dec",HEX2DEC(_xlpm.v),IF(_xlpm.b="Hex",_xlpm.v,IF(_xlpm.b="Bin",HEX2BIN(_xlpm.v),IF(_xlpm.b="Oct",HEX2OCT(_xlpm.v),"?")))))</f>
        <v>E</v>
      </c>
      <c r="BA10" s="42"/>
      <c r="BB10" s="36" t="s">
        <v>71</v>
      </c>
      <c r="BC10" s="35" cm="1">
        <f t="array" ref="BC10">_xlfn.LET(_xlpm.v,800000,_xlpm.b,BB2,IF(_xlpm.b="Dec",HEX2DEC(_xlpm.v),IF(_xlpm.b="Hex",_xlpm.v,IF(_xlpm.b="Bin",HEX2BIN(_xlpm.v),IF(_xlpm.b="Oct",HEX2OCT(_xlpm.v),"?")))))</f>
        <v>8388608</v>
      </c>
      <c r="BD10" s="35" cm="1">
        <f t="array" ref="BD10">_xlfn.LET(_xlpm.v,1400000,_xlpm.b,BB2,IF(_xlpm.b="Dec",HEX2DEC(_xlpm.v),IF(_xlpm.b="Hex",_xlpm.v,IF(_xlpm.b="Bin",HEX2BIN(_xlpm.v),IF(_xlpm.b="Oct",HEX2OCT(_xlpm.v),"?")))))</f>
        <v>20971520</v>
      </c>
      <c r="BE10" s="35" cm="1">
        <f t="array" ref="BE10">_xlfn.LET(_xlpm.v,DEC2HEX(10),_xlpm.b,BB2,IF(_xlpm.b="Dec",HEX2DEC(_xlpm.v),IF(_xlpm.b="Hex",_xlpm.v,IF(_xlpm.b="Bin",HEX2BIN(_xlpm.v),IF(_xlpm.b="Oct",HEX2OCT(_xlpm.v),"?")))))</f>
        <v>10</v>
      </c>
      <c r="BF10" s="35" cm="1">
        <f t="array" ref="BF10">_xlfn.LET(_xlpm.v,DEC2HEX(10),_xlpm.b,BB2,IF(_xlpm.b="Dec",HEX2DEC(_xlpm.v),IF(_xlpm.b="Hex",_xlpm.v,IF(_xlpm.b="Bin",HEX2BIN(_xlpm.v),IF(_xlpm.b="Oct",HEX2OCT(_xlpm.v),"?")))))</f>
        <v>10</v>
      </c>
      <c r="BG10" s="35" cm="1">
        <f t="array" ref="BG10">_xlfn.LET(_xlpm.v,DEC2HEX(10),_xlpm.b,BB2,IF(_xlpm.b="Dec",HEX2DEC(_xlpm.v),IF(_xlpm.b="Hex",_xlpm.v,IF(_xlpm.b="Bin",HEX2BIN(_xlpm.v),IF(_xlpm.b="Oct",HEX2OCT(_xlpm.v),"?")))))</f>
        <v>10</v>
      </c>
      <c r="BH10" s="35" cm="1">
        <f t="array" ref="BH10">_xlfn.LET(_xlpm.v,DEC2HEX(10),_xlpm.b,BB2,IF(_xlpm.b="Dec",HEX2DEC(_xlpm.v),IF(_xlpm.b="Hex",_xlpm.v,IF(_xlpm.b="Bin",HEX2BIN(_xlpm.v),IF(_xlpm.b="Oct",HEX2OCT(_xlpm.v),"?")))))</f>
        <v>10</v>
      </c>
      <c r="BI10" s="35" cm="1">
        <f t="array" ref="BI10">_xlfn.LET(_xlpm.v,"1A3DE5D",_xlpm.b,BB2,IF(_xlpm.b="Dec",HEX2DEC(_xlpm.v),IF(_xlpm.b="Hex",_xlpm.v,IF(_xlpm.b="Bin",HEX2BIN(_xlpm.v),IF(_xlpm.b="Oct",HEX2OCT(_xlpm.v),"?")))))</f>
        <v>27516509</v>
      </c>
      <c r="BJ10" s="35" cm="1">
        <f t="array" ref="BJ10">_xlfn.LET(_xlpm.v,"11F10AD",_xlpm.b,BB2,IF(_xlpm.b="Dec",HEX2DEC(_xlpm.v),IF(_xlpm.b="Hex",_xlpm.v,IF(_xlpm.b="Bin",HEX2BIN(_xlpm.v),IF(_xlpm.b="Oct",HEX2OCT(_xlpm.v),"?")))))</f>
        <v>18813101</v>
      </c>
      <c r="BK10" s="35" cm="1">
        <f t="array" ref="BK10">_xlfn.LET(_xlpm.v,"C518D5",_xlpm.b,BB2,IF(_xlpm.b="Dec",HEX2DEC(_xlpm.v),IF(_xlpm.b="Hex",_xlpm.v,IF(_xlpm.b="Bin",HEX2BIN(_xlpm.v),IF(_xlpm.b="Oct",HEX2OCT(_xlpm.v),"?")))))</f>
        <v>12916949</v>
      </c>
      <c r="BL10" s="35" cm="1">
        <f t="array" ref="BL10">_xlfn.LET(_xlpm.v,"F9019E",_xlpm.b,BB2,IF(_xlpm.b="Dec",HEX2DEC(_xlpm.v),IF(_xlpm.b="Hex",_xlpm.v,IF(_xlpm.b="Bin",HEX2BIN(_xlpm.v),IF(_xlpm.b="Oct",HEX2OCT(_xlpm.v),"?")))))</f>
        <v>16318878</v>
      </c>
      <c r="BM10" s="35" cm="1">
        <f t="array" ref="BM10">_xlfn.LET(_xlpm.v,"1E79F360",_xlpm.b,BB2,IF(_xlpm.b="Dec",HEX2DEC(_xlpm.v),IF(_xlpm.b="Hex",_xlpm.v,IF(_xlpm.b="Bin",HEX2BIN(_xlpm.v),IF(_xlpm.b="Oct",HEX2OCT(_xlpm.v),"?")))))</f>
        <v>511308640</v>
      </c>
      <c r="BN10" s="37" cm="1">
        <f t="array" ref="BN10">_xlfn.LET(_xlpm.v,"1",_xlpm.b,BB2,IF(_xlpm.b="Dec",HEX2DEC(_xlpm.v),IF(_xlpm.b="Hex",_xlpm.v,IF(_xlpm.b="Bin",HEX2BIN(_xlpm.v),IF(_xlpm.b="Oct",HEX2OCT(_xlpm.v),"?")))))</f>
        <v>1</v>
      </c>
      <c r="BO10" s="57"/>
      <c r="BP10" s="57"/>
      <c r="BQ10" s="57"/>
    </row>
    <row r="11" spans="2:69">
      <c r="B11" s="49"/>
      <c r="C11" s="19"/>
      <c r="D11" s="19"/>
      <c r="E11" s="28"/>
      <c r="F11" s="28"/>
      <c r="G11" s="28"/>
      <c r="H11" s="23"/>
      <c r="I11" s="8"/>
      <c r="K11" s="1" t="s">
        <v>82</v>
      </c>
      <c r="L11" s="1" t="s">
        <v>55</v>
      </c>
      <c r="M11" s="1"/>
      <c r="N11" s="1"/>
      <c r="O11" s="1"/>
      <c r="P11" s="1"/>
      <c r="Q11" s="1"/>
      <c r="R11" s="1"/>
      <c r="S11" s="1">
        <f t="shared" si="1"/>
        <v>0</v>
      </c>
      <c r="T11" s="1"/>
      <c r="W11" s="1" t="s">
        <v>50</v>
      </c>
      <c r="X11" s="30">
        <v>620226214</v>
      </c>
      <c r="Y11" s="30">
        <v>1022989014</v>
      </c>
      <c r="Z11" s="30">
        <v>728855589</v>
      </c>
      <c r="AA11" s="30">
        <v>232897632</v>
      </c>
      <c r="AB11" s="30">
        <v>120254219</v>
      </c>
      <c r="AC11" s="1">
        <v>0</v>
      </c>
      <c r="AD11" s="30">
        <v>1240908894</v>
      </c>
      <c r="AE11" s="30">
        <v>2322916334</v>
      </c>
      <c r="AF11" s="30">
        <v>35284909</v>
      </c>
      <c r="AI11" t="str">
        <f>DEC2HEX(X11/AI3)</f>
        <v>C</v>
      </c>
      <c r="AL11" s="44"/>
      <c r="AM11" s="33" t="s">
        <v>7</v>
      </c>
      <c r="AN11" s="35" cm="1">
        <f t="array" ref="AN11">_xlfn.LET(_xlpm.v,1000000,_xlpm.b,AM2,IF(_xlpm.b="Dec",HEX2DEC(_xlpm.v),IF(_xlpm.b="Hex",_xlpm.v,IF(_xlpm.b="Bin",HEX2BIN(_xlpm.v),IF(_xlpm.b="Oct",HEX2OCT(_xlpm.v),"?")))))</f>
        <v>1000000</v>
      </c>
      <c r="AO11" s="35" cm="1">
        <f t="array" ref="AO11">_xlfn.LET(_xlpm.v,4000000,_xlpm.b,AM2,IF(_xlpm.b="Dec",HEX2DEC(_xlpm.v),IF(_xlpm.b="Hex",_xlpm.v,IF(_xlpm.b="Bin",HEX2BIN(_xlpm.v),IF(_xlpm.b="Oct",HEX2OCT(_xlpm.v),"?")))))</f>
        <v>4000000</v>
      </c>
      <c r="AP11" s="35" t="str" cm="1">
        <f t="array" ref="AP11">_xlfn.LET(_xlpm.v,"FA",_xlpm.b,AM2,IF(_xlpm.b="Dec",HEX2DEC(_xlpm.v),IF(_xlpm.b="Hex",_xlpm.v,IF(_xlpm.b="Bin",HEX2BIN(_xlpm.v),IF(_xlpm.b="Oct",HEX2OCT(_xlpm.v),"?")))))</f>
        <v>FA</v>
      </c>
      <c r="AQ11" s="35" t="str" cm="1">
        <f t="array" ref="AQ11">_xlfn.LET(_xlpm.v,"FA",_xlpm.b,AM2,IF(_xlpm.b="Dec",HEX2DEC(_xlpm.v),IF(_xlpm.b="Hex",_xlpm.v,IF(_xlpm.b="Bin",HEX2BIN(_xlpm.v),IF(_xlpm.b="Oct",HEX2OCT(_xlpm.v),"?")))))</f>
        <v>FA</v>
      </c>
      <c r="AR11" s="35" cm="1">
        <f t="array" ref="AR11">_xlfn.LET(_xlpm.v,32,_xlpm.b,AM2,IF(_xlpm.b="Dec",HEX2DEC(_xlpm.v),IF(_xlpm.b="Hex",_xlpm.v,IF(_xlpm.b="Bin",HEX2BIN(_xlpm.v),IF(_xlpm.b="Oct",HEX2OCT(_xlpm.v),"?")))))</f>
        <v>32</v>
      </c>
      <c r="AS11" s="35" cm="1">
        <f t="array" ref="AS11">_xlfn.LET(_xlpm.v,32,_xlpm.b,AM2,IF(_xlpm.b="Dec",HEX2DEC(_xlpm.v),IF(_xlpm.b="Hex",_xlpm.v,IF(_xlpm.b="Bin",HEX2BIN(_xlpm.v),IF(_xlpm.b="Oct",HEX2OCT(_xlpm.v),"?")))))</f>
        <v>32</v>
      </c>
      <c r="AT11" s="35" t="str" cm="1">
        <f t="array" ref="AT11">_xlfn.LET(_xlpm.v,"1F4D41D",_xlpm.b,AM2,IF(_xlpm.b="Dec",HEX2DEC(_xlpm.v),IF(_xlpm.b="Hex",_xlpm.v,IF(_xlpm.b="Bin",HEX2BIN(_xlpm.v),IF(_xlpm.b="Oct",HEX2OCT(_xlpm.v),"?")))))</f>
        <v>1F4D41D</v>
      </c>
      <c r="AU11" s="35" t="str" cm="1">
        <f t="array" ref="AU11">_xlfn.LET(_xlpm.v,"19DB953",_xlpm.b,AM2,IF(_xlpm.b="Dec",HEX2DEC(_xlpm.v),IF(_xlpm.b="Hex",_xlpm.v,IF(_xlpm.b="Bin",HEX2BIN(_xlpm.v),IF(_xlpm.b="Oct",HEX2OCT(_xlpm.v),"?")))))</f>
        <v>19DB953</v>
      </c>
      <c r="AV11" s="35" t="str" cm="1">
        <f t="array" ref="AV11">_xlfn.LET(_xlpm.v,"13A7488",_xlpm.b,AM2,IF(_xlpm.b="Dec",HEX2DEC(_xlpm.v),IF(_xlpm.b="Hex",_xlpm.v,IF(_xlpm.b="Bin",HEX2BIN(_xlpm.v),IF(_xlpm.b="Oct",HEX2OCT(_xlpm.v),"?")))))</f>
        <v>13A7488</v>
      </c>
      <c r="AW11" s="35" t="str" cm="1">
        <f t="array" ref="AW11">_xlfn.LET(_xlpm.v,"1A01B0F",_xlpm.b,AM2,IF(_xlpm.b="Dec",HEX2DEC(_xlpm.v),IF(_xlpm.b="Hex",_xlpm.v,IF(_xlpm.b="Bin",HEX2BIN(_xlpm.v),IF(_xlpm.b="Oct",HEX2OCT(_xlpm.v),"?")))))</f>
        <v>1A01B0F</v>
      </c>
      <c r="AX11" s="35" t="str" cm="1">
        <f t="array" ref="AX11">_xlfn.LET(_xlpm.v,"1B2F1924",_xlpm.b,AM2,IF(_xlpm.b="Dec",HEX2DEC(_xlpm.v),IF(_xlpm.b="Hex",_xlpm.v,IF(_xlpm.b="Bin",HEX2BIN(_xlpm.v),IF(_xlpm.b="Oct",HEX2OCT(_xlpm.v),"?")))))</f>
        <v>1B2F1924</v>
      </c>
      <c r="AY11" s="35" cm="1">
        <f t="array" ref="AY11">_xlfn.LET(_xlpm.v,12,_xlpm.b,AM2,IF(_xlpm.b="Dec",HEX2DEC(_xlpm.v),IF(_xlpm.b="Hex",_xlpm.v,IF(_xlpm.b="Bin",HEX2BIN(_xlpm.v),IF(_xlpm.b="Oct",HEX2OCT(_xlpm.v),"?")))))</f>
        <v>12</v>
      </c>
      <c r="BA11" s="43"/>
      <c r="BB11" s="36" t="s">
        <v>76</v>
      </c>
      <c r="BC11" s="35" cm="1">
        <f t="array" ref="BC11">_xlfn.LET(_xlpm.v,1400000,_xlpm.b,BB2,IF(_xlpm.b="Dec",HEX2DEC(_xlpm.v),IF(_xlpm.b="Hex",_xlpm.v,IF(_xlpm.b="Bin",HEX2BIN(_xlpm.v),IF(_xlpm.b="Oct",HEX2OCT(_xlpm.v),"?")))))</f>
        <v>20971520</v>
      </c>
      <c r="BD11" s="35" cm="1">
        <f t="array" ref="BD11">_xlfn.LET(_xlpm.v,2000000,_xlpm.b,BB2,IF(_xlpm.b="Dec",HEX2DEC(_xlpm.v),IF(_xlpm.b="Hex",_xlpm.v,IF(_xlpm.b="Bin",HEX2BIN(_xlpm.v),IF(_xlpm.b="Oct",HEX2OCT(_xlpm.v),"?")))))</f>
        <v>33554432</v>
      </c>
      <c r="BE11" s="35" cm="1">
        <f t="array" ref="BE11">_xlfn.LET(_xlpm.v,"7D",_xlpm.b,BB2,IF(_xlpm.b="Dec",HEX2DEC(_xlpm.v),IF(_xlpm.b="Hex",_xlpm.v,IF(_xlpm.b="Bin",HEX2BIN(_xlpm.v),IF(_xlpm.b="Oct",HEX2OCT(_xlpm.v),"?")))))</f>
        <v>125</v>
      </c>
      <c r="BF11" s="35" cm="1">
        <f t="array" ref="BF11">_xlfn.LET(_xlpm.v,"7D",_xlpm.b,BB2,IF(_xlpm.b="Dec",HEX2DEC(_xlpm.v),IF(_xlpm.b="Hex",_xlpm.v,IF(_xlpm.b="Bin",HEX2BIN(_xlpm.v),IF(_xlpm.b="Oct",HEX2OCT(_xlpm.v),"?")))))</f>
        <v>125</v>
      </c>
      <c r="BG11" s="35" cm="1">
        <f t="array" ref="BG11">_xlfn.LET(_xlpm.v,19,_xlpm.b,BB2,IF(_xlpm.b="Dec",HEX2DEC(_xlpm.v),IF(_xlpm.b="Hex",_xlpm.v,IF(_xlpm.b="Bin",HEX2BIN(_xlpm.v),IF(_xlpm.b="Oct",HEX2OCT(_xlpm.v),"?")))))</f>
        <v>25</v>
      </c>
      <c r="BH11" s="35" cm="1">
        <f t="array" ref="BH11">_xlfn.LET(_xlpm.v,19,_xlpm.b,BB2,IF(_xlpm.b="Dec",HEX2DEC(_xlpm.v),IF(_xlpm.b="Hex",_xlpm.v,IF(_xlpm.b="Bin",HEX2BIN(_xlpm.v),IF(_xlpm.b="Oct",HEX2OCT(_xlpm.v),"?")))))</f>
        <v>25</v>
      </c>
      <c r="BI11" s="35" cm="1">
        <f t="array" ref="BI11">_xlfn.LET(_xlpm.v,"0",_xlpm.b,BB2,IF(_xlpm.b="Dec",HEX2DEC(_xlpm.v),IF(_xlpm.b="Hex",_xlpm.v,IF(_xlpm.b="Bin",HEX2BIN(_xlpm.v),IF(_xlpm.b="Oct",HEX2OCT(_xlpm.v),"?")))))</f>
        <v>0</v>
      </c>
      <c r="BJ11" s="35" cm="1">
        <f t="array" ref="BJ11">_xlfn.LET(_xlpm.v,"0",_xlpm.b,BB2,IF(_xlpm.b="Dec",HEX2DEC(_xlpm.v),IF(_xlpm.b="Hex",_xlpm.v,IF(_xlpm.b="Bin",HEX2BIN(_xlpm.v),IF(_xlpm.b="Oct",HEX2OCT(_xlpm.v),"?")))))</f>
        <v>0</v>
      </c>
      <c r="BK11" s="35" cm="1">
        <f t="array" ref="BK11">_xlfn.LET(_xlpm.v,"0",_xlpm.b,BB2,IF(_xlpm.b="Dec",HEX2DEC(_xlpm.v),IF(_xlpm.b="Hex",_xlpm.v,IF(_xlpm.b="Bin",HEX2BIN(_xlpm.v),IF(_xlpm.b="Oct",HEX2OCT(_xlpm.v),"?")))))</f>
        <v>0</v>
      </c>
      <c r="BL11" s="35" cm="1">
        <f t="array" ref="BL11">_xlfn.LET(_xlpm.v,"0",_xlpm.b,BB2,IF(_xlpm.b="Dec",HEX2DEC(_xlpm.v),IF(_xlpm.b="Hex",_xlpm.v,IF(_xlpm.b="Bin",HEX2BIN(_xlpm.v),IF(_xlpm.b="Oct",HEX2OCT(_xlpm.v),"?")))))</f>
        <v>0</v>
      </c>
      <c r="BM11" s="35" cm="1">
        <f t="array" ref="BM11">_xlfn.LET(_xlpm.v,"0",_xlpm.b,BB2,IF(_xlpm.b="Dec",HEX2DEC(_xlpm.v),IF(_xlpm.b="Hex",_xlpm.v,IF(_xlpm.b="Bin",HEX2BIN(_xlpm.v),IF(_xlpm.b="Oct",HEX2OCT(_xlpm.v),"?")))))</f>
        <v>0</v>
      </c>
      <c r="BN11" s="37" cm="1">
        <f t="array" ref="BN11">_xlfn.LET(_xlpm.v,0,_xlpm.b,BB2,IF(_xlpm.b="Dec",HEX2DEC(_xlpm.v),IF(_xlpm.b="Hex",_xlpm.v,IF(_xlpm.b="Bin",HEX2BIN(_xlpm.v),IF(_xlpm.b="Oct",HEX2OCT(_xlpm.v),"?")))))</f>
        <v>0</v>
      </c>
      <c r="BO11" s="57"/>
      <c r="BP11" s="57"/>
      <c r="BQ11" s="57"/>
    </row>
    <row r="12" spans="2:69">
      <c r="B12" s="49"/>
      <c r="C12" s="54" t="s">
        <v>60</v>
      </c>
      <c r="D12" s="3" t="s">
        <v>54</v>
      </c>
      <c r="E12" s="1">
        <v>6240</v>
      </c>
      <c r="F12" s="1">
        <v>168</v>
      </c>
      <c r="G12" s="1">
        <v>0</v>
      </c>
      <c r="H12" s="1">
        <v>0</v>
      </c>
      <c r="I12" s="1">
        <v>10364</v>
      </c>
      <c r="W12" s="2" t="s">
        <v>60</v>
      </c>
      <c r="X12" s="31">
        <v>844024822</v>
      </c>
      <c r="Y12" s="31">
        <v>1286099875</v>
      </c>
      <c r="Z12" s="31">
        <v>973524658</v>
      </c>
      <c r="AA12" s="31">
        <v>243016796</v>
      </c>
      <c r="AB12" s="31">
        <v>168038328</v>
      </c>
      <c r="AC12" s="2">
        <v>0</v>
      </c>
      <c r="AD12" s="31">
        <v>1291521998</v>
      </c>
      <c r="AE12" s="31">
        <v>2676101780</v>
      </c>
      <c r="AF12" s="31">
        <v>51433781</v>
      </c>
      <c r="AI12" t="str">
        <f>DEC2HEX(X12/AI3)</f>
        <v>10</v>
      </c>
      <c r="AL12" s="44" t="s">
        <v>35</v>
      </c>
      <c r="AM12" s="33" t="s">
        <v>6</v>
      </c>
      <c r="AN12" s="35" cm="1">
        <f t="array" ref="AN12">_xlfn.LET(_xlpm.v,0,_xlpm.b,AM2,IF(_xlpm.b="Dec",HEX2DEC(_xlpm.v),IF(_xlpm.b="Hex",_xlpm.v,IF(_xlpm.b="Bin",HEX2BIN(_xlpm.v),IF(_xlpm.b="Oct",HEX2OCT(_xlpm.v),"?")))))</f>
        <v>0</v>
      </c>
      <c r="AO12" s="35" cm="1">
        <f t="array" ref="AO12">_xlfn.LET(_xlpm.v,800000,_xlpm.b,AM2,IF(_xlpm.b="Dec",HEX2DEC(_xlpm.v),IF(_xlpm.b="Hex",_xlpm.v,IF(_xlpm.b="Bin",HEX2BIN(_xlpm.v),IF(_xlpm.b="Oct",HEX2OCT(_xlpm.v),"?")))))</f>
        <v>800000</v>
      </c>
      <c r="AP12" s="35" cm="1">
        <f t="array" ref="AP12">_xlfn.LET(_xlpm.v,1,_xlpm.b,AM2,IF(_xlpm.b="Dec",HEX2DEC(_xlpm.v),IF(_xlpm.b="Hex",_xlpm.v,IF(_xlpm.b="Bin",HEX2BIN(_xlpm.v),IF(_xlpm.b="Oct",HEX2OCT(_xlpm.v),"?")))))</f>
        <v>1</v>
      </c>
      <c r="AQ12" s="35" cm="1">
        <f t="array" ref="AQ12">_xlfn.LET(_xlpm.v,1,_xlpm.b,AM2,IF(_xlpm.b="Dec",HEX2DEC(_xlpm.v),IF(_xlpm.b="Hex",_xlpm.v,IF(_xlpm.b="Bin",HEX2BIN(_xlpm.v),IF(_xlpm.b="Oct",HEX2OCT(_xlpm.v),"?")))))</f>
        <v>1</v>
      </c>
      <c r="AR12" s="35" cm="1">
        <f t="array" ref="AR12">_xlfn.LET(_xlpm.v,1,_xlpm.b,AM2,IF(_xlpm.b="Dec",HEX2DEC(_xlpm.v),IF(_xlpm.b="Hex",_xlpm.v,IF(_xlpm.b="Bin",HEX2BIN(_xlpm.v),IF(_xlpm.b="Oct",HEX2OCT(_xlpm.v),"?")))))</f>
        <v>1</v>
      </c>
      <c r="AS12" s="35" cm="1">
        <f t="array" ref="AS12">_xlfn.LET(_xlpm.v,1,_xlpm.b,AM2,IF(_xlpm.b="Dec",HEX2DEC(_xlpm.v),IF(_xlpm.b="Hex",_xlpm.v,IF(_xlpm.b="Bin",HEX2BIN(_xlpm.v),IF(_xlpm.b="Oct",HEX2OCT(_xlpm.v),"?")))))</f>
        <v>1</v>
      </c>
      <c r="AT12" s="35" t="str" cm="1">
        <f t="array" ref="AT12">_xlfn.LET(_xlpm.v,"49F7FD0",_xlpm.b,AM2,IF(_xlpm.b="Dec",HEX2DEC(_xlpm.v),IF(_xlpm.b="Hex",_xlpm.v,IF(_xlpm.b="Bin",HEX2BIN(_xlpm.v),IF(_xlpm.b="Oct",HEX2OCT(_xlpm.v),"?")))))</f>
        <v>49F7FD0</v>
      </c>
      <c r="AU12" s="35" cm="1">
        <f t="array" ref="AU12">_xlfn.LET(_xlpm.v,0,_xlpm.b,AM2,IF(_xlpm.b="Dec",HEX2DEC(_xlpm.v),IF(_xlpm.b="Hex",_xlpm.v,IF(_xlpm.b="Bin",HEX2BIN(_xlpm.v),IF(_xlpm.b="Oct",HEX2OCT(_xlpm.v),"?")))))</f>
        <v>0</v>
      </c>
      <c r="AV12" s="35" t="str" cm="1">
        <f t="array" ref="AV12">_xlfn.LET(_xlpm.v,"1E1FB08A",_xlpm.b,AM2,IF(_xlpm.b="Dec",HEX2DEC(_xlpm.v),IF(_xlpm.b="Hex",_xlpm.v,IF(_xlpm.b="Bin",HEX2BIN(_xlpm.v),IF(_xlpm.b="Oct",HEX2OCT(_xlpm.v),"?")))))</f>
        <v>1E1FB08A</v>
      </c>
      <c r="AW12" s="35" t="str" cm="1">
        <f t="array" ref="AW12">_xlfn.LET(_xlpm.v,"0",_xlpm.b,AM2,IF(_xlpm.b="Dec",HEX2DEC(_xlpm.v),IF(_xlpm.b="Hex",_xlpm.v,IF(_xlpm.b="Bin",HEX2BIN(_xlpm.v),IF(_xlpm.b="Oct",HEX2OCT(_xlpm.v),"?")))))</f>
        <v>0</v>
      </c>
      <c r="AX12" s="35" t="str" cm="1">
        <f t="array" ref="AX12">_xlfn.LET(_xlpm.v,"27491908",_xlpm.b,AM2,IF(_xlpm.b="Dec",HEX2DEC(_xlpm.v),IF(_xlpm.b="Hex",_xlpm.v,IF(_xlpm.b="Bin",HEX2BIN(_xlpm.v),IF(_xlpm.b="Oct",HEX2OCT(_xlpm.v),"?")))))</f>
        <v>27491908</v>
      </c>
      <c r="AY12" s="35" t="str" cm="1">
        <f t="array" ref="AY12">_xlfn.LET(_xlpm.v,"B",_xlpm.b,AM2,IF(_xlpm.b="Dec",HEX2DEC(_xlpm.v),IF(_xlpm.b="Hex",_xlpm.v,IF(_xlpm.b="Bin",HEX2BIN(_xlpm.v),IF(_xlpm.b="Oct",HEX2OCT(_xlpm.v),"?")))))</f>
        <v>B</v>
      </c>
    </row>
    <row r="13" spans="2:69">
      <c r="B13" s="49"/>
      <c r="C13" s="54"/>
      <c r="D13" s="21" t="s">
        <v>61</v>
      </c>
      <c r="E13" s="20">
        <v>17664</v>
      </c>
      <c r="F13" s="20">
        <v>466</v>
      </c>
      <c r="G13" s="20">
        <v>0</v>
      </c>
      <c r="H13" s="20">
        <v>300</v>
      </c>
      <c r="I13" s="20">
        <v>7240</v>
      </c>
      <c r="W13" s="2" t="s">
        <v>69</v>
      </c>
      <c r="X13" s="31">
        <v>560637052</v>
      </c>
      <c r="Y13" s="31">
        <v>857471806</v>
      </c>
      <c r="Z13" s="31">
        <v>649000191</v>
      </c>
      <c r="AA13" s="31">
        <v>163202201</v>
      </c>
      <c r="AB13" s="31">
        <v>94488489</v>
      </c>
      <c r="AC13" s="2">
        <v>0</v>
      </c>
      <c r="AD13" s="31">
        <v>814989422</v>
      </c>
      <c r="AE13" s="31">
        <v>1721680303</v>
      </c>
      <c r="AF13" s="31">
        <v>27328414</v>
      </c>
      <c r="AI13" t="str">
        <f>DEC2HEX(X13/AI3)</f>
        <v>B</v>
      </c>
      <c r="AL13" s="44"/>
      <c r="AM13" s="33" t="s">
        <v>7</v>
      </c>
      <c r="AN13" s="35" cm="1">
        <f t="array" ref="AN13">_xlfn.LET(_xlpm.v,800000,_xlpm.b,AM2,IF(_xlpm.b="Dec",HEX2DEC(_xlpm.v),IF(_xlpm.b="Hex",_xlpm.v,IF(_xlpm.b="Bin",HEX2BIN(_xlpm.v),IF(_xlpm.b="Oct",HEX2OCT(_xlpm.v),"?")))))</f>
        <v>800000</v>
      </c>
      <c r="AO13" s="35" cm="1">
        <f t="array" ref="AO13">_xlfn.LET(_xlpm.v,2000000,_xlpm.b,AM2,IF(_xlpm.b="Dec",HEX2DEC(_xlpm.v),IF(_xlpm.b="Hex",_xlpm.v,IF(_xlpm.b="Bin",HEX2BIN(_xlpm.v),IF(_xlpm.b="Oct",HEX2OCT(_xlpm.v),"?")))))</f>
        <v>2000000</v>
      </c>
      <c r="AP13" s="35" t="str" cm="1">
        <f t="array" ref="AP13">_xlfn.LET(_xlpm.v,"FA",_xlpm.b,AM2,IF(_xlpm.b="Dec",HEX2DEC(_xlpm.v),IF(_xlpm.b="Hex",_xlpm.v,IF(_xlpm.b="Bin",HEX2BIN(_xlpm.v),IF(_xlpm.b="Oct",HEX2OCT(_xlpm.v),"?")))))</f>
        <v>FA</v>
      </c>
      <c r="AQ13" s="35" t="str" cm="1">
        <f t="array" ref="AQ13">_xlfn.LET(_xlpm.v,"FA",_xlpm.b,AM2,IF(_xlpm.b="Dec",HEX2DEC(_xlpm.v),IF(_xlpm.b="Hex",_xlpm.v,IF(_xlpm.b="Bin",HEX2BIN(_xlpm.v),IF(_xlpm.b="Oct",HEX2OCT(_xlpm.v),"?")))))</f>
        <v>FA</v>
      </c>
      <c r="AR13" s="35" t="str" cm="1">
        <f t="array" ref="AR13">_xlfn.LET(_xlpm.v,"32",_xlpm.b,AM2,IF(_xlpm.b="Dec",HEX2DEC(_xlpm.v),IF(_xlpm.b="Hex",_xlpm.v,IF(_xlpm.b="Bin",HEX2BIN(_xlpm.v),IF(_xlpm.b="Oct",HEX2OCT(_xlpm.v),"?")))))</f>
        <v>32</v>
      </c>
      <c r="AS13" s="35" t="str" cm="1">
        <f t="array" ref="AS13">_xlfn.LET(_xlpm.v,"32",_xlpm.b,AM2,IF(_xlpm.b="Dec",HEX2DEC(_xlpm.v),IF(_xlpm.b="Hex",_xlpm.v,IF(_xlpm.b="Bin",HEX2BIN(_xlpm.v),IF(_xlpm.b="Oct",HEX2OCT(_xlpm.v),"?")))))</f>
        <v>32</v>
      </c>
      <c r="AT13" s="35" t="str" cm="1">
        <f t="array" ref="AT13">_xlfn.LET(_xlpm.v,"1A3DE69",_xlpm.b,AM2,IF(_xlpm.b="Dec",HEX2DEC(_xlpm.v),IF(_xlpm.b="Hex",_xlpm.v,IF(_xlpm.b="Bin",HEX2BIN(_xlpm.v),IF(_xlpm.b="Oct",HEX2OCT(_xlpm.v),"?")))))</f>
        <v>1A3DE69</v>
      </c>
      <c r="AU13" s="35" t="str" cm="1">
        <f t="array" ref="AU13">_xlfn.LET(_xlpm.v,"11F10B6",_xlpm.b,AM2,IF(_xlpm.b="Dec",HEX2DEC(_xlpm.v),IF(_xlpm.b="Hex",_xlpm.v,IF(_xlpm.b="Bin",HEX2BIN(_xlpm.v),IF(_xlpm.b="Oct",HEX2OCT(_xlpm.v),"?")))))</f>
        <v>11F10B6</v>
      </c>
      <c r="AV13" s="35" t="str" cm="1">
        <f t="array" ref="AV13">_xlfn.LET(_xlpm.v,"C518D5",_xlpm.b,AM2,IF(_xlpm.b="Dec",HEX2DEC(_xlpm.v),IF(_xlpm.b="Hex",_xlpm.v,IF(_xlpm.b="Bin",HEX2BIN(_xlpm.v),IF(_xlpm.b="Oct",HEX2OCT(_xlpm.v),"?")))))</f>
        <v>C518D5</v>
      </c>
      <c r="AW13" s="35" t="str" cm="1">
        <f t="array" ref="AW13">_xlfn.LET(_xlpm.v,"F901A3",_xlpm.b,AM2,IF(_xlpm.b="Dec",HEX2DEC(_xlpm.v),IF(_xlpm.b="Hex",_xlpm.v,IF(_xlpm.b="Bin",HEX2BIN(_xlpm.v),IF(_xlpm.b="Oct",HEX2OCT(_xlpm.v),"?")))))</f>
        <v>F901A3</v>
      </c>
      <c r="AX13" s="35" t="str" cm="1">
        <f t="array" ref="AX13">_xlfn.LET(_xlpm.v,"2FACCD9C",_xlpm.b,AM2,IF(_xlpm.b="Dec",HEX2DEC(_xlpm.v),IF(_xlpm.b="Hex",_xlpm.v,IF(_xlpm.b="Bin",HEX2BIN(_xlpm.v),IF(_xlpm.b="Oct",HEX2OCT(_xlpm.v),"?")))))</f>
        <v>2FACCD9C</v>
      </c>
      <c r="AY13" s="35" t="str" cm="1">
        <f t="array" ref="AY13">_xlfn.LET(_xlpm.v,"D",_xlpm.b,AM2,IF(_xlpm.b="Dec",HEX2DEC(_xlpm.v),IF(_xlpm.b="Hex",_xlpm.v,IF(_xlpm.b="Bin",HEX2BIN(_xlpm.v),IF(_xlpm.b="Oct",HEX2OCT(_xlpm.v),"?")))))</f>
        <v>D</v>
      </c>
    </row>
    <row r="14" spans="2:69">
      <c r="B14" s="49"/>
      <c r="C14" s="54"/>
      <c r="D14" s="21" t="s">
        <v>68</v>
      </c>
      <c r="E14" s="20">
        <f>SUM(E12:E13)</f>
        <v>23904</v>
      </c>
      <c r="F14" s="20">
        <f t="shared" ref="F14:H14" si="3">SUM(F12:F13)</f>
        <v>634</v>
      </c>
      <c r="G14" s="20">
        <f t="shared" si="3"/>
        <v>0</v>
      </c>
      <c r="H14" s="20">
        <f t="shared" si="3"/>
        <v>300</v>
      </c>
      <c r="I14" s="20">
        <f>SUM(I12:I13)</f>
        <v>17604</v>
      </c>
      <c r="W14" s="1" t="s">
        <v>74</v>
      </c>
      <c r="X14" s="31">
        <v>560637052</v>
      </c>
      <c r="Y14" s="31">
        <v>857471806</v>
      </c>
      <c r="Z14" s="31">
        <v>649000191</v>
      </c>
      <c r="AA14" s="31">
        <v>163202201</v>
      </c>
      <c r="AB14" s="31">
        <v>94488489</v>
      </c>
      <c r="AC14" s="2">
        <v>0</v>
      </c>
      <c r="AD14" s="31">
        <v>814989422</v>
      </c>
      <c r="AE14" s="31">
        <v>1721680303</v>
      </c>
      <c r="AF14" s="31">
        <v>27328414</v>
      </c>
      <c r="AI14" t="e">
        <f t="shared" ref="AI5:AI14" si="4">DEC2HEX(Z14/AI13)</f>
        <v>#VALUE!</v>
      </c>
      <c r="BA14" s="1" t="s">
        <v>80</v>
      </c>
      <c r="BB14" s="1" t="s">
        <v>10</v>
      </c>
      <c r="BC14" s="1" t="s">
        <v>11</v>
      </c>
      <c r="BD14" s="1" t="s">
        <v>12</v>
      </c>
      <c r="BE14" s="1" t="s">
        <v>13</v>
      </c>
      <c r="BF14" s="1" t="s">
        <v>14</v>
      </c>
      <c r="BG14" s="1" t="s">
        <v>15</v>
      </c>
      <c r="BH14" s="1" t="s">
        <v>16</v>
      </c>
      <c r="BI14" s="1" t="s">
        <v>17</v>
      </c>
      <c r="BJ14" s="1" t="s">
        <v>18</v>
      </c>
    </row>
    <row r="15" spans="2:69">
      <c r="B15" s="49"/>
      <c r="C15" s="54"/>
      <c r="D15" s="17" t="s">
        <v>72</v>
      </c>
      <c r="E15" s="6">
        <f>SUM(E14,F14)</f>
        <v>24538</v>
      </c>
      <c r="F15" s="6">
        <f>E15/1024</f>
        <v>23.962890625</v>
      </c>
      <c r="G15" s="6" t="s">
        <v>73</v>
      </c>
      <c r="H15" s="12"/>
      <c r="I15" s="12"/>
      <c r="W15" s="1" t="s">
        <v>65</v>
      </c>
      <c r="X15" s="30">
        <v>470994406</v>
      </c>
      <c r="Y15" s="30">
        <v>694339163</v>
      </c>
      <c r="Z15" s="30">
        <v>534629122</v>
      </c>
      <c r="AA15" s="30">
        <v>123891439</v>
      </c>
      <c r="AB15" s="30">
        <v>84076059</v>
      </c>
      <c r="AC15" s="1">
        <v>0</v>
      </c>
      <c r="AD15" s="30">
        <v>614427236</v>
      </c>
      <c r="AE15" s="30">
        <v>1357023856</v>
      </c>
      <c r="AF15" s="30">
        <v>25006719</v>
      </c>
      <c r="BA15" s="1" t="s">
        <v>52</v>
      </c>
      <c r="BB15" s="30">
        <v>470994406</v>
      </c>
      <c r="BC15" s="30">
        <v>694339163</v>
      </c>
      <c r="BD15" s="30">
        <v>534629122</v>
      </c>
      <c r="BE15" s="30">
        <v>123891439</v>
      </c>
      <c r="BF15" s="30">
        <v>84076059</v>
      </c>
      <c r="BG15" s="1">
        <v>0</v>
      </c>
      <c r="BH15" s="30">
        <v>614427236</v>
      </c>
      <c r="BI15" s="30">
        <v>1357023856</v>
      </c>
      <c r="BJ15" s="30">
        <v>25006719</v>
      </c>
    </row>
    <row r="16" spans="2:69">
      <c r="B16" s="49"/>
      <c r="C16" s="54"/>
      <c r="D16" s="3" t="s">
        <v>77</v>
      </c>
      <c r="E16" s="14">
        <f>SUM(G14,H14)</f>
        <v>300</v>
      </c>
      <c r="F16" s="1">
        <f>E16/1024</f>
        <v>0.29296875</v>
      </c>
      <c r="G16" s="14" t="s">
        <v>73</v>
      </c>
      <c r="H16" s="9"/>
      <c r="I16" s="5"/>
      <c r="W16" s="1" t="s">
        <v>83</v>
      </c>
      <c r="X16" s="30">
        <v>470994406</v>
      </c>
      <c r="Y16" s="30">
        <v>694339163</v>
      </c>
      <c r="Z16" s="30">
        <v>534629122</v>
      </c>
      <c r="AA16" s="30">
        <v>123891439</v>
      </c>
      <c r="AB16" s="30">
        <v>84076059</v>
      </c>
      <c r="AC16" s="1">
        <v>0</v>
      </c>
      <c r="AD16" s="30">
        <v>0</v>
      </c>
      <c r="AE16" s="30">
        <v>1357023856</v>
      </c>
      <c r="AF16" s="30">
        <v>25006719</v>
      </c>
      <c r="AL16" t="s">
        <v>0</v>
      </c>
      <c r="AM16" t="s">
        <v>4</v>
      </c>
      <c r="AN16" s="47" t="s">
        <v>3</v>
      </c>
      <c r="AO16" s="47"/>
      <c r="AP16" s="47"/>
      <c r="AQ16" s="47"/>
      <c r="BA16" s="1" t="s">
        <v>67</v>
      </c>
      <c r="BB16" s="30">
        <v>470994406</v>
      </c>
      <c r="BC16" s="30">
        <v>694339163</v>
      </c>
      <c r="BD16" s="30">
        <v>534629122</v>
      </c>
      <c r="BE16" s="30">
        <v>123891439</v>
      </c>
      <c r="BF16" s="30">
        <v>84076059</v>
      </c>
      <c r="BG16" s="1">
        <v>0</v>
      </c>
      <c r="BH16" s="30">
        <v>0</v>
      </c>
      <c r="BI16" s="30">
        <v>742596504</v>
      </c>
      <c r="BJ16" s="30">
        <v>25006716</v>
      </c>
    </row>
    <row r="17" spans="2:69">
      <c r="B17" s="49"/>
      <c r="C17" s="54"/>
      <c r="D17" s="3" t="s">
        <v>6</v>
      </c>
      <c r="E17" s="14">
        <f>SUM(E14:G14)</f>
        <v>24538</v>
      </c>
      <c r="F17" s="1">
        <f t="shared" ref="F16:F17" si="5">E17/1024</f>
        <v>23.962890625</v>
      </c>
      <c r="G17" s="14" t="s">
        <v>73</v>
      </c>
      <c r="H17" s="9"/>
      <c r="I17" s="5"/>
      <c r="W17" s="1" t="s">
        <v>82</v>
      </c>
      <c r="X17" s="1"/>
      <c r="Y17" s="1"/>
      <c r="Z17" s="1"/>
      <c r="AA17" s="1"/>
      <c r="AB17" s="1"/>
      <c r="AC17" s="1"/>
      <c r="AD17" s="1"/>
      <c r="AE17" s="1"/>
      <c r="AF17" s="1"/>
      <c r="AL17" s="34" t="s">
        <v>75</v>
      </c>
      <c r="AM17" s="34" t="s">
        <v>22</v>
      </c>
      <c r="AN17" s="38" t="s">
        <v>25</v>
      </c>
      <c r="AO17" s="38" t="s">
        <v>26</v>
      </c>
      <c r="AP17" s="38" t="s">
        <v>27</v>
      </c>
      <c r="AQ17" s="38" t="s">
        <v>28</v>
      </c>
      <c r="AR17" s="34" t="s">
        <v>33</v>
      </c>
      <c r="AS17" s="39" t="s">
        <v>34</v>
      </c>
      <c r="AT17" s="33" t="s">
        <v>84</v>
      </c>
      <c r="AU17" s="33" t="s">
        <v>17</v>
      </c>
      <c r="AV17" s="33" t="s">
        <v>36</v>
      </c>
      <c r="AW17" s="33" t="s">
        <v>37</v>
      </c>
      <c r="AX17" s="33" t="s">
        <v>38</v>
      </c>
      <c r="BA17" s="1" t="s">
        <v>79</v>
      </c>
      <c r="BB17" s="30">
        <v>470994406</v>
      </c>
      <c r="BC17" s="30">
        <v>694339163</v>
      </c>
      <c r="BD17" s="30">
        <v>534629122</v>
      </c>
      <c r="BE17" s="30">
        <v>123891439</v>
      </c>
      <c r="BF17" s="30">
        <v>84076059</v>
      </c>
      <c r="BG17" s="1">
        <v>0</v>
      </c>
      <c r="BH17" s="30">
        <v>0</v>
      </c>
      <c r="BI17" s="30">
        <v>742596504</v>
      </c>
      <c r="BJ17" s="30">
        <v>25006716</v>
      </c>
    </row>
    <row r="18" spans="2:69">
      <c r="C18" s="12"/>
      <c r="D18" s="5"/>
      <c r="E18" s="5"/>
      <c r="F18" s="5"/>
      <c r="G18" s="5"/>
      <c r="H18" s="5"/>
      <c r="I18" s="5"/>
      <c r="AL18" s="44" t="s">
        <v>85</v>
      </c>
      <c r="AM18" s="33" t="s">
        <v>6</v>
      </c>
      <c r="AN18" s="35" cm="1">
        <f t="array" ref="AN18">_xlfn.LET(_xlpm.v,1,_xlpm.b,AM16,IF(_xlpm.b="Dec",HEX2DEC(_xlpm.v),IF(_xlpm.b="Hex",_xlpm.v,IF(_xlpm.b="Bin",HEX2BIN(_xlpm.v),IF(_xlpm.b="Oct",HEX2OCT(_xlpm.v),"?")))))</f>
        <v>1</v>
      </c>
      <c r="AO18" s="35" cm="1">
        <f t="array" ref="AO18">_xlfn.LET(_xlpm.v,1,_xlpm.b,AM16,IF(_xlpm.b="Dec",HEX2DEC(_xlpm.v),IF(_xlpm.b="Hex",_xlpm.v,IF(_xlpm.b="Bin",HEX2BIN(_xlpm.v),IF(_xlpm.b="Oct",HEX2OCT(_xlpm.v),"?")))))</f>
        <v>1</v>
      </c>
      <c r="AP18" s="35" cm="1">
        <f t="array" ref="AP18">_xlfn.LET(_xlpm.v,1,_xlpm.b,AM16,IF(_xlpm.b="Dec",HEX2DEC(_xlpm.v),IF(_xlpm.b="Hex",_xlpm.v,IF(_xlpm.b="Bin",HEX2BIN(_xlpm.v),IF(_xlpm.b="Oct",HEX2OCT(_xlpm.v),"?")))))</f>
        <v>1</v>
      </c>
      <c r="AQ18" s="35" cm="1">
        <f t="array" ref="AQ18">_xlfn.LET(_xlpm.v,1,_xlpm.b,AM16,IF(_xlpm.b="Dec",HEX2DEC(_xlpm.v),IF(_xlpm.b="Hex",_xlpm.v,IF(_xlpm.b="Bin",HEX2BIN(_xlpm.v),IF(_xlpm.b="Oct",HEX2OCT(_xlpm.v),"?")))))</f>
        <v>1</v>
      </c>
      <c r="AR18" s="35" cm="1">
        <f t="array" ref="AR18">_xlfn.LET(_xlpm.v,"53B2F54",_xlpm.b,AM16,IF(_xlpm.b="Dec",HEX2DEC(_xlpm.v),IF(_xlpm.b="Hex",_xlpm.v,IF(_xlpm.b="Bin",HEX2BIN(_xlpm.v),IF(_xlpm.b="Oct",HEX2OCT(_xlpm.v),"?")))))</f>
        <v>87764820</v>
      </c>
      <c r="AS18" s="37" cm="1">
        <f t="array" ref="AS18">_xlfn.LET(_xlpm.v,"E",_xlpm.b,AM16,IF(_xlpm.b="Dec",HEX2DEC(_xlpm.v),IF(_xlpm.b="Hex",_xlpm.v,IF(_xlpm.b="Bin",HEX2BIN(_xlpm.v),IF(_xlpm.b="Oct",HEX2OCT(_xlpm.v),"?")))))</f>
        <v>14</v>
      </c>
      <c r="AT18" s="41" cm="1">
        <f t="array" ref="AT18">_xlfn.LET(_xlpm.v,DEC2HEX(814989422),_xlpm.b,AM16,IF(_xlpm.b="Dec",HEX2DEC(_xlpm.v),IF(_xlpm.b="Hex",_xlpm.v,IF(_xlpm.b="Bin",HEX2BIN(_xlpm.v),IF(_xlpm.b="Oct",HEX2OCT(_xlpm.v),"?")))))</f>
        <v>814989422</v>
      </c>
      <c r="AU18" s="41" cm="1">
        <f t="array" ref="AU18">_xlfn.LET(_xlpm.v,DEC2HEX(1721680303),_xlpm.b,AM16,IF(_xlpm.b="Dec",HEX2DEC(_xlpm.v),IF(_xlpm.b="Hex",_xlpm.v,IF(_xlpm.b="Bin",HEX2BIN(_xlpm.v),IF(_xlpm.b="Oct",HEX2OCT(_xlpm.v),"?")))))</f>
        <v>1721680303</v>
      </c>
      <c r="AV18" s="41" cm="1">
        <f t="array" ref="AV18">_xlfn.LET(_xlpm.v,"20D6A46",_xlpm.b,AM16,IF(_xlpm.b="Dec",HEX2DEC(_xlpm.v),IF(_xlpm.b="Hex",_xlpm.v,IF(_xlpm.b="Bin",HEX2BIN(_xlpm.v),IF(_xlpm.b="Oct",HEX2OCT(_xlpm.v),"?")))))</f>
        <v>34433606</v>
      </c>
      <c r="AW18" s="41" cm="1">
        <f t="array" ref="AW18">_xlfn.LET(_xlpm.v,"669EC1AF",_xlpm.b,AM16,IF(_xlpm.b="Dec",HEX2DEC(_xlpm.v),IF(_xlpm.b="Hex",_xlpm.v,IF(_xlpm.b="Bin",HEX2BIN(_xlpm.v),IF(_xlpm.b="Oct",HEX2OCT(_xlpm.v),"?")))))</f>
        <v>1721680303</v>
      </c>
      <c r="AX18" s="45" cm="1">
        <f t="array" ref="AX18">_xlfn.LET(_xlpm.v,"D73",_xlpm.b,AM16,IF(_xlpm.b="Dec",HEX2DEC(_xlpm.v),IF(_xlpm.b="Hex",_xlpm.v,IF(_xlpm.b="Bin",HEX2BIN(_xlpm.v),IF(_xlpm.b="Oct",HEX2OCT(_xlpm.v),"?")))))</f>
        <v>3443</v>
      </c>
      <c r="BA18" s="1" t="s">
        <v>86</v>
      </c>
      <c r="BB18" s="30">
        <v>470994406</v>
      </c>
      <c r="BC18" s="30">
        <v>694339163</v>
      </c>
      <c r="BD18" s="30">
        <v>534629122</v>
      </c>
      <c r="BE18" s="30">
        <v>123891439</v>
      </c>
      <c r="BF18" s="30">
        <v>84076059</v>
      </c>
      <c r="BG18" s="1">
        <v>0</v>
      </c>
      <c r="BH18" s="30">
        <v>243790188</v>
      </c>
      <c r="BI18" s="30">
        <v>986386808</v>
      </c>
      <c r="BJ18" s="30">
        <v>25006719</v>
      </c>
    </row>
    <row r="19" spans="2:69">
      <c r="C19" s="54" t="s">
        <v>50</v>
      </c>
      <c r="D19" s="1" t="s">
        <v>54</v>
      </c>
      <c r="E19" s="1">
        <v>7280</v>
      </c>
      <c r="F19" s="1">
        <v>40</v>
      </c>
      <c r="G19" s="1">
        <v>108</v>
      </c>
      <c r="H19" s="1">
        <v>22197156</v>
      </c>
      <c r="I19" s="1">
        <v>25236</v>
      </c>
      <c r="W19" s="15" t="s">
        <v>87</v>
      </c>
      <c r="AL19" s="44"/>
      <c r="AM19" s="33" t="s">
        <v>7</v>
      </c>
      <c r="AN19" s="35" cm="1">
        <f t="array" ref="AN19">_xlfn.LET(_xlpm.v,"FA",_xlpm.b,AM16,IF(_xlpm.b="Dec",HEX2DEC(_xlpm.v),IF(_xlpm.b="Hex",_xlpm.v,IF(_xlpm.b="Bin",HEX2BIN(_xlpm.v),IF(_xlpm.b="Oct",HEX2OCT(_xlpm.v),"?")))))</f>
        <v>250</v>
      </c>
      <c r="AO19" s="35" cm="1">
        <f t="array" ref="AO19">_xlfn.LET(_xlpm.v,"FA",_xlpm.b,AM16,IF(_xlpm.b="Dec",HEX2DEC(_xlpm.v),IF(_xlpm.b="Hex",_xlpm.v,IF(_xlpm.b="Bin",HEX2BIN(_xlpm.v),IF(_xlpm.b="Oct",HEX2OCT(_xlpm.v),"?")))))</f>
        <v>250</v>
      </c>
      <c r="AP19" s="35" cm="1">
        <f t="array" ref="AP19">_xlfn.LET(_xlpm.v,32,_xlpm.b,AM16,IF(_xlpm.b="Dec",HEX2DEC(_xlpm.v),IF(_xlpm.b="Hex",_xlpm.v,IF(_xlpm.b="Bin",HEX2BIN(_xlpm.v),IF(_xlpm.b="Oct",HEX2OCT(_xlpm.v),"?")))))</f>
        <v>50</v>
      </c>
      <c r="AQ19" s="35" cm="1">
        <f t="array" ref="AQ19">_xlfn.LET(_xlpm.v,32,_xlpm.b,AM16,IF(_xlpm.b="Dec",HEX2DEC(_xlpm.v),IF(_xlpm.b="Hex",_xlpm.v,IF(_xlpm.b="Bin",HEX2BIN(_xlpm.v),IF(_xlpm.b="Oct",HEX2OCT(_xlpm.v),"?")))))</f>
        <v>50</v>
      </c>
      <c r="AR19" s="35" cm="1">
        <f t="array" ref="AR19">_xlfn.LET(_xlpm.v,"1B2F1924",_xlpm.b,AM16,IF(_xlpm.b="Dec",HEX2DEC(_xlpm.v),IF(_xlpm.b="Hex",_xlpm.v,IF(_xlpm.b="Bin",HEX2BIN(_xlpm.v),IF(_xlpm.b="Oct",HEX2OCT(_xlpm.v),"?")))))</f>
        <v>456071460</v>
      </c>
      <c r="AS19" s="37" cm="1">
        <f t="array" ref="AS19">_xlfn.LET(_xlpm.v,12,_xlpm.b,AM16,IF(_xlpm.b="Dec",HEX2DEC(_xlpm.v),IF(_xlpm.b="Hex",_xlpm.v,IF(_xlpm.b="Bin",HEX2BIN(_xlpm.v),IF(_xlpm.b="Oct",HEX2OCT(_xlpm.v),"?")))))</f>
        <v>18</v>
      </c>
      <c r="AT19" s="43"/>
      <c r="AU19" s="43"/>
      <c r="AV19" s="43"/>
      <c r="AW19" s="43"/>
      <c r="AX19" s="46"/>
    </row>
    <row r="20" spans="2:69">
      <c r="C20" s="54"/>
      <c r="D20" s="1" t="s">
        <v>61</v>
      </c>
      <c r="E20" s="1">
        <v>23112</v>
      </c>
      <c r="F20" s="1">
        <v>610</v>
      </c>
      <c r="G20" s="1">
        <v>0</v>
      </c>
      <c r="H20" s="1">
        <v>300</v>
      </c>
      <c r="I20" s="1">
        <v>8140</v>
      </c>
      <c r="X20">
        <f>100*(X11-X12)/X11</f>
        <v>-36.083384247283682</v>
      </c>
      <c r="Y20">
        <f t="shared" ref="Y20:AF20" si="6">100*(Y11-Y12)/Y11</f>
        <v>-25.719812959790005</v>
      </c>
      <c r="Z20">
        <f t="shared" si="6"/>
        <v>-33.568936383637997</v>
      </c>
      <c r="AA20">
        <f t="shared" si="6"/>
        <v>-4.3448977617771574</v>
      </c>
      <c r="AB20">
        <f t="shared" si="6"/>
        <v>-39.735910637779789</v>
      </c>
      <c r="AC20">
        <v>0</v>
      </c>
      <c r="AD20">
        <f t="shared" ref="AD20:AF20" si="7">100*(AD11-AD12)/AD11</f>
        <v>-4.0787123248711277</v>
      </c>
      <c r="AE20">
        <f t="shared" si="7"/>
        <v>-15.204398059047787</v>
      </c>
      <c r="AF20">
        <f t="shared" si="7"/>
        <v>-45.76707849806273</v>
      </c>
      <c r="AL20" s="44" t="s">
        <v>88</v>
      </c>
      <c r="AM20" s="33" t="s">
        <v>6</v>
      </c>
      <c r="AN20" s="35" cm="1">
        <f t="array" ref="AN20">_xlfn.LET(_xlpm.v,"1",_xlpm.b,AM16,IF(_xlpm.b="Dec",HEX2DEC(_xlpm.v),IF(_xlpm.b="Hex",_xlpm.v,IF(_xlpm.b="Bin",HEX2BIN(_xlpm.v),IF(_xlpm.b="Oct",HEX2OCT(_xlpm.v),"?")))))</f>
        <v>1</v>
      </c>
      <c r="AO20" s="35" cm="1">
        <f t="array" ref="AO20">_xlfn.LET(_xlpm.v,1,_xlpm.b,AM16,IF(_xlpm.b="Dec",HEX2DEC(_xlpm.v),IF(_xlpm.b="Hex",_xlpm.v,IF(_xlpm.b="Bin",HEX2BIN(_xlpm.v),IF(_xlpm.b="Oct",HEX2OCT(_xlpm.v),"?")))))</f>
        <v>1</v>
      </c>
      <c r="AP20" s="35" cm="1">
        <f t="array" ref="AP20">_xlfn.LET(_xlpm.v,1,_xlpm.b,AM16,IF(_xlpm.b="Dec",HEX2DEC(_xlpm.v),IF(_xlpm.b="Hex",_xlpm.v,IF(_xlpm.b="Bin",HEX2BIN(_xlpm.v),IF(_xlpm.b="Oct",HEX2OCT(_xlpm.v),"?")))))</f>
        <v>1</v>
      </c>
      <c r="AQ20" s="35" cm="1">
        <f t="array" ref="AQ20">_xlfn.LET(_xlpm.v,1,_xlpm.b,AM16,IF(_xlpm.b="Dec",HEX2DEC(_xlpm.v),IF(_xlpm.b="Hex",_xlpm.v,IF(_xlpm.b="Bin",HEX2BIN(_xlpm.v),IF(_xlpm.b="Oct",HEX2OCT(_xlpm.v),"?")))))</f>
        <v>1</v>
      </c>
      <c r="AR20" s="35" cm="1">
        <f t="array" ref="AR20">_xlfn.LET(_xlpm.v,"53B2F54",_xlpm.b,AM16,IF(_xlpm.b="Dec",HEX2DEC(_xlpm.v),IF(_xlpm.b="Hex",_xlpm.v,IF(_xlpm.b="Bin",HEX2BIN(_xlpm.v),IF(_xlpm.b="Oct",HEX2OCT(_xlpm.v),"?")))))</f>
        <v>87764820</v>
      </c>
      <c r="AS20" s="37" cm="1">
        <f t="array" ref="AS20">_xlfn.LET(_xlpm.v,"E",_xlpm.b,AM16,IF(_xlpm.b="Dec",HEX2DEC(_xlpm.v),IF(_xlpm.b="Hex",_xlpm.v,IF(_xlpm.b="Bin",HEX2BIN(_xlpm.v),IF(_xlpm.b="Oct",HEX2OCT(_xlpm.v),"?")))))</f>
        <v>14</v>
      </c>
      <c r="AT20" s="41" cm="1">
        <f t="array" ref="AT20">_xlfn.LET(_xlpm.v,DEC2HEX(1629978844),_xlpm.b,AM16,IF(_xlpm.b="Dec",HEX2DEC(_xlpm.v),IF(_xlpm.b="Hex",_xlpm.v,IF(_xlpm.b="Bin",HEX2BIN(_xlpm.v),IF(_xlpm.b="Oct",HEX2OCT(_xlpm.v),"?")))))</f>
        <v>1629978844</v>
      </c>
      <c r="AU20" s="41" cm="1">
        <f t="array" ref="AU20">_xlfn.LET(_xlpm.v,DEC2HEX(2536669725),_xlpm.b,AM16,IF(_xlpm.b="Dec",HEX2DEC(_xlpm.v),IF(_xlpm.b="Hex",_xlpm.v,IF(_xlpm.b="Bin",HEX2BIN(_xlpm.v),IF(_xlpm.b="Oct",HEX2OCT(_xlpm.v),"?")))))</f>
        <v>2536669725</v>
      </c>
      <c r="AV20" s="41" cm="1">
        <f t="array" ref="AV20">_xlfn.LET(_xlpm.v,"3062152",_xlpm.b,AM16,IF(_xlpm.b="Dec",HEX2DEC(_xlpm.v),IF(_xlpm.b="Hex",_xlpm.v,IF(_xlpm.b="Bin",HEX2BIN(_xlpm.v),IF(_xlpm.b="Oct",HEX2OCT(_xlpm.v),"?")))))</f>
        <v>50733394</v>
      </c>
      <c r="AW20" s="41" cm="1">
        <f t="array" ref="AW20">_xlfn.LET(_xlpm.v,"9732821D",_xlpm.b,AM16,IF(_xlpm.b="Dec",HEX2DEC(_xlpm.v),IF(_xlpm.b="Hex",_xlpm.v,IF(_xlpm.b="Bin",HEX2BIN(_xlpm.v),IF(_xlpm.b="Oct",HEX2OCT(_xlpm.v),"?")))))</f>
        <v>2536669725</v>
      </c>
      <c r="AX20" s="45" cm="1">
        <f t="array" ref="AX20">_xlfn.LET(_xlpm.v,"13D1",_xlpm.b,AM16,IF(_xlpm.b="Dec",HEX2DEC(_xlpm.v),IF(_xlpm.b="Hex",_xlpm.v,IF(_xlpm.b="Bin",HEX2BIN(_xlpm.v),IF(_xlpm.b="Oct",HEX2OCT(_xlpm.v),"?")))))</f>
        <v>5073</v>
      </c>
    </row>
    <row r="21" spans="2:69">
      <c r="C21" s="54"/>
      <c r="D21" s="1" t="s">
        <v>68</v>
      </c>
      <c r="E21" s="1">
        <f>SUM(E19:E20)</f>
        <v>30392</v>
      </c>
      <c r="F21" s="1">
        <f t="shared" ref="F21:H21" si="8">SUM(F19:F20)</f>
        <v>650</v>
      </c>
      <c r="G21" s="1">
        <f t="shared" si="8"/>
        <v>108</v>
      </c>
      <c r="H21" s="1">
        <f t="shared" si="8"/>
        <v>22197456</v>
      </c>
      <c r="I21" s="1">
        <f>SUM(I19:I20)</f>
        <v>33376</v>
      </c>
      <c r="X21">
        <f>100*(X11-X13)/X11</f>
        <v>9.6076497018231475</v>
      </c>
      <c r="Y21">
        <f t="shared" ref="Y21:AF21" si="9">100*(Y11-Y13)/Y11</f>
        <v>16.179763979361756</v>
      </c>
      <c r="Z21">
        <f t="shared" si="9"/>
        <v>10.956271613360709</v>
      </c>
      <c r="AA21">
        <f t="shared" si="9"/>
        <v>29.925349777708345</v>
      </c>
      <c r="AB21">
        <f t="shared" si="9"/>
        <v>21.426050756689044</v>
      </c>
      <c r="AC21">
        <v>0</v>
      </c>
      <c r="AD21">
        <f t="shared" ref="AD21:AF21" si="10">100*(AD11-AD13)/AD11</f>
        <v>34.323186340221362</v>
      </c>
      <c r="AE21">
        <f t="shared" si="10"/>
        <v>25.88281042239208</v>
      </c>
      <c r="AF21">
        <f t="shared" si="10"/>
        <v>22.549285871758944</v>
      </c>
      <c r="AL21" s="44"/>
      <c r="AM21" s="33" t="s">
        <v>7</v>
      </c>
      <c r="AN21" s="35" cm="1">
        <f t="array" ref="AN21">_xlfn.LET(_xlpm.v,"1F4",_xlpm.b,AM16,IF(_xlpm.b="Dec",HEX2DEC(_xlpm.v),IF(_xlpm.b="Hex",_xlpm.v,IF(_xlpm.b="Bin",HEX2BIN(_xlpm.v),IF(_xlpm.b="Oct",HEX2OCT(_xlpm.v),"?")))))</f>
        <v>500</v>
      </c>
      <c r="AO21" s="35" cm="1">
        <f t="array" ref="AO21">_xlfn.LET(_xlpm.v,"1F4",_xlpm.b,AM16,IF(_xlpm.b="Dec",HEX2DEC(_xlpm.v),IF(_xlpm.b="Hex",_xlpm.v,IF(_xlpm.b="Bin",HEX2BIN(_xlpm.v),IF(_xlpm.b="Oct",HEX2OCT(_xlpm.v),"?")))))</f>
        <v>500</v>
      </c>
      <c r="AP21" s="35" cm="1">
        <f t="array" ref="AP21">_xlfn.LET(_xlpm.v,64,_xlpm.b,AM16,IF(_xlpm.b="Dec",HEX2DEC(_xlpm.v),IF(_xlpm.b="Hex",_xlpm.v,IF(_xlpm.b="Bin",HEX2BIN(_xlpm.v),IF(_xlpm.b="Oct",HEX2OCT(_xlpm.v),"?")))))</f>
        <v>100</v>
      </c>
      <c r="AQ21" s="35" cm="1">
        <f t="array" ref="AQ21">_xlfn.LET(_xlpm.v,64,_xlpm.b,AM16,IF(_xlpm.b="Dec",HEX2DEC(_xlpm.v),IF(_xlpm.b="Hex",_xlpm.v,IF(_xlpm.b="Bin",HEX2BIN(_xlpm.v),IF(_xlpm.b="Oct",HEX2OCT(_xlpm.v),"?")))))</f>
        <v>100</v>
      </c>
      <c r="AR21" s="35" cm="1">
        <f t="array" ref="AR21">_xlfn.LET(_xlpm.v,"2D0D81BC",_xlpm.b,AM16,IF(_xlpm.b="Dec",HEX2DEC(_xlpm.v),IF(_xlpm.b="Hex",_xlpm.v,IF(_xlpm.b="Bin",HEX2BIN(_xlpm.v),IF(_xlpm.b="Oct",HEX2OCT(_xlpm.v),"?")))))</f>
        <v>755859900</v>
      </c>
      <c r="AS21" s="37" cm="1">
        <f t="array" ref="AS21">_xlfn.LET(_xlpm.v,"22",_xlpm.b,AM16,IF(_xlpm.b="Dec",HEX2DEC(_xlpm.v),IF(_xlpm.b="Hex",_xlpm.v,IF(_xlpm.b="Bin",HEX2BIN(_xlpm.v),IF(_xlpm.b="Oct",HEX2OCT(_xlpm.v),"?")))))</f>
        <v>34</v>
      </c>
      <c r="AT21" s="43"/>
      <c r="AU21" s="43"/>
      <c r="AV21" s="43"/>
      <c r="AW21" s="43"/>
      <c r="AX21" s="46"/>
      <c r="BA21" t="s">
        <v>0</v>
      </c>
      <c r="BB21" t="s">
        <v>4</v>
      </c>
      <c r="BC21" s="47" t="s">
        <v>2</v>
      </c>
      <c r="BD21" s="47"/>
      <c r="BE21" s="48" t="s">
        <v>3</v>
      </c>
      <c r="BF21" s="47"/>
      <c r="BG21" s="47"/>
      <c r="BH21" s="47"/>
    </row>
    <row r="22" spans="2:69">
      <c r="C22" s="54"/>
      <c r="D22" s="1" t="s">
        <v>72</v>
      </c>
      <c r="E22" s="1">
        <f>SUM(E21,F21)</f>
        <v>31042</v>
      </c>
      <c r="F22" s="1">
        <f>E22/1024</f>
        <v>30.314453125</v>
      </c>
      <c r="G22" s="1" t="s">
        <v>73</v>
      </c>
      <c r="H22" s="5"/>
      <c r="I22" s="5"/>
      <c r="X22">
        <f>100*(X11-X14)/X11</f>
        <v>9.6076497018231475</v>
      </c>
      <c r="Y22">
        <f t="shared" ref="Y22:AF22" si="11">100*(Y11-Y14)/Y11</f>
        <v>16.179763979361756</v>
      </c>
      <c r="Z22">
        <f t="shared" si="11"/>
        <v>10.956271613360709</v>
      </c>
      <c r="AA22">
        <f t="shared" si="11"/>
        <v>29.925349777708345</v>
      </c>
      <c r="AB22">
        <f t="shared" si="11"/>
        <v>21.426050756689044</v>
      </c>
      <c r="AC22">
        <v>0</v>
      </c>
      <c r="AD22">
        <f t="shared" ref="AD22:AF22" si="12">100*(AD11-AD14)/AD11</f>
        <v>34.323186340221362</v>
      </c>
      <c r="AE22">
        <f t="shared" si="12"/>
        <v>25.88281042239208</v>
      </c>
      <c r="AF22">
        <f t="shared" si="12"/>
        <v>22.549285871758944</v>
      </c>
      <c r="AL22" s="44" t="s">
        <v>89</v>
      </c>
      <c r="AM22" s="33" t="s">
        <v>6</v>
      </c>
      <c r="AN22" s="35" cm="1">
        <f t="array" ref="AN22">_xlfn.LET(_xlpm.v,1,_xlpm.b,AM16,IF(_xlpm.b="Dec",HEX2DEC(_xlpm.v),IF(_xlpm.b="Hex",_xlpm.v,IF(_xlpm.b="Bin",HEX2BIN(_xlpm.v),IF(_xlpm.b="Oct",HEX2OCT(_xlpm.v),"?")))))</f>
        <v>1</v>
      </c>
      <c r="AO22" s="35" cm="1">
        <f t="array" ref="AO22">_xlfn.LET(_xlpm.v,1,_xlpm.b,AM16,IF(_xlpm.b="Dec",HEX2DEC(_xlpm.v),IF(_xlpm.b="Hex",_xlpm.v,IF(_xlpm.b="Bin",HEX2BIN(_xlpm.v),IF(_xlpm.b="Oct",HEX2OCT(_xlpm.v),"?")))))</f>
        <v>1</v>
      </c>
      <c r="AP22" s="35" cm="1">
        <f t="array" ref="AP22">_xlfn.LET(_xlpm.v,1,_xlpm.b,AM16,IF(_xlpm.b="Dec",HEX2DEC(_xlpm.v),IF(_xlpm.b="Hex",_xlpm.v,IF(_xlpm.b="Bin",HEX2BIN(_xlpm.v),IF(_xlpm.b="Oct",HEX2OCT(_xlpm.v),"?")))))</f>
        <v>1</v>
      </c>
      <c r="AQ22" s="35" cm="1">
        <f t="array" ref="AQ22">_xlfn.LET(_xlpm.v,1,_xlpm.b,AM16,IF(_xlpm.b="Dec",HEX2DEC(_xlpm.v),IF(_xlpm.b="Hex",_xlpm.v,IF(_xlpm.b="Bin",HEX2BIN(_xlpm.v),IF(_xlpm.b="Oct",HEX2OCT(_xlpm.v),"?")))))</f>
        <v>1</v>
      </c>
      <c r="AR22" s="35" cm="1">
        <f t="array" ref="AR22">_xlfn.LET(_xlpm.v,"53B2F54",_xlpm.b,AM16,IF(_xlpm.b="Dec",HEX2DEC(_xlpm.v),IF(_xlpm.b="Hex",_xlpm.v,IF(_xlpm.b="Bin",HEX2BIN(_xlpm.v),IF(_xlpm.b="Oct",HEX2OCT(_xlpm.v),"?")))))</f>
        <v>87764820</v>
      </c>
      <c r="AS22" s="37" cm="1">
        <f t="array" ref="AS22">_xlfn.LET(_xlpm.v,"E",_xlpm.b,AM16,IF(_xlpm.b="Dec",HEX2DEC(_xlpm.v),IF(_xlpm.b="Hex",_xlpm.v,IF(_xlpm.b="Bin",HEX2BIN(_xlpm.v),IF(_xlpm.b="Oct",HEX2OCT(_xlpm.v),"?")))))</f>
        <v>14</v>
      </c>
      <c r="AT22" s="41" cm="1">
        <f t="array" ref="AT22">_xlfn.LET(_xlpm.v,DEC2HEX(407494711),_xlpm.b,AM16,IF(_xlpm.b="Dec",HEX2DEC(_xlpm.v),IF(_xlpm.b="Hex",_xlpm.v,IF(_xlpm.b="Bin",HEX2BIN(_xlpm.v),IF(_xlpm.b="Oct",HEX2OCT(_xlpm.v),"?")))))</f>
        <v>407494711</v>
      </c>
      <c r="AU22" s="41" cm="1">
        <f t="array" ref="AU22">_xlfn.LET(_xlpm.v,DEC2HEX(1314185592),_xlpm.b,AM16,IF(_xlpm.b="Dec",HEX2DEC(_xlpm.v),IF(_xlpm.b="Hex",_xlpm.v,IF(_xlpm.b="Bin",HEX2BIN(_xlpm.v),IF(_xlpm.b="Oct",HEX2OCT(_xlpm.v),"?")))))</f>
        <v>1314185592</v>
      </c>
      <c r="AV22" s="41" cm="1">
        <f t="array" ref="AV22">_xlfn.LET(_xlpm.v,"1910EBF",_xlpm.b,AM16,IF(_xlpm.b="Dec",HEX2DEC(_xlpm.v),IF(_xlpm.b="Hex",_xlpm.v,IF(_xlpm.b="Bin",HEX2BIN(_xlpm.v),IF(_xlpm.b="Oct",HEX2OCT(_xlpm.v),"?")))))</f>
        <v>26283711</v>
      </c>
      <c r="AW22" s="41" cm="1">
        <f t="array" ref="AW22">_xlfn.LET(_xlpm.v,"4E54E178",_xlpm.b,AM16,IF(_xlpm.b="Dec",HEX2DEC(_xlpm.v),IF(_xlpm.b="Hex",_xlpm.v,IF(_xlpm.b="Bin",HEX2BIN(_xlpm.v),IF(_xlpm.b="Oct",HEX2OCT(_xlpm.v),"?")))))</f>
        <v>1314185592</v>
      </c>
      <c r="AX22" s="45" cm="1">
        <f t="array" ref="AX22">_xlfn.LET(_xlpm.v,"A44",_xlpm.b,AM16,IF(_xlpm.b="Dec",HEX2DEC(_xlpm.v),IF(_xlpm.b="Hex",_xlpm.v,IF(_xlpm.b="Bin",HEX2BIN(_xlpm.v),IF(_xlpm.b="Oct",HEX2OCT(_xlpm.v),"?")))))</f>
        <v>2628</v>
      </c>
      <c r="BA22" s="34" t="s">
        <v>35</v>
      </c>
      <c r="BB22" s="2" t="s">
        <v>22</v>
      </c>
      <c r="BC22" s="18" t="s">
        <v>23</v>
      </c>
      <c r="BD22" s="18" t="s">
        <v>24</v>
      </c>
      <c r="BE22" s="18" t="s">
        <v>25</v>
      </c>
      <c r="BF22" s="18" t="s">
        <v>26</v>
      </c>
      <c r="BG22" s="18" t="s">
        <v>27</v>
      </c>
      <c r="BH22" s="18" t="s">
        <v>28</v>
      </c>
      <c r="BI22" s="2" t="s">
        <v>29</v>
      </c>
      <c r="BJ22" s="2" t="s">
        <v>30</v>
      </c>
      <c r="BK22" s="2" t="s">
        <v>31</v>
      </c>
      <c r="BL22" s="2" t="s">
        <v>32</v>
      </c>
      <c r="BM22" s="2" t="s">
        <v>33</v>
      </c>
      <c r="BN22" s="2" t="s">
        <v>34</v>
      </c>
      <c r="BO22" s="34" t="s">
        <v>36</v>
      </c>
      <c r="BP22" s="34" t="s">
        <v>37</v>
      </c>
      <c r="BQ22" s="34" t="s">
        <v>38</v>
      </c>
    </row>
    <row r="23" spans="2:69">
      <c r="C23" s="54"/>
      <c r="D23" s="1" t="s">
        <v>77</v>
      </c>
      <c r="E23" s="14">
        <f>SUM(G21,H21)</f>
        <v>22197564</v>
      </c>
      <c r="F23" s="1">
        <f>E23/(1024^2)</f>
        <v>21.169246673583984</v>
      </c>
      <c r="G23" s="14" t="s">
        <v>47</v>
      </c>
      <c r="H23" s="9"/>
      <c r="I23" s="5"/>
      <c r="X23">
        <f>100*(X11-X15)/X11</f>
        <v>24.060867572424147</v>
      </c>
      <c r="Y23">
        <f t="shared" ref="Y23:AF23" si="13">100*(Y11-Y15)/Y11</f>
        <v>32.126430147567547</v>
      </c>
      <c r="Z23">
        <f t="shared" si="13"/>
        <v>26.648141268489333</v>
      </c>
      <c r="AA23">
        <f t="shared" si="13"/>
        <v>46.804337194806685</v>
      </c>
      <c r="AB23">
        <f t="shared" si="13"/>
        <v>30.084732411758459</v>
      </c>
      <c r="AC23">
        <v>0</v>
      </c>
      <c r="AD23">
        <f t="shared" ref="AD23:AF23" si="14">100*(AD11-AD15)/AD11</f>
        <v>50.485709388428319</v>
      </c>
      <c r="AE23">
        <f t="shared" si="14"/>
        <v>41.581027429290096</v>
      </c>
      <c r="AF23">
        <f t="shared" si="14"/>
        <v>29.129138465398906</v>
      </c>
      <c r="AL23" s="44"/>
      <c r="AM23" s="33" t="s">
        <v>7</v>
      </c>
      <c r="AN23" s="35" cm="1">
        <f t="array" ref="AN23">_xlfn.LET(_xlpm.v,"7D",_xlpm.b,AM16,IF(_xlpm.b="Dec",HEX2DEC(_xlpm.v),IF(_xlpm.b="Hex",_xlpm.v,IF(_xlpm.b="Bin",HEX2BIN(_xlpm.v),IF(_xlpm.b="Oct",HEX2OCT(_xlpm.v),"?")))))</f>
        <v>125</v>
      </c>
      <c r="AO23" s="35" cm="1">
        <f t="array" ref="AO23">_xlfn.LET(_xlpm.v,"7D",_xlpm.b,AM16,IF(_xlpm.b="Dec",HEX2DEC(_xlpm.v),IF(_xlpm.b="Hex",_xlpm.v,IF(_xlpm.b="Bin",HEX2BIN(_xlpm.v),IF(_xlpm.b="Oct",HEX2OCT(_xlpm.v),"?")))))</f>
        <v>125</v>
      </c>
      <c r="AP23" s="35" cm="1">
        <f t="array" ref="AP23">_xlfn.LET(_xlpm.v,19,_xlpm.b,AM16,IF(_xlpm.b="Dec",HEX2DEC(_xlpm.v),IF(_xlpm.b="Hex",_xlpm.v,IF(_xlpm.b="Bin",HEX2BIN(_xlpm.v),IF(_xlpm.b="Oct",HEX2OCT(_xlpm.v),"?")))))</f>
        <v>25</v>
      </c>
      <c r="AQ23" s="35" cm="1">
        <f t="array" ref="AQ23">_xlfn.LET(_xlpm.v,19,_xlpm.b,AM16,IF(_xlpm.b="Dec",HEX2DEC(_xlpm.v),IF(_xlpm.b="Hex",_xlpm.v,IF(_xlpm.b="Bin",HEX2BIN(_xlpm.v),IF(_xlpm.b="Oct",HEX2OCT(_xlpm.v),"?")))))</f>
        <v>25</v>
      </c>
      <c r="AR23" s="35" cm="1">
        <f t="array" ref="AR23">_xlfn.LET(_xlpm.v,"123FE4D8",_xlpm.b,AM16,IF(_xlpm.b="Dec",HEX2DEC(_xlpm.v),IF(_xlpm.b="Hex",_xlpm.v,IF(_xlpm.b="Bin",HEX2BIN(_xlpm.v),IF(_xlpm.b="Oct",HEX2OCT(_xlpm.v),"?")))))</f>
        <v>306177240</v>
      </c>
      <c r="AS23" s="37" cm="1">
        <f t="array" ref="AS23">_xlfn.LET(_xlpm.v,"A",_xlpm.b,AM16,IF(_xlpm.b="Dec",HEX2DEC(_xlpm.v),IF(_xlpm.b="Hex",_xlpm.v,IF(_xlpm.b="Bin",HEX2BIN(_xlpm.v),IF(_xlpm.b="Oct",HEX2OCT(_xlpm.v),"?")))))</f>
        <v>10</v>
      </c>
      <c r="AT23" s="43"/>
      <c r="AU23" s="43"/>
      <c r="AV23" s="43"/>
      <c r="AW23" s="43"/>
      <c r="AX23" s="46"/>
      <c r="BA23" s="44" t="s">
        <v>86</v>
      </c>
      <c r="BB23" s="36" t="s">
        <v>6</v>
      </c>
      <c r="BC23" s="35" cm="1">
        <f t="array" ref="BC23">_xlfn.LET(_xlpm.v,0,_xlpm.b,BB21,IF(_xlpm.b="Dec",HEX2DEC(_xlpm.v),IF(_xlpm.b="Hex",_xlpm.v,IF(_xlpm.b="Bin",HEX2BIN(_xlpm.v),IF(_xlpm.b="Oct",HEX2OCT(_xlpm.v),"?")))))</f>
        <v>0</v>
      </c>
      <c r="BD23" s="35" cm="1">
        <f t="array" ref="BD23">_xlfn.LET(_xlpm.v,58000,_xlpm.b,BB21,IF(_xlpm.b="Dec",HEX2DEC(_xlpm.v),IF(_xlpm.b="Hex",_xlpm.v,IF(_xlpm.b="Bin",HEX2BIN(_xlpm.v),IF(_xlpm.b="Oct",HEX2OCT(_xlpm.v),"?")))))</f>
        <v>360448</v>
      </c>
      <c r="BE23" s="35" cm="1">
        <f t="array" ref="BE23">_xlfn.LET(_xlpm.v,1,_xlpm.b,BB21,IF(_xlpm.b="Dec",HEX2DEC(_xlpm.v),IF(_xlpm.b="Hex",_xlpm.v,IF(_xlpm.b="Bin",HEX2BIN(_xlpm.v),IF(_xlpm.b="Oct",HEX2OCT(_xlpm.v),"?")))))</f>
        <v>1</v>
      </c>
      <c r="BF23" s="35" cm="1">
        <f t="array" ref="BF23">_xlfn.LET(_xlpm.v,1,_xlpm.b,BB21,IF(_xlpm.b="Dec",HEX2DEC(_xlpm.v),IF(_xlpm.b="Hex",_xlpm.v,IF(_xlpm.b="Bin",HEX2BIN(_xlpm.v),IF(_xlpm.b="Oct",HEX2OCT(_xlpm.v),"?")))))</f>
        <v>1</v>
      </c>
      <c r="BG23" s="35" cm="1">
        <f t="array" ref="BG23">_xlfn.LET(_xlpm.v,1,_xlpm.b,BB21,IF(_xlpm.b="Dec",HEX2DEC(_xlpm.v),IF(_xlpm.b="Hex",_xlpm.v,IF(_xlpm.b="Bin",HEX2BIN(_xlpm.v),IF(_xlpm.b="Oct",HEX2OCT(_xlpm.v),"?")))))</f>
        <v>1</v>
      </c>
      <c r="BH23" s="35" cm="1">
        <f t="array" ref="BH23">_xlfn.LET(_xlpm.v,1,_xlpm.b,BB21,IF(_xlpm.b="Dec",HEX2DEC(_xlpm.v),IF(_xlpm.b="Hex",_xlpm.v,IF(_xlpm.b="Bin",HEX2BIN(_xlpm.v),IF(_xlpm.b="Oct",HEX2OCT(_xlpm.v),"?")))))</f>
        <v>1</v>
      </c>
      <c r="BI23" s="35" cm="1">
        <f t="array" ref="BI23">_xlfn.LET(_xlpm.v,"49F7FD0",_xlpm.b,BB21,IF(_xlpm.b="Dec",HEX2DEC(_xlpm.v),IF(_xlpm.b="Hex",_xlpm.v,IF(_xlpm.b="Bin",HEX2BIN(_xlpm.v),IF(_xlpm.b="Oct",HEX2OCT(_xlpm.v),"?")))))</f>
        <v>77561808</v>
      </c>
      <c r="BJ23" s="35" cm="1">
        <f t="array" ref="BJ23">_xlfn.LET(_xlpm.v,0,_xlpm.b,BB21,IF(_xlpm.b="Dec",HEX2DEC(_xlpm.v),IF(_xlpm.b="Hex",_xlpm.v,IF(_xlpm.b="Bin",HEX2BIN(_xlpm.v),IF(_xlpm.b="Oct",HEX2OCT(_xlpm.v),"?")))))</f>
        <v>0</v>
      </c>
      <c r="BK23" s="35" cm="1">
        <f t="array" ref="BK23">_xlfn.LET(_xlpm.v,"1E1FB08A",_xlpm.b,BB21,IF(_xlpm.b="Dec",HEX2DEC(_xlpm.v),IF(_xlpm.b="Hex",_xlpm.v,IF(_xlpm.b="Bin",HEX2BIN(_xlpm.v),IF(_xlpm.b="Oct",HEX2OCT(_xlpm.v),"?")))))</f>
        <v>505393290</v>
      </c>
      <c r="BL23" s="35" cm="1">
        <f t="array" ref="BL23">_xlfn.LET(_xlpm.v,"0",_xlpm.b,BB21,IF(_xlpm.b="Dec",HEX2DEC(_xlpm.v),IF(_xlpm.b="Hex",_xlpm.v,IF(_xlpm.b="Bin",HEX2BIN(_xlpm.v),IF(_xlpm.b="Oct",HEX2OCT(_xlpm.v),"?")))))</f>
        <v>0</v>
      </c>
      <c r="BM23" s="35" cm="1">
        <f t="array" ref="BM23">_xlfn.LET(_xlpm.v,"27491908",_xlpm.b,BB21,IF(_xlpm.b="Dec",HEX2DEC(_xlpm.v),IF(_xlpm.b="Hex",_xlpm.v,IF(_xlpm.b="Bin",HEX2BIN(_xlpm.v),IF(_xlpm.b="Oct",HEX2OCT(_xlpm.v),"?")))))</f>
        <v>659101960</v>
      </c>
      <c r="BN23" s="37" cm="1">
        <f t="array" ref="BN23">_xlfn.LET(_xlpm.v,"B",_xlpm.b,BB21,IF(_xlpm.b="Dec",HEX2DEC(_xlpm.v),IF(_xlpm.b="Hex",_xlpm.v,IF(_xlpm.b="Bin",HEX2BIN(_xlpm.v),IF(_xlpm.b="Oct",HEX2OCT(_xlpm.v),"?")))))</f>
        <v>11</v>
      </c>
      <c r="BO23" s="45" cm="1">
        <f t="array" ref="BO23">_xlfn.LET(_xlpm.v,"12D0578",_xlpm.b,BB21,IF(_xlpm.b="Dec",HEX2DEC(_xlpm.v),IF(_xlpm.b="Hex",_xlpm.v,IF(_xlpm.b="Bin",HEX2BIN(_xlpm.v),IF(_xlpm.b="Oct",HEX2OCT(_xlpm.v),"?")))))</f>
        <v>19727736</v>
      </c>
      <c r="BP23" s="45" cm="1">
        <f t="array" ref="BP23">_xlfn.LET(_xlpm.v,"3ACB1178",_xlpm.b,BB21,IF(_xlpm.b="Dec",HEX2DEC(_xlpm.v),IF(_xlpm.b="Hex",_xlpm.v,IF(_xlpm.b="Bin",HEX2BIN(_xlpm.v),IF(_xlpm.b="Oct",HEX2OCT(_xlpm.v),"?")))))</f>
        <v>986386808</v>
      </c>
      <c r="BQ23" s="45" cm="1">
        <f t="array" ref="BQ23">_xlfn.LET(_xlpm.v,"7B4",_xlpm.b,BB21,IF(_xlpm.b="Dec",HEX2DEC(_xlpm.v),IF(_xlpm.b="Hex",_xlpm.v,IF(_xlpm.b="Bin",HEX2BIN(_xlpm.v),IF(_xlpm.b="Oct",HEX2OCT(_xlpm.v),"?")))))</f>
        <v>1972</v>
      </c>
    </row>
    <row r="24" spans="2:69">
      <c r="C24" s="54"/>
      <c r="D24" s="1" t="s">
        <v>6</v>
      </c>
      <c r="E24" s="14">
        <f>SUM(E21:G21)</f>
        <v>31150</v>
      </c>
      <c r="F24" s="1">
        <f t="shared" ref="F23:F24" si="15">E24/1024</f>
        <v>30.419921875</v>
      </c>
      <c r="G24" s="14" t="s">
        <v>73</v>
      </c>
      <c r="H24" s="9"/>
      <c r="I24" s="5"/>
      <c r="X24">
        <f>100*(X11-X16)/X11</f>
        <v>24.060867572424147</v>
      </c>
      <c r="Y24">
        <f t="shared" ref="Y24:AF24" si="16">100*(Y11-Y16)/Y11</f>
        <v>32.126430147567547</v>
      </c>
      <c r="Z24">
        <f t="shared" si="16"/>
        <v>26.648141268489333</v>
      </c>
      <c r="AA24">
        <f t="shared" si="16"/>
        <v>46.804337194806685</v>
      </c>
      <c r="AB24">
        <f t="shared" si="16"/>
        <v>30.084732411758459</v>
      </c>
      <c r="AC24">
        <v>0</v>
      </c>
      <c r="AD24">
        <f t="shared" ref="AD24:AF24" si="17">100*(AD11-AD16)/AD11</f>
        <v>100</v>
      </c>
      <c r="AE24">
        <f t="shared" si="17"/>
        <v>41.581027429290096</v>
      </c>
      <c r="AF24">
        <f t="shared" si="17"/>
        <v>29.129138465398906</v>
      </c>
      <c r="AL24" s="44" t="s">
        <v>90</v>
      </c>
      <c r="AM24" s="33" t="s">
        <v>6</v>
      </c>
      <c r="AN24" s="35" cm="1">
        <f t="array" ref="AN24">_xlfn.LET(_xlpm.v,1,_xlpm.b,AM16,IF(_xlpm.b="Dec",HEX2DEC(_xlpm.v),IF(_xlpm.b="Hex",_xlpm.v,IF(_xlpm.b="Bin",HEX2BIN(_xlpm.v),IF(_xlpm.b="Oct",HEX2OCT(_xlpm.v),"?")))))</f>
        <v>1</v>
      </c>
      <c r="AO24" s="35" cm="1">
        <f t="array" ref="AO24">_xlfn.LET(_xlpm.v,1,_xlpm.b,AM16,IF(_xlpm.b="Dec",HEX2DEC(_xlpm.v),IF(_xlpm.b="Hex",_xlpm.v,IF(_xlpm.b="Bin",HEX2BIN(_xlpm.v),IF(_xlpm.b="Oct",HEX2OCT(_xlpm.v),"?")))))</f>
        <v>1</v>
      </c>
      <c r="AP24" s="35" cm="1">
        <f t="array" ref="AP24">_xlfn.LET(_xlpm.v,1,_xlpm.b,AM16,IF(_xlpm.b="Dec",HEX2DEC(_xlpm.v),IF(_xlpm.b="Hex",_xlpm.v,IF(_xlpm.b="Bin",HEX2BIN(_xlpm.v),IF(_xlpm.b="Oct",HEX2OCT(_xlpm.v),"?")))))</f>
        <v>1</v>
      </c>
      <c r="AQ24" s="35" cm="1">
        <f t="array" ref="AQ24">_xlfn.LET(_xlpm.v,1,_xlpm.b,AM16,IF(_xlpm.b="Dec",HEX2DEC(_xlpm.v),IF(_xlpm.b="Hex",_xlpm.v,IF(_xlpm.b="Bin",HEX2BIN(_xlpm.v),IF(_xlpm.b="Oct",HEX2OCT(_xlpm.v),"?")))))</f>
        <v>1</v>
      </c>
      <c r="AR24" s="35" cm="1">
        <f t="array" ref="AR24">_xlfn.LET(_xlpm.v,"53B2F54",_xlpm.b,AM16,IF(_xlpm.b="Dec",HEX2DEC(_xlpm.v),IF(_xlpm.b="Hex",_xlpm.v,IF(_xlpm.b="Bin",HEX2BIN(_xlpm.v),IF(_xlpm.b="Oct",HEX2OCT(_xlpm.v),"?")))))</f>
        <v>87764820</v>
      </c>
      <c r="AS24" s="37" cm="1">
        <f t="array" ref="AS24">_xlfn.LET(_xlpm.v,"E",_xlpm.b,AM16,IF(_xlpm.b="Dec",HEX2DEC(_xlpm.v),IF(_xlpm.b="Hex",_xlpm.v,IF(_xlpm.b="Bin",HEX2BIN(_xlpm.v),IF(_xlpm.b="Oct",HEX2OCT(_xlpm.v),"?")))))</f>
        <v>14</v>
      </c>
      <c r="AT24" s="41" cm="1">
        <f t="array" ref="AT24">_xlfn.LET(_xlpm.v,DEC2HEX(910745500),_xlpm.b,AM16,IF(_xlpm.b="Dec",HEX2DEC(_xlpm.v),IF(_xlpm.b="Hex",_xlpm.v,IF(_xlpm.b="Bin",HEX2BIN(_xlpm.v),IF(_xlpm.b="Oct",HEX2OCT(_xlpm.v),"?")))))</f>
        <v>910745500</v>
      </c>
      <c r="AU24" s="41" cm="1">
        <f t="array" ref="AU24">_xlfn.LET(_xlpm.v,DEC2HEX(1817436381),_xlpm.b,AM16,IF(_xlpm.b="Dec",HEX2DEC(_xlpm.v),IF(_xlpm.b="Hex",_xlpm.v,IF(_xlpm.b="Bin",HEX2BIN(_xlpm.v),IF(_xlpm.b="Oct",HEX2OCT(_xlpm.v),"?")))))</f>
        <v>1817436381</v>
      </c>
      <c r="AV24" s="41" cm="1">
        <f t="array" ref="AV24">_xlfn.LET(_xlpm.v,"22AA337",_xlpm.b,AM16,IF(_xlpm.b="Dec",HEX2DEC(_xlpm.v),IF(_xlpm.b="Hex",_xlpm.v,IF(_xlpm.b="Bin",HEX2BIN(_xlpm.v),IF(_xlpm.b="Oct",HEX2OCT(_xlpm.v),"?")))))</f>
        <v>36348727</v>
      </c>
      <c r="AW24" s="41" cm="1">
        <f t="array" ref="AW24">_xlfn.LET(_xlpm.v,"6C53E0DD",_xlpm.b,AM16,IF(_xlpm.b="Dec",HEX2DEC(_xlpm.v),IF(_xlpm.b="Hex",_xlpm.v,IF(_xlpm.b="Bin",HEX2BIN(_xlpm.v),IF(_xlpm.b="Oct",HEX2OCT(_xlpm.v),"?")))))</f>
        <v>1817436381</v>
      </c>
      <c r="AX24" s="45" cm="1">
        <f t="array" ref="AX24">_xlfn.LET(_xlpm.v,"E32",_xlpm.b,AM16,IF(_xlpm.b="Dec",HEX2DEC(_xlpm.v),IF(_xlpm.b="Hex",_xlpm.v,IF(_xlpm.b="Bin",HEX2BIN(_xlpm.v),IF(_xlpm.b="Oct",HEX2OCT(_xlpm.v),"?")))))</f>
        <v>3634</v>
      </c>
      <c r="BA24" s="44"/>
      <c r="BB24" s="36" t="s">
        <v>71</v>
      </c>
      <c r="BC24" s="35" cm="1">
        <f t="array" ref="BC24">_xlfn.LET(_xlpm.v,58000,_xlpm.b,BB21,IF(_xlpm.b="Dec",HEX2DEC(_xlpm.v),IF(_xlpm.b="Hex",_xlpm.v,IF(_xlpm.b="Bin",HEX2BIN(_xlpm.v),IF(_xlpm.b="Oct",HEX2OCT(_xlpm.v),"?")))))</f>
        <v>360448</v>
      </c>
      <c r="BD24" s="35" cm="1">
        <f t="array" ref="BD24">_xlfn.LET(_xlpm.v,600000,_xlpm.b,BB21,IF(_xlpm.b="Dec",HEX2DEC(_xlpm.v),IF(_xlpm.b="Hex",_xlpm.v,IF(_xlpm.b="Bin",HEX2BIN(_xlpm.v),IF(_xlpm.b="Oct",HEX2OCT(_xlpm.v),"?")))))</f>
        <v>6291456</v>
      </c>
      <c r="BE24" s="35" cm="1">
        <f t="array" ref="BE24">_xlfn.LET(_xlpm.v,"64",_xlpm.b,BB21,IF(_xlpm.b="Dec",HEX2DEC(_xlpm.v),IF(_xlpm.b="Hex",_xlpm.v,IF(_xlpm.b="Bin",HEX2BIN(_xlpm.v),IF(_xlpm.b="Oct",HEX2OCT(_xlpm.v),"?")))))</f>
        <v>100</v>
      </c>
      <c r="BF24" s="35" cm="1">
        <f t="array" ref="BF24">_xlfn.LET(_xlpm.v,"64",_xlpm.b,BB21,IF(_xlpm.b="Dec",HEX2DEC(_xlpm.v),IF(_xlpm.b="Hex",_xlpm.v,IF(_xlpm.b="Bin",HEX2BIN(_xlpm.v),IF(_xlpm.b="Oct",HEX2OCT(_xlpm.v),"?")))))</f>
        <v>100</v>
      </c>
      <c r="BG24" s="35" cm="1">
        <f t="array" ref="BG24">_xlfn.LET(_xlpm.v,32,_xlpm.b,BB21,IF(_xlpm.b="Dec",HEX2DEC(_xlpm.v),IF(_xlpm.b="Hex",_xlpm.v,IF(_xlpm.b="Bin",HEX2BIN(_xlpm.v),IF(_xlpm.b="Oct",HEX2OCT(_xlpm.v),"?")))))</f>
        <v>50</v>
      </c>
      <c r="BH24" s="35" cm="1">
        <f t="array" ref="BH24">_xlfn.LET(_xlpm.v,"32",_xlpm.b,BB21,IF(_xlpm.b="Dec",HEX2DEC(_xlpm.v),IF(_xlpm.b="Hex",_xlpm.v,IF(_xlpm.b="Bin",HEX2BIN(_xlpm.v),IF(_xlpm.b="Oct",HEX2OCT(_xlpm.v),"?")))))</f>
        <v>50</v>
      </c>
      <c r="BI24" s="35" cm="1">
        <f t="array" ref="BI24">_xlfn.LET(_xlpm.v,"1A3DE69",_xlpm.b,BB21,IF(_xlpm.b="Dec",HEX2DEC(_xlpm.v),IF(_xlpm.b="Hex",_xlpm.v,IF(_xlpm.b="Bin",HEX2BIN(_xlpm.v),IF(_xlpm.b="Oct",HEX2OCT(_xlpm.v),"?")))))</f>
        <v>27516521</v>
      </c>
      <c r="BJ24" s="35" cm="1">
        <f t="array" ref="BJ24">_xlfn.LET(_xlpm.v,"11F10B6",_xlpm.b,BB21,IF(_xlpm.b="Dec",HEX2DEC(_xlpm.v),IF(_xlpm.b="Hex",_xlpm.v,IF(_xlpm.b="Bin",HEX2BIN(_xlpm.v),IF(_xlpm.b="Oct",HEX2OCT(_xlpm.v),"?")))))</f>
        <v>18813110</v>
      </c>
      <c r="BK24" s="35" cm="1">
        <f t="array" ref="BK24">_xlfn.LET(_xlpm.v,"C518D5",_xlpm.b,BB21,IF(_xlpm.b="Dec",HEX2DEC(_xlpm.v),IF(_xlpm.b="Hex",_xlpm.v,IF(_xlpm.b="Bin",HEX2BIN(_xlpm.v),IF(_xlpm.b="Oct",HEX2OCT(_xlpm.v),"?")))))</f>
        <v>12916949</v>
      </c>
      <c r="BL24" s="35" cm="1">
        <f t="array" ref="BL24">_xlfn.LET(_xlpm.v,"F901A3",_xlpm.b,BB21,IF(_xlpm.b="Dec",HEX2DEC(_xlpm.v),IF(_xlpm.b="Hex",_xlpm.v,IF(_xlpm.b="Bin",HEX2BIN(_xlpm.v),IF(_xlpm.b="Oct",HEX2OCT(_xlpm.v),"?")))))</f>
        <v>16318883</v>
      </c>
      <c r="BM24" s="35" cm="1">
        <f t="array" ref="BM24">_xlfn.LET(_xlpm.v,"1712E03C",_xlpm.b,BB21,IF(_xlpm.b="Dec",HEX2DEC(_xlpm.v),IF(_xlpm.b="Hex",_xlpm.v,IF(_xlpm.b="Bin",HEX2BIN(_xlpm.v),IF(_xlpm.b="Oct",HEX2OCT(_xlpm.v),"?")))))</f>
        <v>387113020</v>
      </c>
      <c r="BN24" s="37" cm="1">
        <f t="array" ref="BN24">_xlfn.LET(_xlpm.v,"6",_xlpm.b,BB21,IF(_xlpm.b="Dec",HEX2DEC(_xlpm.v),IF(_xlpm.b="Hex",_xlpm.v,IF(_xlpm.b="Bin",HEX2BIN(_xlpm.v),IF(_xlpm.b="Oct",HEX2OCT(_xlpm.v),"?")))))</f>
        <v>6</v>
      </c>
      <c r="BO24" s="46"/>
      <c r="BP24" s="46"/>
      <c r="BQ24" s="46"/>
    </row>
    <row r="25" spans="2:69">
      <c r="C25" s="5"/>
      <c r="D25" s="5"/>
      <c r="E25" s="5"/>
      <c r="F25" s="5"/>
      <c r="G25" s="5"/>
      <c r="H25" s="5"/>
      <c r="I25" s="5"/>
      <c r="X25">
        <f>100*(X11-X17)/X11</f>
        <v>100</v>
      </c>
      <c r="Y25">
        <f t="shared" ref="Y25:AF25" si="18">100*(Y11-Y17)/Y11</f>
        <v>100</v>
      </c>
      <c r="Z25">
        <f t="shared" si="18"/>
        <v>100</v>
      </c>
      <c r="AA25">
        <f t="shared" si="18"/>
        <v>100</v>
      </c>
      <c r="AB25">
        <f t="shared" si="18"/>
        <v>100</v>
      </c>
      <c r="AC25">
        <v>0</v>
      </c>
      <c r="AD25">
        <f t="shared" ref="AD25:AF25" si="19">100*(AD11-AD17)/AD11</f>
        <v>100</v>
      </c>
      <c r="AE25">
        <f t="shared" si="19"/>
        <v>100</v>
      </c>
      <c r="AF25">
        <f t="shared" si="19"/>
        <v>100</v>
      </c>
      <c r="AL25" s="44"/>
      <c r="AM25" s="33" t="s">
        <v>7</v>
      </c>
      <c r="AN25" s="35" cm="1">
        <f t="array" ref="AN25">_xlfn.LET(_xlpm.v,"FA",_xlpm.b,AM16,IF(_xlpm.b="Dec",HEX2DEC(_xlpm.v),IF(_xlpm.b="Hex",_xlpm.v,IF(_xlpm.b="Bin",HEX2BIN(_xlpm.v),IF(_xlpm.b="Oct",HEX2OCT(_xlpm.v),"?")))))</f>
        <v>250</v>
      </c>
      <c r="AO25" s="35" cm="1">
        <f t="array" ref="AO25">_xlfn.LET(_xlpm.v,"FA",_xlpm.b,AM16,IF(_xlpm.b="Dec",HEX2DEC(_xlpm.v),IF(_xlpm.b="Hex",_xlpm.v,IF(_xlpm.b="Bin",HEX2BIN(_xlpm.v),IF(_xlpm.b="Oct",HEX2OCT(_xlpm.v),"?")))))</f>
        <v>250</v>
      </c>
      <c r="AP25" s="35" cm="1">
        <f t="array" ref="AP25">_xlfn.LET(_xlpm.v,64,_xlpm.b,AM16,IF(_xlpm.b="Dec",HEX2DEC(_xlpm.v),IF(_xlpm.b="Hex",_xlpm.v,IF(_xlpm.b="Bin",HEX2BIN(_xlpm.v),IF(_xlpm.b="Oct",HEX2OCT(_xlpm.v),"?")))))</f>
        <v>100</v>
      </c>
      <c r="AQ25" s="35" cm="1">
        <f t="array" ref="AQ25">_xlfn.LET(_xlpm.v,64,_xlpm.b,AM16,IF(_xlpm.b="Dec",HEX2DEC(_xlpm.v),IF(_xlpm.b="Hex",_xlpm.v,IF(_xlpm.b="Bin",HEX2BIN(_xlpm.v),IF(_xlpm.b="Oct",HEX2OCT(_xlpm.v),"?")))))</f>
        <v>100</v>
      </c>
      <c r="AR25" s="35" cm="1">
        <f t="array" ref="AR25">_xlfn.LET(_xlpm.v,"161FF4BC",_xlpm.b,AM16,IF(_xlpm.b="Dec",HEX2DEC(_xlpm.v),IF(_xlpm.b="Hex",_xlpm.v,IF(_xlpm.b="Bin",HEX2BIN(_xlpm.v),IF(_xlpm.b="Oct",HEX2OCT(_xlpm.v),"?")))))</f>
        <v>371193020</v>
      </c>
      <c r="AS25" s="37" cm="1">
        <f t="array" ref="AS25">_xlfn.LET(_xlpm.v,14,_xlpm.b,AM16,IF(_xlpm.b="Dec",HEX2DEC(_xlpm.v),IF(_xlpm.b="Hex",_xlpm.v,IF(_xlpm.b="Bin",HEX2BIN(_xlpm.v),IF(_xlpm.b="Oct",HEX2OCT(_xlpm.v),"?")))))</f>
        <v>20</v>
      </c>
      <c r="AT25" s="43"/>
      <c r="AU25" s="43"/>
      <c r="AV25" s="43"/>
      <c r="AW25" s="43"/>
      <c r="AX25" s="46"/>
    </row>
    <row r="26" spans="2:69">
      <c r="C26" s="51" t="s">
        <v>60</v>
      </c>
      <c r="D26" s="1" t="s">
        <v>54</v>
      </c>
      <c r="E26" s="1">
        <v>6272</v>
      </c>
      <c r="F26" s="1">
        <v>148</v>
      </c>
      <c r="G26" s="1">
        <v>0</v>
      </c>
      <c r="H26" s="1">
        <v>0</v>
      </c>
      <c r="I26" s="1">
        <v>11832</v>
      </c>
      <c r="AL26" s="44" t="s">
        <v>91</v>
      </c>
      <c r="AM26" s="33" t="s">
        <v>6</v>
      </c>
      <c r="AN26" s="35" cm="1">
        <f t="array" ref="AN26">_xlfn.LET(_xlpm.v,1,_xlpm.b,AM16,IF(_xlpm.b="Dec",HEX2DEC(_xlpm.v),IF(_xlpm.b="Hex",_xlpm.v,IF(_xlpm.b="Bin",HEX2BIN(_xlpm.v),IF(_xlpm.b="Oct",HEX2OCT(_xlpm.v),"?")))))</f>
        <v>1</v>
      </c>
      <c r="AO26" s="35" cm="1">
        <f t="array" ref="AO26">_xlfn.LET(_xlpm.v,1,_xlpm.b,AM16,IF(_xlpm.b="Dec",HEX2DEC(_xlpm.v),IF(_xlpm.b="Hex",_xlpm.v,IF(_xlpm.b="Bin",HEX2BIN(_xlpm.v),IF(_xlpm.b="Oct",HEX2OCT(_xlpm.v),"?")))))</f>
        <v>1</v>
      </c>
      <c r="AP26" s="35" cm="1">
        <f t="array" ref="AP26">_xlfn.LET(_xlpm.v,1,_xlpm.b,AM16,IF(_xlpm.b="Dec",HEX2DEC(_xlpm.v),IF(_xlpm.b="Hex",_xlpm.v,IF(_xlpm.b="Bin",HEX2BIN(_xlpm.v),IF(_xlpm.b="Oct",HEX2OCT(_xlpm.v),"?")))))</f>
        <v>1</v>
      </c>
      <c r="AQ26" s="35" cm="1">
        <f t="array" ref="AQ26">_xlfn.LET(_xlpm.v,1,_xlpm.b,AM16,IF(_xlpm.b="Dec",HEX2DEC(_xlpm.v),IF(_xlpm.b="Hex",_xlpm.v,IF(_xlpm.b="Bin",HEX2BIN(_xlpm.v),IF(_xlpm.b="Oct",HEX2OCT(_xlpm.v),"?")))))</f>
        <v>1</v>
      </c>
      <c r="AR26" s="35" cm="1">
        <f t="array" ref="AR26">_xlfn.LET(_xlpm.v,"27491908",_xlpm.b,AM16,IF(_xlpm.b="Dec",HEX2DEC(_xlpm.v),IF(_xlpm.b="Hex",_xlpm.v,IF(_xlpm.b="Bin",HEX2BIN(_xlpm.v),IF(_xlpm.b="Oct",HEX2OCT(_xlpm.v),"?")))))</f>
        <v>659101960</v>
      </c>
      <c r="AS26" s="37" cm="1">
        <f t="array" ref="AS26">_xlfn.LET(_xlpm.v,"B",_xlpm.b,AM16,IF(_xlpm.b="Dec",HEX2DEC(_xlpm.v),IF(_xlpm.b="Hex",_xlpm.v,IF(_xlpm.b="Bin",HEX2BIN(_xlpm.v),IF(_xlpm.b="Oct",HEX2OCT(_xlpm.v),"?")))))</f>
        <v>11</v>
      </c>
      <c r="AT26" s="41" cm="1">
        <f t="array" ref="AT26">_xlfn.LET(_xlpm.v,DEC2HEX(767111383),_xlpm.b,AM16,IF(_xlpm.b="Dec",HEX2DEC(_xlpm.v),IF(_xlpm.b="Hex",_xlpm.v,IF(_xlpm.b="Bin",HEX2BIN(_xlpm.v),IF(_xlpm.b="Oct",HEX2OCT(_xlpm.v),"?")))))</f>
        <v>767111383</v>
      </c>
      <c r="AU26" s="41" cm="1">
        <f t="array" ref="AU26">_xlfn.LET(_xlpm.v,DEC2HEX(1673802264),_xlpm.b,AM16,IF(_xlpm.b="Dec",HEX2DEC(_xlpm.v),IF(_xlpm.b="Hex",_xlpm.v,IF(_xlpm.b="Bin",HEX2BIN(_xlpm.v),IF(_xlpm.b="Oct",HEX2OCT(_xlpm.v),"?")))))</f>
        <v>1673802264</v>
      </c>
      <c r="AV26" s="41" cm="1">
        <f t="array" ref="AV26">_xlfn.LET(_xlpm.v,"1FECDCD",_xlpm.b,AM16,IF(_xlpm.b="Dec",HEX2DEC(_xlpm.v),IF(_xlpm.b="Hex",_xlpm.v,IF(_xlpm.b="Bin",HEX2BIN(_xlpm.v),IF(_xlpm.b="Oct",HEX2OCT(_xlpm.v),"?")))))</f>
        <v>33476045</v>
      </c>
      <c r="AW26" s="41" cm="1">
        <f t="array" ref="AW26">_xlfn.LET(_xlpm.v,"63C43218",_xlpm.b,AM16,IF(_xlpm.b="Dec",HEX2DEC(_xlpm.v),IF(_xlpm.b="Hex",_xlpm.v,IF(_xlpm.b="Bin",HEX2BIN(_xlpm.v),IF(_xlpm.b="Oct",HEX2OCT(_xlpm.v),"?")))))</f>
        <v>1673802264</v>
      </c>
      <c r="AX26" s="45" cm="1">
        <f t="array" ref="AX26">_xlfn.LET(_xlpm.v,"D13",_xlpm.b,AM16,IF(_xlpm.b="Dec",HEX2DEC(_xlpm.v),IF(_xlpm.b="Hex",_xlpm.v,IF(_xlpm.b="Bin",HEX2BIN(_xlpm.v),IF(_xlpm.b="Oct",HEX2OCT(_xlpm.v),"?")))))</f>
        <v>3347</v>
      </c>
    </row>
    <row r="27" spans="2:69">
      <c r="C27" s="51"/>
      <c r="D27" s="1" t="s">
        <v>61</v>
      </c>
      <c r="E27" s="1">
        <v>17596</v>
      </c>
      <c r="F27" s="1">
        <v>466</v>
      </c>
      <c r="G27" s="1">
        <v>0</v>
      </c>
      <c r="H27" s="1">
        <v>300</v>
      </c>
      <c r="I27" s="1">
        <v>7164</v>
      </c>
      <c r="AL27" s="44"/>
      <c r="AM27" s="33" t="s">
        <v>7</v>
      </c>
      <c r="AN27" s="35" cm="1">
        <f t="array" ref="AN27">_xlfn.LET(_xlpm.v,"FA",_xlpm.b,AM16,IF(_xlpm.b="Dec",HEX2DEC(_xlpm.v),IF(_xlpm.b="Hex",_xlpm.v,IF(_xlpm.b="Bin",HEX2BIN(_xlpm.v),IF(_xlpm.b="Oct",HEX2OCT(_xlpm.v),"?")))))</f>
        <v>250</v>
      </c>
      <c r="AO27" s="35" cm="1">
        <f t="array" ref="AO27">_xlfn.LET(_xlpm.v,"FA",_xlpm.b,AM16,IF(_xlpm.b="Dec",HEX2DEC(_xlpm.v),IF(_xlpm.b="Hex",_xlpm.v,IF(_xlpm.b="Bin",HEX2BIN(_xlpm.v),IF(_xlpm.b="Oct",HEX2OCT(_xlpm.v),"?")))))</f>
        <v>250</v>
      </c>
      <c r="AP27" s="35" cm="1">
        <f t="array" ref="AP27">_xlfn.LET(_xlpm.v,"19",_xlpm.b,AM16,IF(_xlpm.b="Dec",HEX2DEC(_xlpm.v),IF(_xlpm.b="Hex",_xlpm.v,IF(_xlpm.b="Bin",HEX2BIN(_xlpm.v),IF(_xlpm.b="Oct",HEX2OCT(_xlpm.v),"?")))))</f>
        <v>25</v>
      </c>
      <c r="AQ27" s="35" cm="1">
        <f t="array" ref="AQ27">_xlfn.LET(_xlpm.v,"19",_xlpm.b,AM16,IF(_xlpm.b="Dec",HEX2DEC(_xlpm.v),IF(_xlpm.b="Hex",_xlpm.v,IF(_xlpm.b="Bin",HEX2BIN(_xlpm.v),IF(_xlpm.b="Oct",HEX2OCT(_xlpm.v),"?")))))</f>
        <v>25</v>
      </c>
      <c r="AR27" s="35" cm="1">
        <f t="array" ref="AR27">_xlfn.LET(_xlpm.v,"1DB6AB58",_xlpm.b,AM16,IF(_xlpm.b="Dec",HEX2DEC(_xlpm.v),IF(_xlpm.b="Hex",_xlpm.v,IF(_xlpm.b="Bin",HEX2BIN(_xlpm.v),IF(_xlpm.b="Oct",HEX2OCT(_xlpm.v),"?")))))</f>
        <v>498510680</v>
      </c>
      <c r="AS27" s="37" cm="1">
        <f t="array" ref="AS27">_xlfn.LET(_xlpm.v,"11",_xlpm.b,AM16,IF(_xlpm.b="Dec",HEX2DEC(_xlpm.v),IF(_xlpm.b="Hex",_xlpm.v,IF(_xlpm.b="Bin",HEX2BIN(_xlpm.v),IF(_xlpm.b="Oct",HEX2OCT(_xlpm.v),"?")))))</f>
        <v>17</v>
      </c>
      <c r="AT27" s="43"/>
      <c r="AU27" s="43"/>
      <c r="AV27" s="43"/>
      <c r="AW27" s="43"/>
      <c r="AX27" s="46"/>
    </row>
    <row r="28" spans="2:69">
      <c r="C28" s="51"/>
      <c r="D28" s="1" t="s">
        <v>68</v>
      </c>
      <c r="E28" s="1">
        <f>SUM(E26:E27)</f>
        <v>23868</v>
      </c>
      <c r="F28" s="1">
        <f t="shared" ref="F28:H28" si="20">SUM(F26:F27)</f>
        <v>614</v>
      </c>
      <c r="G28" s="1">
        <f t="shared" si="20"/>
        <v>0</v>
      </c>
      <c r="H28" s="1">
        <f t="shared" si="20"/>
        <v>300</v>
      </c>
      <c r="I28" s="1">
        <f>SUM(I26:I27)</f>
        <v>18996</v>
      </c>
      <c r="BA28" t="s">
        <v>0</v>
      </c>
      <c r="BB28" t="s">
        <v>4</v>
      </c>
      <c r="BC28" t="s">
        <v>92</v>
      </c>
    </row>
    <row r="29" spans="2:69">
      <c r="C29" s="51"/>
      <c r="D29" s="1" t="s">
        <v>72</v>
      </c>
      <c r="E29" s="1">
        <f>SUM(E28,F28)</f>
        <v>24482</v>
      </c>
      <c r="F29" s="1">
        <f>E29/1024</f>
        <v>23.908203125</v>
      </c>
      <c r="G29" s="1" t="s">
        <v>73</v>
      </c>
      <c r="H29" s="5"/>
      <c r="I29" s="5"/>
      <c r="BA29" s="34" t="s">
        <v>35</v>
      </c>
      <c r="BB29" s="2" t="s">
        <v>22</v>
      </c>
      <c r="BC29" s="34" t="s">
        <v>93</v>
      </c>
      <c r="BD29" s="34" t="s">
        <v>94</v>
      </c>
      <c r="BE29" s="34" t="s">
        <v>38</v>
      </c>
    </row>
    <row r="30" spans="2:69">
      <c r="C30" s="51"/>
      <c r="D30" s="1" t="s">
        <v>77</v>
      </c>
      <c r="E30" s="14">
        <f>SUM(G28,H28)</f>
        <v>300</v>
      </c>
      <c r="F30" s="1">
        <f>E30/1024</f>
        <v>0.29296875</v>
      </c>
      <c r="G30" s="14" t="s">
        <v>73</v>
      </c>
      <c r="H30" s="9"/>
      <c r="I30" s="5"/>
      <c r="AL30" s="1" t="s">
        <v>0</v>
      </c>
      <c r="AM30" s="1" t="s">
        <v>4</v>
      </c>
      <c r="AN30" s="47" t="s">
        <v>3</v>
      </c>
      <c r="AO30" s="47"/>
      <c r="AP30" s="47"/>
      <c r="AQ30" s="47"/>
      <c r="AR30" s="1"/>
      <c r="AS30" s="1"/>
      <c r="AT30" s="1"/>
      <c r="AU30" s="1"/>
      <c r="AV30" s="1"/>
      <c r="AW30" s="1"/>
      <c r="AX30" s="1"/>
      <c r="BA30" s="44" t="s">
        <v>86</v>
      </c>
      <c r="BB30" s="33" t="s">
        <v>6</v>
      </c>
      <c r="BC30" s="57" cm="1">
        <f t="array" ref="BC30">_xlfn.LET(_xlpm.v,"12D0578",_xlpm.b,BB28,IF(_xlpm.b="Dec",HEX2DEC(_xlpm.v)/10^6,IF(_xlpm.b="Hex",_xlpm.v,IF(_xlpm.b="Bin",HEX2BIN(_xlpm.v),IF(_xlpm.b="Oct",HEX2OCT(_xlpm.v),"?")))))</f>
        <v>19.727736</v>
      </c>
      <c r="BD30" s="57" cm="1">
        <f t="array" ref="BD30">_xlfn.LET(_xlpm.v,"3ACB1178",_xlpm.b,BB28,IF(_xlpm.b="Dec",HEX2DEC(_xlpm.v),IF(_xlpm.b="Hex",_xlpm.v,IF(_xlpm.b="Bin",HEX2BIN(_xlpm.v),IF(_xlpm.b="Oct",HEX2OCT(_xlpm.v),"?")))))</f>
        <v>986386808</v>
      </c>
      <c r="BE30" s="57" cm="1">
        <f t="array" ref="BE30">_xlfn.LET(_xlpm.v,"7B4",_xlpm.b,BB28,IF(_xlpm.b="Dec",HEX2DEC(_xlpm.v),IF(_xlpm.b="Hex",_xlpm.v,IF(_xlpm.b="Bin",HEX2BIN(_xlpm.v),IF(_xlpm.b="Oct",HEX2OCT(_xlpm.v),"?")))))</f>
        <v>1972</v>
      </c>
    </row>
    <row r="31" spans="2:69">
      <c r="C31" s="51"/>
      <c r="D31" s="1" t="s">
        <v>6</v>
      </c>
      <c r="E31" s="14">
        <f>SUM(E28:G28)</f>
        <v>24482</v>
      </c>
      <c r="F31" s="1">
        <f t="shared" ref="F30:F31" si="21">E31/1024</f>
        <v>23.908203125</v>
      </c>
      <c r="G31" s="14" t="s">
        <v>73</v>
      </c>
      <c r="H31" s="9"/>
      <c r="I31" s="5"/>
      <c r="AL31" s="33" t="s">
        <v>81</v>
      </c>
      <c r="AM31" s="33" t="s">
        <v>22</v>
      </c>
      <c r="AN31" s="33" t="s">
        <v>25</v>
      </c>
      <c r="AO31" s="33" t="s">
        <v>26</v>
      </c>
      <c r="AP31" s="33" t="s">
        <v>27</v>
      </c>
      <c r="AQ31" s="33" t="s">
        <v>28</v>
      </c>
      <c r="AR31" s="33" t="s">
        <v>33</v>
      </c>
      <c r="AS31" s="33" t="s">
        <v>34</v>
      </c>
      <c r="AT31" s="33" t="s">
        <v>84</v>
      </c>
      <c r="AU31" s="33" t="s">
        <v>17</v>
      </c>
      <c r="AV31" s="33" t="s">
        <v>36</v>
      </c>
      <c r="AW31" s="33" t="s">
        <v>37</v>
      </c>
      <c r="AX31" s="33" t="s">
        <v>38</v>
      </c>
      <c r="BA31" s="44"/>
      <c r="BB31" s="33" t="s">
        <v>71</v>
      </c>
      <c r="BC31" s="57"/>
      <c r="BD31" s="57"/>
      <c r="BE31" s="57"/>
    </row>
    <row r="32" spans="2:69">
      <c r="C32" s="12"/>
      <c r="D32" s="19"/>
      <c r="E32" s="19"/>
      <c r="F32" s="29"/>
      <c r="G32" s="19"/>
      <c r="H32" s="19"/>
      <c r="I32" s="19"/>
      <c r="AL32" s="44" t="s">
        <v>85</v>
      </c>
      <c r="AM32" s="33" t="s">
        <v>6</v>
      </c>
      <c r="AN32" s="35" cm="1">
        <f t="array" ref="AN32">_xlfn.LET(_xlpm.v,1,_xlpm.b,AM30,IF(_xlpm.b="Dec",HEX2DEC(_xlpm.v),IF(_xlpm.b="Hex",_xlpm.v,IF(_xlpm.b="Bin",HEX2BIN(_xlpm.v),IF(_xlpm.b="Oct",HEX2OCT(_xlpm.v),"?")))))</f>
        <v>1</v>
      </c>
      <c r="AO32" s="35" cm="1">
        <f t="array" ref="AO32">_xlfn.LET(_xlpm.v,1,_xlpm.b,AM30,IF(_xlpm.b="Dec",HEX2DEC(_xlpm.v),IF(_xlpm.b="Hex",_xlpm.v,IF(_xlpm.b="Bin",HEX2BIN(_xlpm.v),IF(_xlpm.b="Oct",HEX2OCT(_xlpm.v),"?")))))</f>
        <v>1</v>
      </c>
      <c r="AP32" s="35" cm="1">
        <f t="array" ref="AP32">_xlfn.LET(_xlpm.v,1,_xlpm.b,AM30,IF(_xlpm.b="Dec",HEX2DEC(_xlpm.v),IF(_xlpm.b="Hex",_xlpm.v,IF(_xlpm.b="Bin",HEX2BIN(_xlpm.v),IF(_xlpm.b="Oct",HEX2OCT(_xlpm.v),"?")))))</f>
        <v>1</v>
      </c>
      <c r="AQ32" s="35" cm="1">
        <f t="array" ref="AQ32">_xlfn.LET(_xlpm.v,1,_xlpm.b,AM30,IF(_xlpm.b="Dec",HEX2DEC(_xlpm.v),IF(_xlpm.b="Hex",_xlpm.v,IF(_xlpm.b="Bin",HEX2BIN(_xlpm.v),IF(_xlpm.b="Oct",HEX2OCT(_xlpm.v),"?")))))</f>
        <v>1</v>
      </c>
      <c r="AR32" s="35" cm="1">
        <f t="array" ref="AR32">_xlfn.LET(_xlpm.v,"53B2F54",_xlpm.b,AM30,IF(_xlpm.b="Dec",HEX2DEC(_xlpm.v),IF(_xlpm.b="Hex",_xlpm.v,IF(_xlpm.b="Bin",HEX2BIN(_xlpm.v),IF(_xlpm.b="Oct",HEX2OCT(_xlpm.v),"?")))))</f>
        <v>87764820</v>
      </c>
      <c r="AS32" s="35" cm="1">
        <f t="array" ref="AS32">_xlfn.LET(_xlpm.v,"E",_xlpm.b,AM30,IF(_xlpm.b="Dec",HEX2DEC(_xlpm.v),IF(_xlpm.b="Hex",_xlpm.v,IF(_xlpm.b="Bin",HEX2BIN(_xlpm.v),IF(_xlpm.b="Oct",HEX2OCT(_xlpm.v),"?")))))</f>
        <v>14</v>
      </c>
      <c r="AT32" s="44" cm="1">
        <f t="array" ref="AT32">_xlfn.LET(_xlpm.v,DEC2HEX(814989422),_xlpm.b,AM30,IF(_xlpm.b="Dec",HEX2DEC(_xlpm.v),IF(_xlpm.b="Hex",_xlpm.v,IF(_xlpm.b="Bin",HEX2BIN(_xlpm.v),IF(_xlpm.b="Oct",HEX2OCT(_xlpm.v),"?")))))</f>
        <v>814989422</v>
      </c>
      <c r="AU32" s="44" cm="1">
        <f t="array" ref="AU32">_xlfn.LET(_xlpm.v,DEC2HEX(1721680303),_xlpm.b,AM30,IF(_xlpm.b="Dec",HEX2DEC(_xlpm.v),IF(_xlpm.b="Hex",_xlpm.v,IF(_xlpm.b="Bin",HEX2BIN(_xlpm.v),IF(_xlpm.b="Oct",HEX2OCT(_xlpm.v),"?")))))</f>
        <v>1721680303</v>
      </c>
      <c r="AV32" s="44" cm="1">
        <f t="array" ref="AV32">_xlfn.LET(_xlpm.v,"20D6A46",_xlpm.b,AM30,IF(_xlpm.b="Dec",HEX2DEC(_xlpm.v),IF(_xlpm.b="Hex",_xlpm.v,IF(_xlpm.b="Bin",HEX2BIN(_xlpm.v),IF(_xlpm.b="Oct",HEX2OCT(_xlpm.v),"?")))))</f>
        <v>34433606</v>
      </c>
      <c r="AW32" s="44" cm="1">
        <f t="array" ref="AW32">_xlfn.LET(_xlpm.v,"669EC1AF",_xlpm.b,AM30,IF(_xlpm.b="Dec",HEX2DEC(_xlpm.v),IF(_xlpm.b="Hex",_xlpm.v,IF(_xlpm.b="Bin",HEX2BIN(_xlpm.v),IF(_xlpm.b="Oct",HEX2OCT(_xlpm.v),"?")))))</f>
        <v>1721680303</v>
      </c>
      <c r="AX32" s="57" cm="1">
        <f t="array" ref="AX32">_xlfn.LET(_xlpm.v,"D73",_xlpm.b,AM30,IF(_xlpm.b="Dec",HEX2DEC(_xlpm.v),IF(_xlpm.b="Hex",_xlpm.v,IF(_xlpm.b="Bin",HEX2BIN(_xlpm.v),IF(_xlpm.b="Oct",HEX2OCT(_xlpm.v),"?")))))</f>
        <v>3443</v>
      </c>
      <c r="BA32" s="44" t="s">
        <v>79</v>
      </c>
      <c r="BB32" s="33" t="s">
        <v>6</v>
      </c>
      <c r="BC32" s="57" cm="1">
        <f t="array" ref="BC32">_xlfn.LET(_xlpm.v,"E29F5A",_xlpm.b,BB28,IF(_xlpm.b="Dec",HEX2DEC(_xlpm.v)/10^6,IF(_xlpm.b="Hex",_xlpm.v,IF(_xlpm.b="Bin",HEX2BIN(_xlpm.v),IF(_xlpm.b="Oct",HEX2OCT(_xlpm.v),"?")))))</f>
        <v>14.851929999999999</v>
      </c>
      <c r="BD32" s="57" cm="1">
        <f t="array" ref="BD32">_xlfn.LET(_xlpm.v,"2C431F98",_xlpm.b,BB28,IF(_xlpm.b="Dec",HEX2DEC(_xlpm.v),IF(_xlpm.b="Hex",_xlpm.v,IF(_xlpm.b="Bin",HEX2BIN(_xlpm.v),IF(_xlpm.b="Oct",HEX2OCT(_xlpm.v),"?")))))</f>
        <v>742596504</v>
      </c>
      <c r="BE32" s="57" cm="1">
        <f t="array" ref="BE32">_xlfn.LET(_xlpm.v,"5CD",_xlpm.b,BB28,IF(_xlpm.b="Dec",HEX2DEC(_xlpm.v),IF(_xlpm.b="Hex",_xlpm.v,IF(_xlpm.b="Bin",HEX2BIN(_xlpm.v),IF(_xlpm.b="Oct",HEX2OCT(_xlpm.v),"?")))))</f>
        <v>1485</v>
      </c>
    </row>
    <row r="33" spans="3:57">
      <c r="C33" s="50" t="s">
        <v>69</v>
      </c>
      <c r="D33" s="1" t="s">
        <v>54</v>
      </c>
      <c r="E33" s="1">
        <v>3936</v>
      </c>
      <c r="F33" s="1">
        <v>112</v>
      </c>
      <c r="G33" s="1">
        <v>0</v>
      </c>
      <c r="H33" s="1">
        <v>0</v>
      </c>
      <c r="I33" s="1">
        <v>9748</v>
      </c>
      <c r="AL33" s="44"/>
      <c r="AM33" s="33" t="s">
        <v>7</v>
      </c>
      <c r="AN33" s="35" cm="1">
        <f t="array" ref="AN33">_xlfn.LET(_xlpm.v,"FA",_xlpm.b,AM30,IF(_xlpm.b="Dec",HEX2DEC(_xlpm.v),IF(_xlpm.b="Hex",_xlpm.v,IF(_xlpm.b="Bin",HEX2BIN(_xlpm.v),IF(_xlpm.b="Oct",HEX2OCT(_xlpm.v),"?")))))</f>
        <v>250</v>
      </c>
      <c r="AO33" s="35" cm="1">
        <f t="array" ref="AO33">_xlfn.LET(_xlpm.v,"FA",_xlpm.b,AM30,IF(_xlpm.b="Dec",HEX2DEC(_xlpm.v),IF(_xlpm.b="Hex",_xlpm.v,IF(_xlpm.b="Bin",HEX2BIN(_xlpm.v),IF(_xlpm.b="Oct",HEX2OCT(_xlpm.v),"?")))))</f>
        <v>250</v>
      </c>
      <c r="AP33" s="35" cm="1">
        <f t="array" ref="AP33">_xlfn.LET(_xlpm.v,32,_xlpm.b,AM30,IF(_xlpm.b="Dec",HEX2DEC(_xlpm.v),IF(_xlpm.b="Hex",_xlpm.v,IF(_xlpm.b="Bin",HEX2BIN(_xlpm.v),IF(_xlpm.b="Oct",HEX2OCT(_xlpm.v),"?")))))</f>
        <v>50</v>
      </c>
      <c r="AQ33" s="35" cm="1">
        <f t="array" ref="AQ33">_xlfn.LET(_xlpm.v,32,_xlpm.b,AM30,IF(_xlpm.b="Dec",HEX2DEC(_xlpm.v),IF(_xlpm.b="Hex",_xlpm.v,IF(_xlpm.b="Bin",HEX2BIN(_xlpm.v),IF(_xlpm.b="Oct",HEX2OCT(_xlpm.v),"?")))))</f>
        <v>50</v>
      </c>
      <c r="AR33" s="35" cm="1">
        <f t="array" ref="AR33">_xlfn.LET(_xlpm.v,"1B2F1924",_xlpm.b,AM30,IF(_xlpm.b="Dec",HEX2DEC(_xlpm.v),IF(_xlpm.b="Hex",_xlpm.v,IF(_xlpm.b="Bin",HEX2BIN(_xlpm.v),IF(_xlpm.b="Oct",HEX2OCT(_xlpm.v),"?")))))</f>
        <v>456071460</v>
      </c>
      <c r="AS33" s="35" cm="1">
        <f t="array" ref="AS33">_xlfn.LET(_xlpm.v,12,_xlpm.b,AM30,IF(_xlpm.b="Dec",HEX2DEC(_xlpm.v),IF(_xlpm.b="Hex",_xlpm.v,IF(_xlpm.b="Bin",HEX2BIN(_xlpm.v),IF(_xlpm.b="Oct",HEX2OCT(_xlpm.v),"?")))))</f>
        <v>18</v>
      </c>
      <c r="AT33" s="44"/>
      <c r="AU33" s="44"/>
      <c r="AV33" s="44"/>
      <c r="AW33" s="44"/>
      <c r="AX33" s="57"/>
      <c r="BA33" s="44"/>
      <c r="BB33" s="33" t="s">
        <v>71</v>
      </c>
      <c r="BC33" s="57"/>
      <c r="BD33" s="57"/>
      <c r="BE33" s="57"/>
    </row>
    <row r="34" spans="3:57">
      <c r="C34" s="51"/>
      <c r="D34" s="20" t="s">
        <v>61</v>
      </c>
      <c r="E34" s="20">
        <v>17596</v>
      </c>
      <c r="F34" s="20">
        <v>466</v>
      </c>
      <c r="G34" s="20">
        <v>0</v>
      </c>
      <c r="H34" s="20">
        <v>300</v>
      </c>
      <c r="I34" s="20">
        <v>7164</v>
      </c>
      <c r="AL34" s="44" t="s">
        <v>88</v>
      </c>
      <c r="AM34" s="33" t="s">
        <v>6</v>
      </c>
      <c r="AN34" s="35" cm="1">
        <f t="array" ref="AN34">_xlfn.LET(_xlpm.v,"1",_xlpm.b,AM30,IF(_xlpm.b="Dec",HEX2DEC(_xlpm.v),IF(_xlpm.b="Hex",_xlpm.v,IF(_xlpm.b="Bin",HEX2BIN(_xlpm.v),IF(_xlpm.b="Oct",HEX2OCT(_xlpm.v),"?")))))</f>
        <v>1</v>
      </c>
      <c r="AO34" s="35" cm="1">
        <f t="array" ref="AO34">_xlfn.LET(_xlpm.v,1,_xlpm.b,AM30,IF(_xlpm.b="Dec",HEX2DEC(_xlpm.v),IF(_xlpm.b="Hex",_xlpm.v,IF(_xlpm.b="Bin",HEX2BIN(_xlpm.v),IF(_xlpm.b="Oct",HEX2OCT(_xlpm.v),"?")))))</f>
        <v>1</v>
      </c>
      <c r="AP34" s="35" cm="1">
        <f t="array" ref="AP34">_xlfn.LET(_xlpm.v,1,_xlpm.b,AM30,IF(_xlpm.b="Dec",HEX2DEC(_xlpm.v),IF(_xlpm.b="Hex",_xlpm.v,IF(_xlpm.b="Bin",HEX2BIN(_xlpm.v),IF(_xlpm.b="Oct",HEX2OCT(_xlpm.v),"?")))))</f>
        <v>1</v>
      </c>
      <c r="AQ34" s="35" cm="1">
        <f t="array" ref="AQ34">_xlfn.LET(_xlpm.v,1,_xlpm.b,AM30,IF(_xlpm.b="Dec",HEX2DEC(_xlpm.v),IF(_xlpm.b="Hex",_xlpm.v,IF(_xlpm.b="Bin",HEX2BIN(_xlpm.v),IF(_xlpm.b="Oct",HEX2OCT(_xlpm.v),"?")))))</f>
        <v>1</v>
      </c>
      <c r="AR34" s="35" cm="1">
        <f t="array" ref="AR34">_xlfn.LET(_xlpm.v,"53B2F54",_xlpm.b,AM30,IF(_xlpm.b="Dec",HEX2DEC(_xlpm.v),IF(_xlpm.b="Hex",_xlpm.v,IF(_xlpm.b="Bin",HEX2BIN(_xlpm.v),IF(_xlpm.b="Oct",HEX2OCT(_xlpm.v),"?")))))</f>
        <v>87764820</v>
      </c>
      <c r="AS34" s="35" cm="1">
        <f t="array" ref="AS34">_xlfn.LET(_xlpm.v,"E",_xlpm.b,AM30,IF(_xlpm.b="Dec",HEX2DEC(_xlpm.v),IF(_xlpm.b="Hex",_xlpm.v,IF(_xlpm.b="Bin",HEX2BIN(_xlpm.v),IF(_xlpm.b="Oct",HEX2OCT(_xlpm.v),"?")))))</f>
        <v>14</v>
      </c>
      <c r="AT34" s="44" cm="1">
        <f t="array" ref="AT34">_xlfn.LET(_xlpm.v,DEC2HEX(1629978844),_xlpm.b,AM30,IF(_xlpm.b="Dec",HEX2DEC(_xlpm.v),IF(_xlpm.b="Hex",_xlpm.v,IF(_xlpm.b="Bin",HEX2BIN(_xlpm.v),IF(_xlpm.b="Oct",HEX2OCT(_xlpm.v),"?")))))</f>
        <v>1629978844</v>
      </c>
      <c r="AU34" s="44" cm="1">
        <f t="array" ref="AU34">_xlfn.LET(_xlpm.v,DEC2HEX(2536669725),_xlpm.b,AM30,IF(_xlpm.b="Dec",HEX2DEC(_xlpm.v),IF(_xlpm.b="Hex",_xlpm.v,IF(_xlpm.b="Bin",HEX2BIN(_xlpm.v),IF(_xlpm.b="Oct",HEX2OCT(_xlpm.v),"?")))))</f>
        <v>2536669725</v>
      </c>
      <c r="AV34" s="44" cm="1">
        <f t="array" ref="AV34">_xlfn.LET(_xlpm.v,"3062152",_xlpm.b,AM30,IF(_xlpm.b="Dec",HEX2DEC(_xlpm.v),IF(_xlpm.b="Hex",_xlpm.v,IF(_xlpm.b="Bin",HEX2BIN(_xlpm.v),IF(_xlpm.b="Oct",HEX2OCT(_xlpm.v),"?")))))</f>
        <v>50733394</v>
      </c>
      <c r="AW34" s="44" cm="1">
        <f t="array" ref="AW34">_xlfn.LET(_xlpm.v,"9732821D",_xlpm.b,AM30,IF(_xlpm.b="Dec",HEX2DEC(_xlpm.v),IF(_xlpm.b="Hex",_xlpm.v,IF(_xlpm.b="Bin",HEX2BIN(_xlpm.v),IF(_xlpm.b="Oct",HEX2OCT(_xlpm.v),"?")))))</f>
        <v>2536669725</v>
      </c>
      <c r="AX34" s="57" cm="1">
        <f t="array" ref="AX34">_xlfn.LET(_xlpm.v,"13D1",_xlpm.b,AM30,IF(_xlpm.b="Dec",HEX2DEC(_xlpm.v),IF(_xlpm.b="Hex",_xlpm.v,IF(_xlpm.b="Bin",HEX2BIN(_xlpm.v),IF(_xlpm.b="Oct",HEX2OCT(_xlpm.v),"?")))))</f>
        <v>5073</v>
      </c>
      <c r="BA34" s="44"/>
      <c r="BB34" s="33" t="s">
        <v>76</v>
      </c>
      <c r="BC34" s="57"/>
      <c r="BD34" s="57"/>
      <c r="BE34" s="57"/>
    </row>
    <row r="35" spans="3:57">
      <c r="C35" s="51"/>
      <c r="D35" s="20" t="s">
        <v>68</v>
      </c>
      <c r="E35" s="20">
        <f>SUM(E33:E34)</f>
        <v>21532</v>
      </c>
      <c r="F35" s="20">
        <f t="shared" ref="F35:H35" si="22">SUM(F33:F34)</f>
        <v>578</v>
      </c>
      <c r="G35" s="20">
        <f t="shared" si="22"/>
        <v>0</v>
      </c>
      <c r="H35" s="20">
        <f t="shared" si="22"/>
        <v>300</v>
      </c>
      <c r="I35" s="20">
        <f>SUM(I33:I34)</f>
        <v>16912</v>
      </c>
      <c r="AL35" s="44"/>
      <c r="AM35" s="33" t="s">
        <v>7</v>
      </c>
      <c r="AN35" s="35" cm="1">
        <f t="array" ref="AN35">_xlfn.LET(_xlpm.v,"1F4",_xlpm.b,AM30,IF(_xlpm.b="Dec",HEX2DEC(_xlpm.v),IF(_xlpm.b="Hex",_xlpm.v,IF(_xlpm.b="Bin",HEX2BIN(_xlpm.v),IF(_xlpm.b="Oct",HEX2OCT(_xlpm.v),"?")))))</f>
        <v>500</v>
      </c>
      <c r="AO35" s="35" cm="1">
        <f t="array" ref="AO35">_xlfn.LET(_xlpm.v,"1F4",_xlpm.b,AM30,IF(_xlpm.b="Dec",HEX2DEC(_xlpm.v),IF(_xlpm.b="Hex",_xlpm.v,IF(_xlpm.b="Bin",HEX2BIN(_xlpm.v),IF(_xlpm.b="Oct",HEX2OCT(_xlpm.v),"?")))))</f>
        <v>500</v>
      </c>
      <c r="AP35" s="35" cm="1">
        <f t="array" ref="AP35">_xlfn.LET(_xlpm.v,64,_xlpm.b,AM30,IF(_xlpm.b="Dec",HEX2DEC(_xlpm.v),IF(_xlpm.b="Hex",_xlpm.v,IF(_xlpm.b="Bin",HEX2BIN(_xlpm.v),IF(_xlpm.b="Oct",HEX2OCT(_xlpm.v),"?")))))</f>
        <v>100</v>
      </c>
      <c r="AQ35" s="35" cm="1">
        <f t="array" ref="AQ35">_xlfn.LET(_xlpm.v,64,_xlpm.b,AM30,IF(_xlpm.b="Dec",HEX2DEC(_xlpm.v),IF(_xlpm.b="Hex",_xlpm.v,IF(_xlpm.b="Bin",HEX2BIN(_xlpm.v),IF(_xlpm.b="Oct",HEX2OCT(_xlpm.v),"?")))))</f>
        <v>100</v>
      </c>
      <c r="AR35" s="35" cm="1">
        <f t="array" ref="AR35">_xlfn.LET(_xlpm.v,"2D0D81BC",_xlpm.b,AM30,IF(_xlpm.b="Dec",HEX2DEC(_xlpm.v),IF(_xlpm.b="Hex",_xlpm.v,IF(_xlpm.b="Bin",HEX2BIN(_xlpm.v),IF(_xlpm.b="Oct",HEX2OCT(_xlpm.v),"?")))))</f>
        <v>755859900</v>
      </c>
      <c r="AS35" s="35" cm="1">
        <f t="array" ref="AS35">_xlfn.LET(_xlpm.v,"22",_xlpm.b,AM30,IF(_xlpm.b="Dec",HEX2DEC(_xlpm.v),IF(_xlpm.b="Hex",_xlpm.v,IF(_xlpm.b="Bin",HEX2BIN(_xlpm.v),IF(_xlpm.b="Oct",HEX2OCT(_xlpm.v),"?")))))</f>
        <v>34</v>
      </c>
      <c r="AT35" s="44"/>
      <c r="AU35" s="44"/>
      <c r="AV35" s="44"/>
      <c r="AW35" s="44"/>
      <c r="AX35" s="57"/>
      <c r="BA35" s="44" t="s">
        <v>67</v>
      </c>
      <c r="BB35" s="33" t="s">
        <v>6</v>
      </c>
      <c r="BC35" s="57" cm="1">
        <f t="array" ref="BC35">_xlfn.LET(_xlpm.v,"E29F5A",_xlpm.b,BB28,IF(_xlpm.b="Dec",HEX2DEC(_xlpm.v)/10^6,IF(_xlpm.b="Hex",_xlpm.v,IF(_xlpm.b="Bin",HEX2BIN(_xlpm.v),IF(_xlpm.b="Oct",HEX2OCT(_xlpm.v),"?")))))</f>
        <v>14.851929999999999</v>
      </c>
      <c r="BD35" s="57" cm="1">
        <f t="array" ref="BD35">_xlfn.LET(_xlpm.v,"2C431F98",_xlpm.b,BB28,IF(_xlpm.b="Dec",HEX2DEC(_xlpm.v),IF(_xlpm.b="Hex",_xlpm.v,IF(_xlpm.b="Bin",HEX2BIN(_xlpm.v),IF(_xlpm.b="Oct",HEX2OCT(_xlpm.v),"?")))))</f>
        <v>742596504</v>
      </c>
      <c r="BE35" s="57" cm="1">
        <f t="array" ref="BE35">_xlfn.LET(_xlpm.v,"5CD",_xlpm.b,BB28,IF(_xlpm.b="Dec",HEX2DEC(_xlpm.v),IF(_xlpm.b="Hex",_xlpm.v,IF(_xlpm.b="Bin",HEX2BIN(_xlpm.v),IF(_xlpm.b="Oct",HEX2OCT(_xlpm.v),"?")))))</f>
        <v>1485</v>
      </c>
    </row>
    <row r="36" spans="3:57">
      <c r="C36" s="51"/>
      <c r="D36" s="6" t="s">
        <v>72</v>
      </c>
      <c r="E36" s="17">
        <f>SUM(E35,F35)</f>
        <v>22110</v>
      </c>
      <c r="F36" s="18">
        <f>E36/1024</f>
        <v>21.591796875</v>
      </c>
      <c r="G36" s="18" t="s">
        <v>73</v>
      </c>
      <c r="H36" s="19"/>
      <c r="I36" s="12"/>
      <c r="AL36" s="44" t="s">
        <v>89</v>
      </c>
      <c r="AM36" s="33" t="s">
        <v>6</v>
      </c>
      <c r="AN36" s="35" cm="1">
        <f t="array" ref="AN36">_xlfn.LET(_xlpm.v,1,_xlpm.b,AM30,IF(_xlpm.b="Dec",HEX2DEC(_xlpm.v),IF(_xlpm.b="Hex",_xlpm.v,IF(_xlpm.b="Bin",HEX2BIN(_xlpm.v),IF(_xlpm.b="Oct",HEX2OCT(_xlpm.v),"?")))))</f>
        <v>1</v>
      </c>
      <c r="AO36" s="35" cm="1">
        <f t="array" ref="AO36">_xlfn.LET(_xlpm.v,1,_xlpm.b,AM30,IF(_xlpm.b="Dec",HEX2DEC(_xlpm.v),IF(_xlpm.b="Hex",_xlpm.v,IF(_xlpm.b="Bin",HEX2BIN(_xlpm.v),IF(_xlpm.b="Oct",HEX2OCT(_xlpm.v),"?")))))</f>
        <v>1</v>
      </c>
      <c r="AP36" s="35" cm="1">
        <f t="array" ref="AP36">_xlfn.LET(_xlpm.v,1,_xlpm.b,AM30,IF(_xlpm.b="Dec",HEX2DEC(_xlpm.v),IF(_xlpm.b="Hex",_xlpm.v,IF(_xlpm.b="Bin",HEX2BIN(_xlpm.v),IF(_xlpm.b="Oct",HEX2OCT(_xlpm.v),"?")))))</f>
        <v>1</v>
      </c>
      <c r="AQ36" s="35" cm="1">
        <f t="array" ref="AQ36">_xlfn.LET(_xlpm.v,1,_xlpm.b,AM30,IF(_xlpm.b="Dec",HEX2DEC(_xlpm.v),IF(_xlpm.b="Hex",_xlpm.v,IF(_xlpm.b="Bin",HEX2BIN(_xlpm.v),IF(_xlpm.b="Oct",HEX2OCT(_xlpm.v),"?")))))</f>
        <v>1</v>
      </c>
      <c r="AR36" s="35" cm="1">
        <f t="array" ref="AR36">_xlfn.LET(_xlpm.v,"53B2F54",_xlpm.b,AM30,IF(_xlpm.b="Dec",HEX2DEC(_xlpm.v),IF(_xlpm.b="Hex",_xlpm.v,IF(_xlpm.b="Bin",HEX2BIN(_xlpm.v),IF(_xlpm.b="Oct",HEX2OCT(_xlpm.v),"?")))))</f>
        <v>87764820</v>
      </c>
      <c r="AS36" s="35" cm="1">
        <f t="array" ref="AS36">_xlfn.LET(_xlpm.v,"E",_xlpm.b,AM30,IF(_xlpm.b="Dec",HEX2DEC(_xlpm.v),IF(_xlpm.b="Hex",_xlpm.v,IF(_xlpm.b="Bin",HEX2BIN(_xlpm.v),IF(_xlpm.b="Oct",HEX2OCT(_xlpm.v),"?")))))</f>
        <v>14</v>
      </c>
      <c r="AT36" s="44" cm="1">
        <f t="array" ref="AT36">_xlfn.LET(_xlpm.v,DEC2HEX(407494711),_xlpm.b,AM30,IF(_xlpm.b="Dec",HEX2DEC(_xlpm.v),IF(_xlpm.b="Hex",_xlpm.v,IF(_xlpm.b="Bin",HEX2BIN(_xlpm.v),IF(_xlpm.b="Oct",HEX2OCT(_xlpm.v),"?")))))</f>
        <v>407494711</v>
      </c>
      <c r="AU36" s="44" cm="1">
        <f t="array" ref="AU36">_xlfn.LET(_xlpm.v,DEC2HEX(1314185592),_xlpm.b,AM30,IF(_xlpm.b="Dec",HEX2DEC(_xlpm.v),IF(_xlpm.b="Hex",_xlpm.v,IF(_xlpm.b="Bin",HEX2BIN(_xlpm.v),IF(_xlpm.b="Oct",HEX2OCT(_xlpm.v),"?")))))</f>
        <v>1314185592</v>
      </c>
      <c r="AV36" s="44" cm="1">
        <f t="array" ref="AV36">_xlfn.LET(_xlpm.v,"1910EBF",_xlpm.b,AM30,IF(_xlpm.b="Dec",HEX2DEC(_xlpm.v),IF(_xlpm.b="Hex",_xlpm.v,IF(_xlpm.b="Bin",HEX2BIN(_xlpm.v),IF(_xlpm.b="Oct",HEX2OCT(_xlpm.v),"?")))))</f>
        <v>26283711</v>
      </c>
      <c r="AW36" s="44" cm="1">
        <f t="array" ref="AW36">_xlfn.LET(_xlpm.v,"4E54E178",_xlpm.b,AM30,IF(_xlpm.b="Dec",HEX2DEC(_xlpm.v),IF(_xlpm.b="Hex",_xlpm.v,IF(_xlpm.b="Bin",HEX2BIN(_xlpm.v),IF(_xlpm.b="Oct",HEX2OCT(_xlpm.v),"?")))))</f>
        <v>1314185592</v>
      </c>
      <c r="AX36" s="57" cm="1">
        <f t="array" ref="AX36">_xlfn.LET(_xlpm.v,"A44",_xlpm.b,AM30,IF(_xlpm.b="Dec",HEX2DEC(_xlpm.v),IF(_xlpm.b="Hex",_xlpm.v,IF(_xlpm.b="Bin",HEX2BIN(_xlpm.v),IF(_xlpm.b="Oct",HEX2OCT(_xlpm.v),"?")))))</f>
        <v>2628</v>
      </c>
      <c r="BA36" s="44"/>
      <c r="BB36" s="33" t="s">
        <v>71</v>
      </c>
      <c r="BC36" s="57"/>
      <c r="BD36" s="57"/>
      <c r="BE36" s="57"/>
    </row>
    <row r="37" spans="3:57">
      <c r="C37" s="51"/>
      <c r="D37" s="2" t="s">
        <v>77</v>
      </c>
      <c r="E37" s="7">
        <f>SUM(G35,H35)</f>
        <v>300</v>
      </c>
      <c r="F37" s="2">
        <f>E37/1024</f>
        <v>0.29296875</v>
      </c>
      <c r="G37" s="22" t="s">
        <v>73</v>
      </c>
      <c r="H37" s="9"/>
      <c r="I37" s="10"/>
      <c r="AL37" s="44"/>
      <c r="AM37" s="33" t="s">
        <v>7</v>
      </c>
      <c r="AN37" s="35" cm="1">
        <f t="array" ref="AN37">_xlfn.LET(_xlpm.v,"7D",_xlpm.b,AM30,IF(_xlpm.b="Dec",HEX2DEC(_xlpm.v),IF(_xlpm.b="Hex",_xlpm.v,IF(_xlpm.b="Bin",HEX2BIN(_xlpm.v),IF(_xlpm.b="Oct",HEX2OCT(_xlpm.v),"?")))))</f>
        <v>125</v>
      </c>
      <c r="AO37" s="35" cm="1">
        <f t="array" ref="AO37">_xlfn.LET(_xlpm.v,"7D",_xlpm.b,AM30,IF(_xlpm.b="Dec",HEX2DEC(_xlpm.v),IF(_xlpm.b="Hex",_xlpm.v,IF(_xlpm.b="Bin",HEX2BIN(_xlpm.v),IF(_xlpm.b="Oct",HEX2OCT(_xlpm.v),"?")))))</f>
        <v>125</v>
      </c>
      <c r="AP37" s="35" cm="1">
        <f t="array" ref="AP37">_xlfn.LET(_xlpm.v,19,_xlpm.b,AM30,IF(_xlpm.b="Dec",HEX2DEC(_xlpm.v),IF(_xlpm.b="Hex",_xlpm.v,IF(_xlpm.b="Bin",HEX2BIN(_xlpm.v),IF(_xlpm.b="Oct",HEX2OCT(_xlpm.v),"?")))))</f>
        <v>25</v>
      </c>
      <c r="AQ37" s="35" cm="1">
        <f t="array" ref="AQ37">_xlfn.LET(_xlpm.v,19,_xlpm.b,AM30,IF(_xlpm.b="Dec",HEX2DEC(_xlpm.v),IF(_xlpm.b="Hex",_xlpm.v,IF(_xlpm.b="Bin",HEX2BIN(_xlpm.v),IF(_xlpm.b="Oct",HEX2OCT(_xlpm.v),"?")))))</f>
        <v>25</v>
      </c>
      <c r="AR37" s="35" cm="1">
        <f t="array" ref="AR37">_xlfn.LET(_xlpm.v,"123FE4D8",_xlpm.b,AM30,IF(_xlpm.b="Dec",HEX2DEC(_xlpm.v),IF(_xlpm.b="Hex",_xlpm.v,IF(_xlpm.b="Bin",HEX2BIN(_xlpm.v),IF(_xlpm.b="Oct",HEX2OCT(_xlpm.v),"?")))))</f>
        <v>306177240</v>
      </c>
      <c r="AS37" s="35" cm="1">
        <f t="array" ref="AS37">_xlfn.LET(_xlpm.v,"A",_xlpm.b,AM30,IF(_xlpm.b="Dec",HEX2DEC(_xlpm.v),IF(_xlpm.b="Hex",_xlpm.v,IF(_xlpm.b="Bin",HEX2BIN(_xlpm.v),IF(_xlpm.b="Oct",HEX2OCT(_xlpm.v),"?")))))</f>
        <v>10</v>
      </c>
      <c r="AT37" s="44"/>
      <c r="AU37" s="44"/>
      <c r="AV37" s="44"/>
      <c r="AW37" s="44"/>
      <c r="AX37" s="57"/>
      <c r="BA37" s="44"/>
      <c r="BB37" s="33" t="s">
        <v>76</v>
      </c>
      <c r="BC37" s="57"/>
      <c r="BD37" s="57"/>
      <c r="BE37" s="57"/>
    </row>
    <row r="38" spans="3:57">
      <c r="C38" s="52"/>
      <c r="D38" s="1" t="s">
        <v>6</v>
      </c>
      <c r="E38" s="14">
        <f>SUM(E35:G35)</f>
        <v>22110</v>
      </c>
      <c r="F38" s="1">
        <f t="shared" ref="F37:F38" si="23">E38/1024</f>
        <v>21.591796875</v>
      </c>
      <c r="G38" s="14" t="s">
        <v>73</v>
      </c>
      <c r="H38" s="11"/>
      <c r="I38" s="10"/>
      <c r="AL38" s="44" t="s">
        <v>90</v>
      </c>
      <c r="AM38" s="33" t="s">
        <v>6</v>
      </c>
      <c r="AN38" s="35" cm="1">
        <f t="array" ref="AN38">_xlfn.LET(_xlpm.v,1,_xlpm.b,AM30,IF(_xlpm.b="Dec",HEX2DEC(_xlpm.v),IF(_xlpm.b="Hex",_xlpm.v,IF(_xlpm.b="Bin",HEX2BIN(_xlpm.v),IF(_xlpm.b="Oct",HEX2OCT(_xlpm.v),"?")))))</f>
        <v>1</v>
      </c>
      <c r="AO38" s="35" cm="1">
        <f t="array" ref="AO38">_xlfn.LET(_xlpm.v,1,_xlpm.b,AM30,IF(_xlpm.b="Dec",HEX2DEC(_xlpm.v),IF(_xlpm.b="Hex",_xlpm.v,IF(_xlpm.b="Bin",HEX2BIN(_xlpm.v),IF(_xlpm.b="Oct",HEX2OCT(_xlpm.v),"?")))))</f>
        <v>1</v>
      </c>
      <c r="AP38" s="35" cm="1">
        <f t="array" ref="AP38">_xlfn.LET(_xlpm.v,1,_xlpm.b,AM30,IF(_xlpm.b="Dec",HEX2DEC(_xlpm.v),IF(_xlpm.b="Hex",_xlpm.v,IF(_xlpm.b="Bin",HEX2BIN(_xlpm.v),IF(_xlpm.b="Oct",HEX2OCT(_xlpm.v),"?")))))</f>
        <v>1</v>
      </c>
      <c r="AQ38" s="35" cm="1">
        <f t="array" ref="AQ38">_xlfn.LET(_xlpm.v,1,_xlpm.b,AM30,IF(_xlpm.b="Dec",HEX2DEC(_xlpm.v),IF(_xlpm.b="Hex",_xlpm.v,IF(_xlpm.b="Bin",HEX2BIN(_xlpm.v),IF(_xlpm.b="Oct",HEX2OCT(_xlpm.v),"?")))))</f>
        <v>1</v>
      </c>
      <c r="AR38" s="35" cm="1">
        <f t="array" ref="AR38">_xlfn.LET(_xlpm.v,"53B2F54",_xlpm.b,AM30,IF(_xlpm.b="Dec",HEX2DEC(_xlpm.v),IF(_xlpm.b="Hex",_xlpm.v,IF(_xlpm.b="Bin",HEX2BIN(_xlpm.v),IF(_xlpm.b="Oct",HEX2OCT(_xlpm.v),"?")))))</f>
        <v>87764820</v>
      </c>
      <c r="AS38" s="35" cm="1">
        <f t="array" ref="AS38">_xlfn.LET(_xlpm.v,"E",_xlpm.b,AM30,IF(_xlpm.b="Dec",HEX2DEC(_xlpm.v),IF(_xlpm.b="Hex",_xlpm.v,IF(_xlpm.b="Bin",HEX2BIN(_xlpm.v),IF(_xlpm.b="Oct",HEX2OCT(_xlpm.v),"?")))))</f>
        <v>14</v>
      </c>
      <c r="AT38" s="44" cm="1">
        <f t="array" ref="AT38">_xlfn.LET(_xlpm.v,DEC2HEX(910745500),_xlpm.b,AM30,IF(_xlpm.b="Dec",HEX2DEC(_xlpm.v),IF(_xlpm.b="Hex",_xlpm.v,IF(_xlpm.b="Bin",HEX2BIN(_xlpm.v),IF(_xlpm.b="Oct",HEX2OCT(_xlpm.v),"?")))))</f>
        <v>910745500</v>
      </c>
      <c r="AU38" s="44" cm="1">
        <f t="array" ref="AU38">_xlfn.LET(_xlpm.v,DEC2HEX(1817436381),_xlpm.b,AM30,IF(_xlpm.b="Dec",HEX2DEC(_xlpm.v),IF(_xlpm.b="Hex",_xlpm.v,IF(_xlpm.b="Bin",HEX2BIN(_xlpm.v),IF(_xlpm.b="Oct",HEX2OCT(_xlpm.v),"?")))))</f>
        <v>1817436381</v>
      </c>
      <c r="AV38" s="44" cm="1">
        <f t="array" ref="AV38">_xlfn.LET(_xlpm.v,"22AA337",_xlpm.b,AM30,IF(_xlpm.b="Dec",HEX2DEC(_xlpm.v),IF(_xlpm.b="Hex",_xlpm.v,IF(_xlpm.b="Bin",HEX2BIN(_xlpm.v),IF(_xlpm.b="Oct",HEX2OCT(_xlpm.v),"?")))))</f>
        <v>36348727</v>
      </c>
      <c r="AW38" s="44" cm="1">
        <f t="array" ref="AW38">_xlfn.LET(_xlpm.v,"6C53E0DD",_xlpm.b,AM30,IF(_xlpm.b="Dec",HEX2DEC(_xlpm.v),IF(_xlpm.b="Hex",_xlpm.v,IF(_xlpm.b="Bin",HEX2BIN(_xlpm.v),IF(_xlpm.b="Oct",HEX2OCT(_xlpm.v),"?")))))</f>
        <v>1817436381</v>
      </c>
      <c r="AX38" s="57" cm="1">
        <f t="array" ref="AX38">_xlfn.LET(_xlpm.v,"E32",_xlpm.b,AM30,IF(_xlpm.b="Dec",HEX2DEC(_xlpm.v),IF(_xlpm.b="Hex",_xlpm.v,IF(_xlpm.b="Bin",HEX2BIN(_xlpm.v),IF(_xlpm.b="Oct",HEX2OCT(_xlpm.v),"?")))))</f>
        <v>3634</v>
      </c>
      <c r="BA38" s="44" t="s">
        <v>52</v>
      </c>
      <c r="BB38" s="33" t="s">
        <v>6</v>
      </c>
      <c r="BC38" s="57" cm="1">
        <f t="array" ref="BC38">_xlfn.LET(_xlpm.v,"1910EBF",_xlpm.b,BB28,IF(_xlpm.b="Dec",HEX2DEC(_xlpm.v)/10^6,IF(_xlpm.b="Hex",_xlpm.v,IF(_xlpm.b="Bin",HEX2BIN(_xlpm.v),IF(_xlpm.b="Oct",HEX2OCT(_xlpm.v),"?")))))</f>
        <v>26.283711</v>
      </c>
      <c r="BD38" s="57" cm="1">
        <f t="array" ref="BD38">_xlfn.LET(_xlpm.v,"4E54E178",_xlpm.b,BB28,IF(_xlpm.b="Dec",HEX2DEC(_xlpm.v),IF(_xlpm.b="Hex",_xlpm.v,IF(_xlpm.b="Bin",HEX2BIN(_xlpm.v),IF(_xlpm.b="Oct",HEX2OCT(_xlpm.v),"?")))))</f>
        <v>1314185592</v>
      </c>
      <c r="BE38" s="57" cm="1">
        <f t="array" ref="BE38">_xlfn.LET(_xlpm.v,"A44",_xlpm.b,BB28,IF(_xlpm.b="Dec",HEX2DEC(_xlpm.v),IF(_xlpm.b="Hex",_xlpm.v,IF(_xlpm.b="Bin",HEX2BIN(_xlpm.v),IF(_xlpm.b="Oct",HEX2OCT(_xlpm.v),"?")))))</f>
        <v>2628</v>
      </c>
    </row>
    <row r="39" spans="3:57">
      <c r="C39" s="5"/>
      <c r="D39" s="19"/>
      <c r="E39" s="19"/>
      <c r="F39" s="29"/>
      <c r="G39" s="19"/>
      <c r="H39" s="19"/>
      <c r="I39" s="8"/>
      <c r="AL39" s="41"/>
      <c r="AM39" s="34" t="s">
        <v>7</v>
      </c>
      <c r="AN39" s="58" cm="1">
        <f t="array" ref="AN39">_xlfn.LET(_xlpm.v,"FA",_xlpm.b,AM30,IF(_xlpm.b="Dec",HEX2DEC(_xlpm.v),IF(_xlpm.b="Hex",_xlpm.v,IF(_xlpm.b="Bin",HEX2BIN(_xlpm.v),IF(_xlpm.b="Oct",HEX2OCT(_xlpm.v),"?")))))</f>
        <v>250</v>
      </c>
      <c r="AO39" s="58" cm="1">
        <f t="array" ref="AO39">_xlfn.LET(_xlpm.v,"FA",_xlpm.b,AM30,IF(_xlpm.b="Dec",HEX2DEC(_xlpm.v),IF(_xlpm.b="Hex",_xlpm.v,IF(_xlpm.b="Bin",HEX2BIN(_xlpm.v),IF(_xlpm.b="Oct",HEX2OCT(_xlpm.v),"?")))))</f>
        <v>250</v>
      </c>
      <c r="AP39" s="58" cm="1">
        <f t="array" ref="AP39">_xlfn.LET(_xlpm.v,64,_xlpm.b,AM30,IF(_xlpm.b="Dec",HEX2DEC(_xlpm.v),IF(_xlpm.b="Hex",_xlpm.v,IF(_xlpm.b="Bin",HEX2BIN(_xlpm.v),IF(_xlpm.b="Oct",HEX2OCT(_xlpm.v),"?")))))</f>
        <v>100</v>
      </c>
      <c r="AQ39" s="58" cm="1">
        <f t="array" ref="AQ39">_xlfn.LET(_xlpm.v,64,_xlpm.b,AM30,IF(_xlpm.b="Dec",HEX2DEC(_xlpm.v),IF(_xlpm.b="Hex",_xlpm.v,IF(_xlpm.b="Bin",HEX2BIN(_xlpm.v),IF(_xlpm.b="Oct",HEX2OCT(_xlpm.v),"?")))))</f>
        <v>100</v>
      </c>
      <c r="AR39" s="58" cm="1">
        <f t="array" ref="AR39">_xlfn.LET(_xlpm.v,"161FF4BC",_xlpm.b,AM30,IF(_xlpm.b="Dec",HEX2DEC(_xlpm.v),IF(_xlpm.b="Hex",_xlpm.v,IF(_xlpm.b="Bin",HEX2BIN(_xlpm.v),IF(_xlpm.b="Oct",HEX2OCT(_xlpm.v),"?")))))</f>
        <v>371193020</v>
      </c>
      <c r="AS39" s="58" cm="1">
        <f t="array" ref="AS39">_xlfn.LET(_xlpm.v,14,_xlpm.b,AM30,IF(_xlpm.b="Dec",HEX2DEC(_xlpm.v),IF(_xlpm.b="Hex",_xlpm.v,IF(_xlpm.b="Bin",HEX2BIN(_xlpm.v),IF(_xlpm.b="Oct",HEX2OCT(_xlpm.v),"?")))))</f>
        <v>20</v>
      </c>
      <c r="AT39" s="41"/>
      <c r="AU39" s="41"/>
      <c r="AV39" s="41"/>
      <c r="AW39" s="41"/>
      <c r="AX39" s="45"/>
      <c r="BA39" s="44"/>
      <c r="BB39" s="33" t="s">
        <v>7</v>
      </c>
      <c r="BC39" s="57"/>
      <c r="BD39" s="57"/>
      <c r="BE39" s="57"/>
    </row>
    <row r="40" spans="3:57">
      <c r="C40" s="50" t="s">
        <v>74</v>
      </c>
      <c r="D40" s="1" t="s">
        <v>54</v>
      </c>
      <c r="E40" s="1">
        <v>3936</v>
      </c>
      <c r="F40" s="1">
        <v>112</v>
      </c>
      <c r="G40" s="1">
        <v>0</v>
      </c>
      <c r="H40" s="1">
        <v>0</v>
      </c>
      <c r="I40" s="1">
        <v>9764</v>
      </c>
      <c r="AL40" s="44" t="s">
        <v>91</v>
      </c>
      <c r="AM40" s="59" t="s">
        <v>6</v>
      </c>
      <c r="AN40" s="35" cm="1">
        <f t="array" ref="AN40">_xlfn.LET(_xlpm.v,1,_xlpm.b,AM30,IF(_xlpm.b="Dec",HEX2DEC(_xlpm.v),IF(_xlpm.b="Hex",_xlpm.v,IF(_xlpm.b="Bin",HEX2BIN(_xlpm.v),IF(_xlpm.b="Oct",HEX2OCT(_xlpm.v),"?")))))</f>
        <v>1</v>
      </c>
      <c r="AO40" s="35" cm="1">
        <f t="array" ref="AO40">_xlfn.LET(_xlpm.v,1,_xlpm.b,AM30,IF(_xlpm.b="Dec",HEX2DEC(_xlpm.v),IF(_xlpm.b="Hex",_xlpm.v,IF(_xlpm.b="Bin",HEX2BIN(_xlpm.v),IF(_xlpm.b="Oct",HEX2OCT(_xlpm.v),"?")))))</f>
        <v>1</v>
      </c>
      <c r="AP40" s="35" cm="1">
        <f t="array" ref="AP40">_xlfn.LET(_xlpm.v,1,_xlpm.b,AM30,IF(_xlpm.b="Dec",HEX2DEC(_xlpm.v),IF(_xlpm.b="Hex",_xlpm.v,IF(_xlpm.b="Bin",HEX2BIN(_xlpm.v),IF(_xlpm.b="Oct",HEX2OCT(_xlpm.v),"?")))))</f>
        <v>1</v>
      </c>
      <c r="AQ40" s="35" cm="1">
        <f t="array" ref="AQ40">_xlfn.LET(_xlpm.v,1,_xlpm.b,AM30,IF(_xlpm.b="Dec",HEX2DEC(_xlpm.v),IF(_xlpm.b="Hex",_xlpm.v,IF(_xlpm.b="Bin",HEX2BIN(_xlpm.v),IF(_xlpm.b="Oct",HEX2OCT(_xlpm.v),"?")))))</f>
        <v>1</v>
      </c>
      <c r="AR40" s="35" cm="1">
        <f t="array" ref="AR40">_xlfn.LET(_xlpm.v,"53B2F54",_xlpm.b,AM30,IF(_xlpm.b="Dec",HEX2DEC(_xlpm.v),IF(_xlpm.b="Hex",_xlpm.v,IF(_xlpm.b="Bin",HEX2BIN(_xlpm.v),IF(_xlpm.b="Oct",HEX2OCT(_xlpm.v),"?")))))</f>
        <v>87764820</v>
      </c>
      <c r="AS40" s="35" cm="1">
        <f t="array" ref="AS40">_xlfn.LET(_xlpm.v,"E",_xlpm.b,AM30,IF(_xlpm.b="Dec",HEX2DEC(_xlpm.v),IF(_xlpm.b="Hex",_xlpm.v,IF(_xlpm.b="Bin",HEX2BIN(_xlpm.v),IF(_xlpm.b="Oct",HEX2OCT(_xlpm.v),"?")))))</f>
        <v>14</v>
      </c>
      <c r="AT40" s="44" cm="1">
        <f t="array" ref="AT40">_xlfn.LET(_xlpm.v,DEC2HEX(767111383),_xlpm.b,AM30,IF(_xlpm.b="Dec",HEX2DEC(_xlpm.v),IF(_xlpm.b="Hex",_xlpm.v,IF(_xlpm.b="Bin",HEX2BIN(_xlpm.v),IF(_xlpm.b="Oct",HEX2OCT(_xlpm.v),"?")))))</f>
        <v>767111383</v>
      </c>
      <c r="AU40" s="44" cm="1">
        <f t="array" ref="AU40">_xlfn.LET(_xlpm.v,DEC2HEX(1673802264),_xlpm.b,AM30,IF(_xlpm.b="Dec",HEX2DEC(_xlpm.v),IF(_xlpm.b="Hex",_xlpm.v,IF(_xlpm.b="Bin",HEX2BIN(_xlpm.v),IF(_xlpm.b="Oct",HEX2OCT(_xlpm.v),"?")))))</f>
        <v>1673802264</v>
      </c>
      <c r="AV40" s="44" cm="1">
        <f t="array" ref="AV40">_xlfn.LET(_xlpm.v,"1FECDCD",_xlpm.b,AM30,IF(_xlpm.b="Dec",HEX2DEC(_xlpm.v),IF(_xlpm.b="Hex",_xlpm.v,IF(_xlpm.b="Bin",HEX2BIN(_xlpm.v),IF(_xlpm.b="Oct",HEX2OCT(_xlpm.v),"?")))))</f>
        <v>33476045</v>
      </c>
      <c r="AW40" s="44" cm="1">
        <f t="array" ref="AW40">_xlfn.LET(_xlpm.v,"63C43218",_xlpm.b,AM30,IF(_xlpm.b="Dec",HEX2DEC(_xlpm.v),IF(_xlpm.b="Hex",_xlpm.v,IF(_xlpm.b="Bin",HEX2BIN(_xlpm.v),IF(_xlpm.b="Oct",HEX2OCT(_xlpm.v),"?")))))</f>
        <v>1673802264</v>
      </c>
      <c r="AX40" s="57" cm="1">
        <f t="array" ref="AX40">_xlfn.LET(_xlpm.v,"D13",_xlpm.b,AM30,IF(_xlpm.b="Dec",HEX2DEC(_xlpm.v),IF(_xlpm.b="Hex",_xlpm.v,IF(_xlpm.b="Bin",HEX2BIN(_xlpm.v),IF(_xlpm.b="Oct",HEX2OCT(_xlpm.v),"?")))))</f>
        <v>3347</v>
      </c>
    </row>
    <row r="41" spans="3:57">
      <c r="C41" s="51"/>
      <c r="D41" s="20" t="s">
        <v>61</v>
      </c>
      <c r="E41" s="20">
        <v>17596</v>
      </c>
      <c r="F41" s="20">
        <v>466</v>
      </c>
      <c r="G41" s="20">
        <v>0</v>
      </c>
      <c r="H41" s="20">
        <v>300</v>
      </c>
      <c r="I41" s="20">
        <v>7164</v>
      </c>
      <c r="AL41" s="44"/>
      <c r="AM41" s="59" t="s">
        <v>7</v>
      </c>
      <c r="AN41" s="35" cm="1">
        <f t="array" ref="AN41">_xlfn.LET(_xlpm.v,"FA",_xlpm.b,AM30,IF(_xlpm.b="Dec",HEX2DEC(_xlpm.v),IF(_xlpm.b="Hex",_xlpm.v,IF(_xlpm.b="Bin",HEX2BIN(_xlpm.v),IF(_xlpm.b="Oct",HEX2OCT(_xlpm.v),"?")))))</f>
        <v>250</v>
      </c>
      <c r="AO41" s="35" cm="1">
        <f t="array" ref="AO41">_xlfn.LET(_xlpm.v,"FA",_xlpm.b,AM30,IF(_xlpm.b="Dec",HEX2DEC(_xlpm.v),IF(_xlpm.b="Hex",_xlpm.v,IF(_xlpm.b="Bin",HEX2BIN(_xlpm.v),IF(_xlpm.b="Oct",HEX2OCT(_xlpm.v),"?")))))</f>
        <v>250</v>
      </c>
      <c r="AP41" s="35" cm="1">
        <f t="array" ref="AP41">_xlfn.LET(_xlpm.v,"19",_xlpm.b,AM30,IF(_xlpm.b="Dec",HEX2DEC(_xlpm.v),IF(_xlpm.b="Hex",_xlpm.v,IF(_xlpm.b="Bin",HEX2BIN(_xlpm.v),IF(_xlpm.b="Oct",HEX2OCT(_xlpm.v),"?")))))</f>
        <v>25</v>
      </c>
      <c r="AQ41" s="35" cm="1">
        <f t="array" ref="AQ41">_xlfn.LET(_xlpm.v,"19",_xlpm.b,AM30,IF(_xlpm.b="Dec",HEX2DEC(_xlpm.v),IF(_xlpm.b="Hex",_xlpm.v,IF(_xlpm.b="Bin",HEX2BIN(_xlpm.v),IF(_xlpm.b="Oct",HEX2OCT(_xlpm.v),"?")))))</f>
        <v>25</v>
      </c>
      <c r="AR41" s="35" cm="1">
        <f t="array" ref="AR41">_xlfn.LET(_xlpm.v,"1DB6AB58",_xlpm.b,AM30,IF(_xlpm.b="Dec",HEX2DEC(_xlpm.v),IF(_xlpm.b="Hex",_xlpm.v,IF(_xlpm.b="Bin",HEX2BIN(_xlpm.v),IF(_xlpm.b="Oct",HEX2OCT(_xlpm.v),"?")))))</f>
        <v>498510680</v>
      </c>
      <c r="AS41" s="35" cm="1">
        <f t="array" ref="AS41">_xlfn.LET(_xlpm.v,"11",_xlpm.b,AM30,IF(_xlpm.b="Dec",HEX2DEC(_xlpm.v),IF(_xlpm.b="Hex",_xlpm.v,IF(_xlpm.b="Bin",HEX2BIN(_xlpm.v),IF(_xlpm.b="Oct",HEX2OCT(_xlpm.v),"?")))))</f>
        <v>17</v>
      </c>
      <c r="AT41" s="44"/>
      <c r="AU41" s="44"/>
      <c r="AV41" s="44"/>
      <c r="AW41" s="44"/>
      <c r="AX41" s="57"/>
    </row>
    <row r="42" spans="3:57">
      <c r="C42" s="51"/>
      <c r="D42" s="20" t="s">
        <v>68</v>
      </c>
      <c r="E42" s="20">
        <f>SUM(E40:E41)</f>
        <v>21532</v>
      </c>
      <c r="F42" s="20">
        <f t="shared" ref="F42:H42" si="24">SUM(F40:F41)</f>
        <v>578</v>
      </c>
      <c r="G42" s="20">
        <f t="shared" si="24"/>
        <v>0</v>
      </c>
      <c r="H42" s="20">
        <f t="shared" si="24"/>
        <v>300</v>
      </c>
      <c r="I42" s="20">
        <f>SUM(I40:I41)</f>
        <v>16928</v>
      </c>
    </row>
    <row r="43" spans="3:57">
      <c r="C43" s="51"/>
      <c r="D43" s="6" t="s">
        <v>72</v>
      </c>
      <c r="E43" s="17">
        <f>SUM(E42,F42)</f>
        <v>22110</v>
      </c>
      <c r="F43" s="18">
        <f>E43/1024</f>
        <v>21.591796875</v>
      </c>
      <c r="G43" s="18" t="s">
        <v>73</v>
      </c>
      <c r="H43" s="19"/>
      <c r="I43" s="12"/>
    </row>
    <row r="44" spans="3:57">
      <c r="C44" s="51"/>
      <c r="D44" s="2" t="s">
        <v>77</v>
      </c>
      <c r="E44" s="7">
        <f>SUM(G42,H42)</f>
        <v>300</v>
      </c>
      <c r="F44" s="2">
        <f>E44/(1024)</f>
        <v>0.29296875</v>
      </c>
      <c r="G44" s="22" t="s">
        <v>73</v>
      </c>
      <c r="H44" s="9"/>
      <c r="I44" s="10"/>
      <c r="AL44" t="s">
        <v>0</v>
      </c>
      <c r="AM44" t="s">
        <v>4</v>
      </c>
      <c r="AN44" s="47" t="s">
        <v>3</v>
      </c>
      <c r="AO44" s="47"/>
      <c r="AP44" s="47"/>
      <c r="AQ44" s="47"/>
    </row>
    <row r="45" spans="3:57">
      <c r="C45" s="52"/>
      <c r="D45" s="1" t="s">
        <v>6</v>
      </c>
      <c r="E45" s="14">
        <f>SUM(E42:G42)</f>
        <v>22110</v>
      </c>
      <c r="F45" s="1">
        <f t="shared" ref="F44:F45" si="25">E45/1024</f>
        <v>21.591796875</v>
      </c>
      <c r="G45" s="14" t="s">
        <v>73</v>
      </c>
      <c r="H45" s="11"/>
      <c r="I45" s="10"/>
      <c r="AL45" s="34" t="s">
        <v>35</v>
      </c>
      <c r="AM45" s="34" t="s">
        <v>22</v>
      </c>
      <c r="AN45" s="38" t="s">
        <v>25</v>
      </c>
      <c r="AO45" s="38" t="s">
        <v>26</v>
      </c>
      <c r="AP45" s="38" t="s">
        <v>27</v>
      </c>
      <c r="AQ45" s="38" t="s">
        <v>28</v>
      </c>
      <c r="AR45" s="34" t="s">
        <v>33</v>
      </c>
      <c r="AS45" s="39" t="s">
        <v>34</v>
      </c>
      <c r="AT45" s="33" t="s">
        <v>84</v>
      </c>
      <c r="AU45" s="33" t="s">
        <v>17</v>
      </c>
      <c r="AV45" s="33" t="s">
        <v>36</v>
      </c>
      <c r="AW45" s="33" t="s">
        <v>37</v>
      </c>
      <c r="AX45" s="33" t="s">
        <v>38</v>
      </c>
    </row>
    <row r="46" spans="3:57">
      <c r="C46" s="5"/>
      <c r="D46" s="19"/>
      <c r="E46" s="19"/>
      <c r="F46" s="29"/>
      <c r="G46" s="19"/>
      <c r="H46" s="19"/>
      <c r="I46" s="8"/>
      <c r="AL46" s="44" t="s">
        <v>85</v>
      </c>
      <c r="AM46" s="33" t="s">
        <v>6</v>
      </c>
      <c r="AN46" s="35" cm="1">
        <f t="array" ref="AN46">_xlfn.LET(_xlpm.v,1,_xlpm.b,AM44,IF(_xlpm.b="Dec",HEX2DEC(_xlpm.v),IF(_xlpm.b="Hex",_xlpm.v,IF(_xlpm.b="Bin",HEX2BIN(_xlpm.v),IF(_xlpm.b="Oct",HEX2OCT(_xlpm.v),"?")))))</f>
        <v>1</v>
      </c>
      <c r="AO46" s="35" cm="1">
        <f t="array" ref="AO46">_xlfn.LET(_xlpm.v,1,_xlpm.b,AM44,IF(_xlpm.b="Dec",HEX2DEC(_xlpm.v),IF(_xlpm.b="Hex",_xlpm.v,IF(_xlpm.b="Bin",HEX2BIN(_xlpm.v),IF(_xlpm.b="Oct",HEX2OCT(_xlpm.v),"?")))))</f>
        <v>1</v>
      </c>
      <c r="AP46" s="35" cm="1">
        <f t="array" ref="AP46">_xlfn.LET(_xlpm.v,1,_xlpm.b,AM44,IF(_xlpm.b="Dec",HEX2DEC(_xlpm.v),IF(_xlpm.b="Hex",_xlpm.v,IF(_xlpm.b="Bin",HEX2BIN(_xlpm.v),IF(_xlpm.b="Oct",HEX2OCT(_xlpm.v),"?")))))</f>
        <v>1</v>
      </c>
      <c r="AQ46" s="35" cm="1">
        <f t="array" ref="AQ46">_xlfn.LET(_xlpm.v,1,_xlpm.b,AM44,IF(_xlpm.b="Dec",HEX2DEC(_xlpm.v),IF(_xlpm.b="Hex",_xlpm.v,IF(_xlpm.b="Bin",HEX2BIN(_xlpm.v),IF(_xlpm.b="Oct",HEX2OCT(_xlpm.v),"?")))))</f>
        <v>1</v>
      </c>
      <c r="AR46" s="35" cm="1">
        <f t="array" ref="AR46">_xlfn.LET(_xlpm.v,"27491908",_xlpm.b,AM44,IF(_xlpm.b="Dec",HEX2DEC(_xlpm.v),IF(_xlpm.b="Hex",_xlpm.v,IF(_xlpm.b="Bin",HEX2BIN(_xlpm.v),IF(_xlpm.b="Oct",HEX2OCT(_xlpm.v),"?")))))</f>
        <v>659101960</v>
      </c>
      <c r="AS46" s="37" cm="1">
        <f t="array" ref="AS46">_xlfn.LET(_xlpm.v,"B",_xlpm.b,AM44,IF(_xlpm.b="Dec",HEX2DEC(_xlpm.v),IF(_xlpm.b="Hex",_xlpm.v,IF(_xlpm.b="Bin",HEX2BIN(_xlpm.v),IF(_xlpm.b="Oct",HEX2OCT(_xlpm.v),"?")))))</f>
        <v>11</v>
      </c>
      <c r="AT46" s="41" cm="1">
        <f t="array" ref="AT46">_xlfn.LET(_xlpm.v,DEC2HEX(614427236),_xlpm.b,AM44,IF(_xlpm.b="Dec",HEX2DEC(_xlpm.v),IF(_xlpm.b="Hex",_xlpm.v,IF(_xlpm.b="Bin",HEX2BIN(_xlpm.v),IF(_xlpm.b="Oct",HEX2OCT(_xlpm.v),"?")))))</f>
        <v>614427236</v>
      </c>
      <c r="AU46" s="41" cm="1">
        <f t="array" ref="AU46">_xlfn.LET(_xlpm.v,DEC2HEX(1357023856),_xlpm.b,AM44,IF(_xlpm.b="Dec",HEX2DEC(_xlpm.v),IF(_xlpm.b="Hex",_xlpm.v,IF(_xlpm.b="Bin",HEX2BIN(_xlpm.v),IF(_xlpm.b="Oct",HEX2OCT(_xlpm.v),"?")))))</f>
        <v>1357023856</v>
      </c>
      <c r="AV46" s="41" cm="1">
        <f t="array" ref="AV46">_xlfn.LET(_xlpm.v,"19E217D",_xlpm.b,AM44,IF(_xlpm.b="Dec",HEX2DEC(_xlpm.v),IF(_xlpm.b="Hex",_xlpm.v,IF(_xlpm.b="Bin",HEX2BIN(_xlpm.v),IF(_xlpm.b="Oct",HEX2OCT(_xlpm.v),"?")))))</f>
        <v>27140477</v>
      </c>
      <c r="AW46" s="41" cm="1">
        <f t="array" ref="AW46">_xlfn.LET(_xlpm.v,"50E28A70",_xlpm.b,AM44,IF(_xlpm.b="Dec",HEX2DEC(_xlpm.v),IF(_xlpm.b="Hex",_xlpm.v,IF(_xlpm.b="Bin",HEX2BIN(_xlpm.v),IF(_xlpm.b="Oct",HEX2OCT(_xlpm.v),"?")))))</f>
        <v>1357023856</v>
      </c>
      <c r="AX46" s="45" cm="1">
        <f t="array" ref="AX46">_xlfn.LET(_xlpm.v,"A9A",_xlpm.b,AM44,IF(_xlpm.b="Dec",HEX2DEC(_xlpm.v),IF(_xlpm.b="Hex",_xlpm.v,IF(_xlpm.b="Bin",HEX2BIN(_xlpm.v),IF(_xlpm.b="Oct",HEX2OCT(_xlpm.v),"?")))))</f>
        <v>2714</v>
      </c>
    </row>
    <row r="47" spans="3:57">
      <c r="C47" s="50" t="s">
        <v>65</v>
      </c>
      <c r="D47" s="1" t="s">
        <v>54</v>
      </c>
      <c r="E47" s="1">
        <v>3200</v>
      </c>
      <c r="F47" s="1">
        <v>112</v>
      </c>
      <c r="G47" s="1">
        <v>0</v>
      </c>
      <c r="H47" s="1">
        <v>0</v>
      </c>
      <c r="I47" s="1">
        <v>9100</v>
      </c>
      <c r="AL47" s="44"/>
      <c r="AM47" s="33" t="s">
        <v>7</v>
      </c>
      <c r="AN47" s="35" cm="1">
        <f t="array" ref="AN47">_xlfn.LET(_xlpm.v,"FA",_xlpm.b,AM44,IF(_xlpm.b="Dec",HEX2DEC(_xlpm.v),IF(_xlpm.b="Hex",_xlpm.v,IF(_xlpm.b="Bin",HEX2BIN(_xlpm.v),IF(_xlpm.b="Oct",HEX2OCT(_xlpm.v),"?")))))</f>
        <v>250</v>
      </c>
      <c r="AO47" s="35" cm="1">
        <f t="array" ref="AO47">_xlfn.LET(_xlpm.v,"FA",_xlpm.b,AM44,IF(_xlpm.b="Dec",HEX2DEC(_xlpm.v),IF(_xlpm.b="Hex",_xlpm.v,IF(_xlpm.b="Bin",HEX2BIN(_xlpm.v),IF(_xlpm.b="Oct",HEX2OCT(_xlpm.v),"?")))))</f>
        <v>250</v>
      </c>
      <c r="AP47" s="35" cm="1">
        <f t="array" ref="AP47">_xlfn.LET(_xlpm.v,32,_xlpm.b,AM44,IF(_xlpm.b="Dec",HEX2DEC(_xlpm.v),IF(_xlpm.b="Hex",_xlpm.v,IF(_xlpm.b="Bin",HEX2BIN(_xlpm.v),IF(_xlpm.b="Oct",HEX2OCT(_xlpm.v),"?")))))</f>
        <v>50</v>
      </c>
      <c r="AQ47" s="35" cm="1">
        <f t="array" ref="AQ47">_xlfn.LET(_xlpm.v,32,_xlpm.b,AM44,IF(_xlpm.b="Dec",HEX2DEC(_xlpm.v),IF(_xlpm.b="Hex",_xlpm.v,IF(_xlpm.b="Bin",HEX2BIN(_xlpm.v),IF(_xlpm.b="Oct",HEX2OCT(_xlpm.v),"?")))))</f>
        <v>50</v>
      </c>
      <c r="AR47" s="35" cm="1">
        <f t="array" ref="AR47">_xlfn.LET(_xlpm.v,"2FACCD9C",_xlpm.b,AM44,IF(_xlpm.b="Dec",HEX2DEC(_xlpm.v),IF(_xlpm.b="Hex",_xlpm.v,IF(_xlpm.b="Bin",HEX2BIN(_xlpm.v),IF(_xlpm.b="Oct",HEX2OCT(_xlpm.v),"?")))))</f>
        <v>799853980</v>
      </c>
      <c r="AS47" s="37" cm="1">
        <f t="array" ref="AS47">_xlfn.LET(_xlpm.v,"D",_xlpm.b,AM44,IF(_xlpm.b="Dec",HEX2DEC(_xlpm.v),IF(_xlpm.b="Hex",_xlpm.v,IF(_xlpm.b="Bin",HEX2BIN(_xlpm.v),IF(_xlpm.b="Oct",HEX2OCT(_xlpm.v),"?")))))</f>
        <v>13</v>
      </c>
      <c r="AT47" s="43"/>
      <c r="AU47" s="43"/>
      <c r="AV47" s="43"/>
      <c r="AW47" s="43"/>
      <c r="AX47" s="46"/>
    </row>
    <row r="48" spans="3:57">
      <c r="C48" s="51"/>
      <c r="D48" s="20" t="s">
        <v>61</v>
      </c>
      <c r="E48" s="20">
        <v>17596</v>
      </c>
      <c r="F48" s="20">
        <v>466</v>
      </c>
      <c r="G48" s="20">
        <v>0</v>
      </c>
      <c r="H48" s="20">
        <v>300</v>
      </c>
      <c r="I48" s="20">
        <v>7164</v>
      </c>
      <c r="AL48" s="44" t="s">
        <v>88</v>
      </c>
      <c r="AM48" s="33" t="s">
        <v>6</v>
      </c>
      <c r="AN48" s="35" cm="1">
        <f t="array" ref="AN48">_xlfn.LET(_xlpm.v,"1",_xlpm.b,AM44,IF(_xlpm.b="Dec",HEX2DEC(_xlpm.v),IF(_xlpm.b="Hex",_xlpm.v,IF(_xlpm.b="Bin",HEX2BIN(_xlpm.v),IF(_xlpm.b="Oct",HEX2OCT(_xlpm.v),"?")))))</f>
        <v>1</v>
      </c>
      <c r="AO48" s="35" cm="1">
        <f t="array" ref="AO48">_xlfn.LET(_xlpm.v,1,_xlpm.b,AM44,IF(_xlpm.b="Dec",HEX2DEC(_xlpm.v),IF(_xlpm.b="Hex",_xlpm.v,IF(_xlpm.b="Bin",HEX2BIN(_xlpm.v),IF(_xlpm.b="Oct",HEX2OCT(_xlpm.v),"?")))))</f>
        <v>1</v>
      </c>
      <c r="AP48" s="35" cm="1">
        <f t="array" ref="AP48">_xlfn.LET(_xlpm.v,1,_xlpm.b,AM44,IF(_xlpm.b="Dec",HEX2DEC(_xlpm.v),IF(_xlpm.b="Hex",_xlpm.v,IF(_xlpm.b="Bin",HEX2BIN(_xlpm.v),IF(_xlpm.b="Oct",HEX2OCT(_xlpm.v),"?")))))</f>
        <v>1</v>
      </c>
      <c r="AQ48" s="35" cm="1">
        <f t="array" ref="AQ48">_xlfn.LET(_xlpm.v,1,_xlpm.b,AM44,IF(_xlpm.b="Dec",HEX2DEC(_xlpm.v),IF(_xlpm.b="Hex",_xlpm.v,IF(_xlpm.b="Bin",HEX2BIN(_xlpm.v),IF(_xlpm.b="Oct",HEX2OCT(_xlpm.v),"?")))))</f>
        <v>1</v>
      </c>
      <c r="AR48" s="35" cm="1">
        <f t="array" ref="AR48">_xlfn.LET(_xlpm.v,"27491908",_xlpm.b,AM44,IF(_xlpm.b="Dec",HEX2DEC(_xlpm.v),IF(_xlpm.b="Hex",_xlpm.v,IF(_xlpm.b="Bin",HEX2BIN(_xlpm.v),IF(_xlpm.b="Oct",HEX2OCT(_xlpm.v),"?")))))</f>
        <v>659101960</v>
      </c>
      <c r="AS48" s="37" cm="1">
        <f t="array" ref="AS48">_xlfn.LET(_xlpm.v,"B",_xlpm.b,AM44,IF(_xlpm.b="Dec",HEX2DEC(_xlpm.v),IF(_xlpm.b="Hex",_xlpm.v,IF(_xlpm.b="Bin",HEX2BIN(_xlpm.v),IF(_xlpm.b="Oct",HEX2OCT(_xlpm.v),"?")))))</f>
        <v>11</v>
      </c>
      <c r="AT48" s="41" cm="1">
        <f t="array" ref="AT48">_xlfn.LET(_xlpm.v,DEC2HEX(1228854472),_xlpm.b,AM44,IF(_xlpm.b="Dec",HEX2DEC(_xlpm.v),IF(_xlpm.b="Hex",_xlpm.v,IF(_xlpm.b="Bin",HEX2BIN(_xlpm.v),IF(_xlpm.b="Oct",HEX2OCT(_xlpm.v),"?")))))</f>
        <v>1228854472</v>
      </c>
      <c r="AU48" s="41" cm="1">
        <f t="array" ref="AU48">_xlfn.LET(_xlpm.v,DEC2HEX(1971451092),_xlpm.b,AM44,IF(_xlpm.b="Dec",HEX2DEC(_xlpm.v),IF(_xlpm.b="Hex",_xlpm.v,IF(_xlpm.b="Bin",HEX2BIN(_xlpm.v),IF(_xlpm.b="Oct",HEX2OCT(_xlpm.v),"?")))))</f>
        <v>1971451092</v>
      </c>
      <c r="AV48" s="41" cm="1">
        <f t="array" ref="AV48">_xlfn.LET(_xlpm.v,"259A39D",_xlpm.b,AM44,IF(_xlpm.b="Dec",HEX2DEC(_xlpm.v),IF(_xlpm.b="Hex",_xlpm.v,IF(_xlpm.b="Bin",HEX2BIN(_xlpm.v),IF(_xlpm.b="Oct",HEX2OCT(_xlpm.v),"?")))))</f>
        <v>39429021</v>
      </c>
      <c r="AW48" s="41" cm="1">
        <f t="array" ref="AW48">_xlfn.LET(_xlpm.v,"7581F4D4",_xlpm.b,AM44,IF(_xlpm.b="Dec",HEX2DEC(_xlpm.v),IF(_xlpm.b="Hex",_xlpm.v,IF(_xlpm.b="Bin",HEX2BIN(_xlpm.v),IF(_xlpm.b="Oct",HEX2OCT(_xlpm.v),"?")))))</f>
        <v>1971451092</v>
      </c>
      <c r="AX48" s="45" cm="1">
        <f t="array" ref="AX48">_xlfn.LET(_xlpm.v,"F66",_xlpm.b,AM44,IF(_xlpm.b="Dec",HEX2DEC(_xlpm.v),IF(_xlpm.b="Hex",_xlpm.v,IF(_xlpm.b="Bin",HEX2BIN(_xlpm.v),IF(_xlpm.b="Oct",HEX2OCT(_xlpm.v),"?")))))</f>
        <v>3942</v>
      </c>
    </row>
    <row r="49" spans="3:50">
      <c r="C49" s="51"/>
      <c r="D49" s="20" t="s">
        <v>68</v>
      </c>
      <c r="E49" s="20">
        <f>SUM(E47:E48)</f>
        <v>20796</v>
      </c>
      <c r="F49" s="20">
        <f t="shared" ref="F49:H49" si="26">SUM(F47:F48)</f>
        <v>578</v>
      </c>
      <c r="G49" s="20">
        <f t="shared" si="26"/>
        <v>0</v>
      </c>
      <c r="H49" s="20">
        <f t="shared" si="26"/>
        <v>300</v>
      </c>
      <c r="I49" s="20">
        <f>SUM(I47:I48)</f>
        <v>16264</v>
      </c>
      <c r="AL49" s="44"/>
      <c r="AM49" s="33" t="s">
        <v>7</v>
      </c>
      <c r="AN49" s="35" cm="1">
        <f t="array" ref="AN49">_xlfn.LET(_xlpm.v,"1F4",_xlpm.b,AM44,IF(_xlpm.b="Dec",HEX2DEC(_xlpm.v),IF(_xlpm.b="Hex",_xlpm.v,IF(_xlpm.b="Bin",HEX2BIN(_xlpm.v),IF(_xlpm.b="Oct",HEX2OCT(_xlpm.v),"?")))))</f>
        <v>500</v>
      </c>
      <c r="AO49" s="35" cm="1">
        <f t="array" ref="AO49">_xlfn.LET(_xlpm.v,"1F4",_xlpm.b,AM44,IF(_xlpm.b="Dec",HEX2DEC(_xlpm.v),IF(_xlpm.b="Hex",_xlpm.v,IF(_xlpm.b="Bin",HEX2BIN(_xlpm.v),IF(_xlpm.b="Oct",HEX2OCT(_xlpm.v),"?")))))</f>
        <v>500</v>
      </c>
      <c r="AP49" s="35" cm="1">
        <f t="array" ref="AP49">_xlfn.LET(_xlpm.v,64,_xlpm.b,AM44,IF(_xlpm.b="Dec",HEX2DEC(_xlpm.v),IF(_xlpm.b="Hex",_xlpm.v,IF(_xlpm.b="Bin",HEX2BIN(_xlpm.v),IF(_xlpm.b="Oct",HEX2OCT(_xlpm.v),"?")))))</f>
        <v>100</v>
      </c>
      <c r="AQ49" s="35" cm="1">
        <f t="array" ref="AQ49">_xlfn.LET(_xlpm.v,64,_xlpm.b,AM44,IF(_xlpm.b="Dec",HEX2DEC(_xlpm.v),IF(_xlpm.b="Hex",_xlpm.v,IF(_xlpm.b="Bin",HEX2BIN(_xlpm.v),IF(_xlpm.b="Oct",HEX2OCT(_xlpm.v),"?")))))</f>
        <v>100</v>
      </c>
      <c r="AR49" s="35" cm="1">
        <f t="array" ref="AR49">_xlfn.LET(_xlpm.v,"544DB6C",_xlpm.b,AM44,IF(_xlpm.b="Dec",HEX2DEC(_xlpm.v),IF(_xlpm.b="Hex",_xlpm.v,IF(_xlpm.b="Bin",HEX2BIN(_xlpm.v),IF(_xlpm.b="Oct",HEX2OCT(_xlpm.v),"?")))))</f>
        <v>88398700</v>
      </c>
      <c r="AS49" s="37" cm="1">
        <f t="array" ref="AS49">_xlfn.LET(_xlpm.v,"1A",_xlpm.b,AM44,IF(_xlpm.b="Dec",HEX2DEC(_xlpm.v),IF(_xlpm.b="Hex",_xlpm.v,IF(_xlpm.b="Bin",HEX2BIN(_xlpm.v),IF(_xlpm.b="Oct",HEX2OCT(_xlpm.v),"?")))))</f>
        <v>26</v>
      </c>
      <c r="AT49" s="43"/>
      <c r="AU49" s="43"/>
      <c r="AV49" s="43"/>
      <c r="AW49" s="43"/>
      <c r="AX49" s="46"/>
    </row>
    <row r="50" spans="3:50">
      <c r="C50" s="51"/>
      <c r="D50" s="6" t="s">
        <v>72</v>
      </c>
      <c r="E50" s="17">
        <f>SUM(E49,F49)</f>
        <v>21374</v>
      </c>
      <c r="F50" s="18">
        <f>E50/1024</f>
        <v>20.873046875</v>
      </c>
      <c r="G50" s="18" t="s">
        <v>73</v>
      </c>
      <c r="H50" s="19"/>
      <c r="I50" s="12"/>
      <c r="AL50" s="44" t="s">
        <v>89</v>
      </c>
      <c r="AM50" s="33" t="s">
        <v>6</v>
      </c>
      <c r="AN50" s="35" cm="1">
        <f t="array" ref="AN50">_xlfn.LET(_xlpm.v,1,_xlpm.b,AM44,IF(_xlpm.b="Dec",HEX2DEC(_xlpm.v),IF(_xlpm.b="Hex",_xlpm.v,IF(_xlpm.b="Bin",HEX2BIN(_xlpm.v),IF(_xlpm.b="Oct",HEX2OCT(_xlpm.v),"?")))))</f>
        <v>1</v>
      </c>
      <c r="AO50" s="35" cm="1">
        <f t="array" ref="AO50">_xlfn.LET(_xlpm.v,1,_xlpm.b,AM44,IF(_xlpm.b="Dec",HEX2DEC(_xlpm.v),IF(_xlpm.b="Hex",_xlpm.v,IF(_xlpm.b="Bin",HEX2BIN(_xlpm.v),IF(_xlpm.b="Oct",HEX2OCT(_xlpm.v),"?")))))</f>
        <v>1</v>
      </c>
      <c r="AP50" s="35" cm="1">
        <f t="array" ref="AP50">_xlfn.LET(_xlpm.v,1,_xlpm.b,AM44,IF(_xlpm.b="Dec",HEX2DEC(_xlpm.v),IF(_xlpm.b="Hex",_xlpm.v,IF(_xlpm.b="Bin",HEX2BIN(_xlpm.v),IF(_xlpm.b="Oct",HEX2OCT(_xlpm.v),"?")))))</f>
        <v>1</v>
      </c>
      <c r="AQ50" s="35" cm="1">
        <f t="array" ref="AQ50">_xlfn.LET(_xlpm.v,1,_xlpm.b,AM44,IF(_xlpm.b="Dec",HEX2DEC(_xlpm.v),IF(_xlpm.b="Hex",_xlpm.v,IF(_xlpm.b="Bin",HEX2BIN(_xlpm.v),IF(_xlpm.b="Oct",HEX2OCT(_xlpm.v),"?")))))</f>
        <v>1</v>
      </c>
      <c r="AR50" s="35" cm="1">
        <f t="array" ref="AR50">_xlfn.LET(_xlpm.v,"27491908",_xlpm.b,AM44,IF(_xlpm.b="Dec",HEX2DEC(_xlpm.v),IF(_xlpm.b="Hex",_xlpm.v,IF(_xlpm.b="Bin",HEX2BIN(_xlpm.v),IF(_xlpm.b="Oct",HEX2OCT(_xlpm.v),"?")))))</f>
        <v>659101960</v>
      </c>
      <c r="AS50" s="37" cm="1">
        <f t="array" ref="AS50">_xlfn.LET(_xlpm.v,"B",_xlpm.b,AM44,IF(_xlpm.b="Dec",HEX2DEC(_xlpm.v),IF(_xlpm.b="Hex",_xlpm.v,IF(_xlpm.b="Bin",HEX2BIN(_xlpm.v),IF(_xlpm.b="Oct",HEX2OCT(_xlpm.v),"?")))))</f>
        <v>11</v>
      </c>
      <c r="AT50" s="41" cm="1">
        <f t="array" ref="AT50">_xlfn.LET(_xlpm.v,DEC2HEX(307213618),_xlpm.b,AM44,IF(_xlpm.b="Dec",HEX2DEC(_xlpm.v),IF(_xlpm.b="Hex",_xlpm.v,IF(_xlpm.b="Bin",HEX2BIN(_xlpm.v),IF(_xlpm.b="Oct",HEX2OCT(_xlpm.v),"?")))))</f>
        <v>307213618</v>
      </c>
      <c r="AU50" s="41" cm="1">
        <f t="array" ref="AU50">_xlfn.LET(_xlpm.v,DEC2HEX(1049810238),_xlpm.b,AM44,IF(_xlpm.b="Dec",HEX2DEC(_xlpm.v),IF(_xlpm.b="Hex",_xlpm.v,IF(_xlpm.b="Bin",HEX2BIN(_xlpm.v),IF(_xlpm.b="Oct",HEX2OCT(_xlpm.v),"?")))))</f>
        <v>1049810238</v>
      </c>
      <c r="AV50" s="41" cm="1">
        <f t="array" ref="AV50">_xlfn.LET(_xlpm.v,"140606C",_xlpm.b,AM44,IF(_xlpm.b="Dec",HEX2DEC(_xlpm.v),IF(_xlpm.b="Hex",_xlpm.v,IF(_xlpm.b="Bin",HEX2BIN(_xlpm.v),IF(_xlpm.b="Oct",HEX2OCT(_xlpm.v),"?")))))</f>
        <v>20996204</v>
      </c>
      <c r="AW50" s="41" cm="1">
        <f t="array" ref="AW50">_xlfn.LET(_xlpm.v,"3E92D53E",_xlpm.b,AM44,IF(_xlpm.b="Dec",HEX2DEC(_xlpm.v),IF(_xlpm.b="Hex",_xlpm.v,IF(_xlpm.b="Bin",HEX2BIN(_xlpm.v),IF(_xlpm.b="Oct",HEX2OCT(_xlpm.v),"?")))))</f>
        <v>1049810238</v>
      </c>
      <c r="AX50" s="45" cm="1">
        <f t="array" ref="AX50">_xlfn.LET(_xlpm.v,"833",_xlpm.b,AM44,IF(_xlpm.b="Dec",HEX2DEC(_xlpm.v),IF(_xlpm.b="Hex",_xlpm.v,IF(_xlpm.b="Bin",HEX2BIN(_xlpm.v),IF(_xlpm.b="Oct",HEX2OCT(_xlpm.v),"?")))))</f>
        <v>2099</v>
      </c>
    </row>
    <row r="51" spans="3:50">
      <c r="C51" s="51"/>
      <c r="D51" s="2" t="s">
        <v>77</v>
      </c>
      <c r="E51" s="7">
        <f>SUM(G49,H49)</f>
        <v>300</v>
      </c>
      <c r="F51" s="2">
        <f t="shared" ref="F51:F52" si="27">E51/1024</f>
        <v>0.29296875</v>
      </c>
      <c r="G51" s="22" t="s">
        <v>73</v>
      </c>
      <c r="H51" s="9"/>
      <c r="I51" s="10"/>
      <c r="AL51" s="44"/>
      <c r="AM51" s="33" t="s">
        <v>7</v>
      </c>
      <c r="AN51" s="35" cm="1">
        <f t="array" ref="AN51">_xlfn.LET(_xlpm.v,"7D",_xlpm.b,AM44,IF(_xlpm.b="Dec",HEX2DEC(_xlpm.v),IF(_xlpm.b="Hex",_xlpm.v,IF(_xlpm.b="Bin",HEX2BIN(_xlpm.v),IF(_xlpm.b="Oct",HEX2OCT(_xlpm.v),"?")))))</f>
        <v>125</v>
      </c>
      <c r="AO51" s="35" cm="1">
        <f t="array" ref="AO51">_xlfn.LET(_xlpm.v,"7D",_xlpm.b,AM44,IF(_xlpm.b="Dec",HEX2DEC(_xlpm.v),IF(_xlpm.b="Hex",_xlpm.v,IF(_xlpm.b="Bin",HEX2BIN(_xlpm.v),IF(_xlpm.b="Oct",HEX2OCT(_xlpm.v),"?")))))</f>
        <v>125</v>
      </c>
      <c r="AP51" s="35" cm="1">
        <f t="array" ref="AP51">_xlfn.LET(_xlpm.v,19,_xlpm.b,AM44,IF(_xlpm.b="Dec",HEX2DEC(_xlpm.v),IF(_xlpm.b="Hex",_xlpm.v,IF(_xlpm.b="Bin",HEX2BIN(_xlpm.v),IF(_xlpm.b="Oct",HEX2OCT(_xlpm.v),"?")))))</f>
        <v>25</v>
      </c>
      <c r="AQ51" s="35" cm="1">
        <f t="array" ref="AQ51">_xlfn.LET(_xlpm.v,19,_xlpm.b,AM44,IF(_xlpm.b="Dec",HEX2DEC(_xlpm.v),IF(_xlpm.b="Hex",_xlpm.v,IF(_xlpm.b="Bin",HEX2BIN(_xlpm.v),IF(_xlpm.b="Oct",HEX2OCT(_xlpm.v),"?")))))</f>
        <v>25</v>
      </c>
      <c r="AR51" s="35" cm="1">
        <f t="array" ref="AR51">_xlfn.LET(_xlpm.v,"271361B4",_xlpm.b,AM44,IF(_xlpm.b="Dec",HEX2DEC(_xlpm.v),IF(_xlpm.b="Hex",_xlpm.v,IF(_xlpm.b="Bin",HEX2BIN(_xlpm.v),IF(_xlpm.b="Oct",HEX2OCT(_xlpm.v),"?")))))</f>
        <v>655581620</v>
      </c>
      <c r="AS51" s="37" cm="1">
        <f t="array" ref="AS51">_xlfn.LET(_xlpm.v,"7",_xlpm.b,AM44,IF(_xlpm.b="Dec",HEX2DEC(_xlpm.v),IF(_xlpm.b="Hex",_xlpm.v,IF(_xlpm.b="Bin",HEX2BIN(_xlpm.v),IF(_xlpm.b="Oct",HEX2OCT(_xlpm.v),"?")))))</f>
        <v>7</v>
      </c>
      <c r="AT51" s="43"/>
      <c r="AU51" s="43"/>
      <c r="AV51" s="43"/>
      <c r="AW51" s="43"/>
      <c r="AX51" s="46"/>
    </row>
    <row r="52" spans="3:50">
      <c r="C52" s="52"/>
      <c r="D52" s="1" t="s">
        <v>6</v>
      </c>
      <c r="E52" s="14">
        <f>SUM(E49:G49)</f>
        <v>21374</v>
      </c>
      <c r="F52" s="1">
        <f t="shared" si="27"/>
        <v>20.873046875</v>
      </c>
      <c r="G52" s="14" t="s">
        <v>73</v>
      </c>
      <c r="H52" s="11"/>
      <c r="I52" s="10"/>
      <c r="AL52" s="44" t="s">
        <v>90</v>
      </c>
      <c r="AM52" s="33" t="s">
        <v>6</v>
      </c>
      <c r="AN52" s="35" cm="1">
        <f t="array" ref="AN52">_xlfn.LET(_xlpm.v,1,_xlpm.b,AM44,IF(_xlpm.b="Dec",HEX2DEC(_xlpm.v),IF(_xlpm.b="Hex",_xlpm.v,IF(_xlpm.b="Bin",HEX2BIN(_xlpm.v),IF(_xlpm.b="Oct",HEX2OCT(_xlpm.v),"?")))))</f>
        <v>1</v>
      </c>
      <c r="AO52" s="35" cm="1">
        <f t="array" ref="AO52">_xlfn.LET(_xlpm.v,1,_xlpm.b,AM44,IF(_xlpm.b="Dec",HEX2DEC(_xlpm.v),IF(_xlpm.b="Hex",_xlpm.v,IF(_xlpm.b="Bin",HEX2BIN(_xlpm.v),IF(_xlpm.b="Oct",HEX2OCT(_xlpm.v),"?")))))</f>
        <v>1</v>
      </c>
      <c r="AP52" s="35" cm="1">
        <f t="array" ref="AP52">_xlfn.LET(_xlpm.v,1,_xlpm.b,AM44,IF(_xlpm.b="Dec",HEX2DEC(_xlpm.v),IF(_xlpm.b="Hex",_xlpm.v,IF(_xlpm.b="Bin",HEX2BIN(_xlpm.v),IF(_xlpm.b="Oct",HEX2OCT(_xlpm.v),"?")))))</f>
        <v>1</v>
      </c>
      <c r="AQ52" s="35" cm="1">
        <f t="array" ref="AQ52">_xlfn.LET(_xlpm.v,1,_xlpm.b,AM44,IF(_xlpm.b="Dec",HEX2DEC(_xlpm.v),IF(_xlpm.b="Hex",_xlpm.v,IF(_xlpm.b="Bin",HEX2BIN(_xlpm.v),IF(_xlpm.b="Oct",HEX2OCT(_xlpm.v),"?")))))</f>
        <v>1</v>
      </c>
      <c r="AR52" s="35" cm="1">
        <f t="array" ref="AR52">_xlfn.LET(_xlpm.v,"27491908",_xlpm.b,AM44,IF(_xlpm.b="Dec",HEX2DEC(_xlpm.v),IF(_xlpm.b="Hex",_xlpm.v,IF(_xlpm.b="Bin",HEX2BIN(_xlpm.v),IF(_xlpm.b="Oct",HEX2OCT(_xlpm.v),"?")))))</f>
        <v>659101960</v>
      </c>
      <c r="AS52" s="37" cm="1">
        <f t="array" ref="AS52">_xlfn.LET(_xlpm.v,"B",_xlpm.b,AM44,IF(_xlpm.b="Dec",HEX2DEC(_xlpm.v),IF(_xlpm.b="Hex",_xlpm.v,IF(_xlpm.b="Bin",HEX2BIN(_xlpm.v),IF(_xlpm.b="Oct",HEX2OCT(_xlpm.v),"?")))))</f>
        <v>11</v>
      </c>
      <c r="AT52" s="41" cm="1">
        <f t="array" ref="AT52">_xlfn.LET(_xlpm.v,DEC2HEX(67289800),_xlpm.b,AM44,IF(_xlpm.b="Dec",HEX2DEC(_xlpm.v),IF(_xlpm.b="Hex",_xlpm.v,IF(_xlpm.b="Bin",HEX2BIN(_xlpm.v),IF(_xlpm.b="Oct",HEX2OCT(_xlpm.v),"?")))))</f>
        <v>67289800</v>
      </c>
      <c r="AU52" s="41" cm="1">
        <f t="array" ref="AU52">_xlfn.LET(_xlpm.v,DEC2HEX(1415495520),_xlpm.b,AM44,IF(_xlpm.b="Dec",HEX2DEC(_xlpm.v),IF(_xlpm.b="Hex",_xlpm.v,IF(_xlpm.b="Bin",HEX2BIN(_xlpm.v),IF(_xlpm.b="Oct",HEX2OCT(_xlpm.v),"?")))))</f>
        <v>1415495520</v>
      </c>
      <c r="AV52" s="41" cm="1">
        <f t="array" ref="AV52">_xlfn.LET(_xlpm.v,"1AFF996",_xlpm.b,AM44,IF(_xlpm.b="Dec",HEX2DEC(_xlpm.v),IF(_xlpm.b="Hex",_xlpm.v,IF(_xlpm.b="Bin",HEX2BIN(_xlpm.v),IF(_xlpm.b="Oct",HEX2OCT(_xlpm.v),"?")))))</f>
        <v>28309910</v>
      </c>
      <c r="AW52" s="41" cm="1">
        <f t="array" ref="AW52">_xlfn.LET(_xlpm.v,"545EBF60",_xlpm.b,AM44,IF(_xlpm.b="Dec",HEX2DEC(_xlpm.v),IF(_xlpm.b="Hex",_xlpm.v,IF(_xlpm.b="Bin",HEX2BIN(_xlpm.v),IF(_xlpm.b="Oct",HEX2OCT(_xlpm.v),"?")))))</f>
        <v>1415495520</v>
      </c>
      <c r="AX52" s="45" cm="1">
        <f t="array" ref="AX52">_xlfn.LET(_xlpm.v,"B0E",_xlpm.b,AM44,IF(_xlpm.b="Dec",HEX2DEC(_xlpm.v),IF(_xlpm.b="Hex",_xlpm.v,IF(_xlpm.b="Bin",HEX2BIN(_xlpm.v),IF(_xlpm.b="Oct",HEX2OCT(_xlpm.v),"?")))))</f>
        <v>2830</v>
      </c>
    </row>
    <row r="53" spans="3:50">
      <c r="C53" s="5"/>
      <c r="D53" s="19"/>
      <c r="E53" s="19"/>
      <c r="F53" s="29"/>
      <c r="G53" s="19"/>
      <c r="H53" s="19"/>
      <c r="I53" s="8"/>
      <c r="AL53" s="44"/>
      <c r="AM53" s="33" t="s">
        <v>7</v>
      </c>
      <c r="AN53" s="35" cm="1">
        <f t="array" ref="AN53">_xlfn.LET(_xlpm.v,"FA",_xlpm.b,AM44,IF(_xlpm.b="Dec",HEX2DEC(_xlpm.v),IF(_xlpm.b="Hex",_xlpm.v,IF(_xlpm.b="Bin",HEX2BIN(_xlpm.v),IF(_xlpm.b="Oct",HEX2OCT(_xlpm.v),"?")))))</f>
        <v>250</v>
      </c>
      <c r="AO53" s="35" cm="1">
        <f t="array" ref="AO53">_xlfn.LET(_xlpm.v,"FA",_xlpm.b,AM44,IF(_xlpm.b="Dec",HEX2DEC(_xlpm.v),IF(_xlpm.b="Hex",_xlpm.v,IF(_xlpm.b="Bin",HEX2BIN(_xlpm.v),IF(_xlpm.b="Oct",HEX2OCT(_xlpm.v),"?")))))</f>
        <v>250</v>
      </c>
      <c r="AP53" s="35" cm="1">
        <f t="array" ref="AP53">_xlfn.LET(_xlpm.v,64,_xlpm.b,AM44,IF(_xlpm.b="Dec",HEX2DEC(_xlpm.v),IF(_xlpm.b="Hex",_xlpm.v,IF(_xlpm.b="Bin",HEX2BIN(_xlpm.v),IF(_xlpm.b="Oct",HEX2OCT(_xlpm.v),"?")))))</f>
        <v>100</v>
      </c>
      <c r="AQ53" s="35" cm="1">
        <f t="array" ref="AQ53">_xlfn.LET(_xlpm.v,64,_xlpm.b,AM44,IF(_xlpm.b="Dec",HEX2DEC(_xlpm.v),IF(_xlpm.b="Hex",_xlpm.v,IF(_xlpm.b="Bin",HEX2BIN(_xlpm.v),IF(_xlpm.b="Oct",HEX2OCT(_xlpm.v),"?")))))</f>
        <v>100</v>
      </c>
      <c r="AR53" s="35" cm="1">
        <f t="array" ref="AR53">_xlfn.LET(_xlpm.v,"39C6265C",_xlpm.b,AM44,IF(_xlpm.b="Dec",HEX2DEC(_xlpm.v),IF(_xlpm.b="Hex",_xlpm.v,IF(_xlpm.b="Bin",HEX2BIN(_xlpm.v),IF(_xlpm.b="Oct",HEX2OCT(_xlpm.v),"?")))))</f>
        <v>969287260</v>
      </c>
      <c r="AS53" s="37" cm="1">
        <f t="array" ref="AS53">_xlfn.LET(_xlpm.v,"E",_xlpm.b,AM44,IF(_xlpm.b="Dec",HEX2DEC(_xlpm.v),IF(_xlpm.b="Hex",_xlpm.v,IF(_xlpm.b="Bin",HEX2BIN(_xlpm.v),IF(_xlpm.b="Oct",HEX2OCT(_xlpm.v),"?")))))</f>
        <v>14</v>
      </c>
      <c r="AT53" s="43"/>
      <c r="AU53" s="43"/>
      <c r="AV53" s="43"/>
      <c r="AW53" s="43"/>
      <c r="AX53" s="46"/>
    </row>
    <row r="54" spans="3:50">
      <c r="C54" s="50" t="s">
        <v>70</v>
      </c>
      <c r="D54" s="1" t="s">
        <v>54</v>
      </c>
      <c r="E54" s="1">
        <v>3212</v>
      </c>
      <c r="F54" s="1">
        <v>40</v>
      </c>
      <c r="G54" s="1">
        <v>0</v>
      </c>
      <c r="H54" s="1">
        <v>5976</v>
      </c>
      <c r="I54" s="1">
        <v>8456</v>
      </c>
      <c r="AL54" s="44" t="s">
        <v>91</v>
      </c>
      <c r="AM54" s="33" t="s">
        <v>6</v>
      </c>
      <c r="AN54" s="35" cm="1">
        <f t="array" ref="AN54">_xlfn.LET(_xlpm.v,1,_xlpm.b,AM44,IF(_xlpm.b="Dec",HEX2DEC(_xlpm.v),IF(_xlpm.b="Hex",_xlpm.v,IF(_xlpm.b="Bin",HEX2BIN(_xlpm.v),IF(_xlpm.b="Oct",HEX2OCT(_xlpm.v),"?")))))</f>
        <v>1</v>
      </c>
      <c r="AO54" s="35" cm="1">
        <f t="array" ref="AO54">_xlfn.LET(_xlpm.v,1,_xlpm.b,AM44,IF(_xlpm.b="Dec",HEX2DEC(_xlpm.v),IF(_xlpm.b="Hex",_xlpm.v,IF(_xlpm.b="Bin",HEX2BIN(_xlpm.v),IF(_xlpm.b="Oct",HEX2OCT(_xlpm.v),"?")))))</f>
        <v>1</v>
      </c>
      <c r="AP54" s="35" cm="1">
        <f t="array" ref="AP54">_xlfn.LET(_xlpm.v,1,_xlpm.b,AM44,IF(_xlpm.b="Dec",HEX2DEC(_xlpm.v),IF(_xlpm.b="Hex",_xlpm.v,IF(_xlpm.b="Bin",HEX2BIN(_xlpm.v),IF(_xlpm.b="Oct",HEX2OCT(_xlpm.v),"?")))))</f>
        <v>1</v>
      </c>
      <c r="AQ54" s="35" cm="1">
        <f t="array" ref="AQ54">_xlfn.LET(_xlpm.v,1,_xlpm.b,AM44,IF(_xlpm.b="Dec",HEX2DEC(_xlpm.v),IF(_xlpm.b="Hex",_xlpm.v,IF(_xlpm.b="Bin",HEX2BIN(_xlpm.v),IF(_xlpm.b="Oct",HEX2OCT(_xlpm.v),"?")))))</f>
        <v>1</v>
      </c>
      <c r="AR54" s="35" cm="1">
        <f t="array" ref="AR54">_xlfn.LET(_xlpm.v,"27491908",_xlpm.b,AM44,IF(_xlpm.b="Dec",HEX2DEC(_xlpm.v),IF(_xlpm.b="Hex",_xlpm.v,IF(_xlpm.b="Bin",HEX2BIN(_xlpm.v),IF(_xlpm.b="Oct",HEX2OCT(_xlpm.v),"?")))))</f>
        <v>659101960</v>
      </c>
      <c r="AS54" s="37" cm="1">
        <f t="array" ref="AS54">_xlfn.LET(_xlpm.v,"B",_xlpm.b,AM44,IF(_xlpm.b="Dec",HEX2DEC(_xlpm.v),IF(_xlpm.b="Hex",_xlpm.v,IF(_xlpm.b="Bin",HEX2BIN(_xlpm.v),IF(_xlpm.b="Oct",HEX2OCT(_xlpm.v),"?")))))</f>
        <v>11</v>
      </c>
      <c r="AT54" s="41" cm="1">
        <f t="array" ref="AT54">_xlfn.LET(_xlpm.v,DEC2HEX(585191404),_xlpm.b,AM44,IF(_xlpm.b="Dec",HEX2DEC(_xlpm.v),IF(_xlpm.b="Hex",_xlpm.v,IF(_xlpm.b="Bin",HEX2BIN(_xlpm.v),IF(_xlpm.b="Oct",HEX2OCT(_xlpm.v),"?")))))</f>
        <v>585191404</v>
      </c>
      <c r="AU54" s="41" cm="1">
        <f t="array" ref="AU54">_xlfn.LET(_xlpm.v,DEC2HEX(1327788024),_xlpm.b,AM44,IF(_xlpm.b="Dec",HEX2DEC(_xlpm.v),IF(_xlpm.b="Hex",_xlpm.v,IF(_xlpm.b="Bin",HEX2BIN(_xlpm.v),IF(_xlpm.b="Oct",HEX2OCT(_xlpm.v),"?")))))</f>
        <v>1327788024</v>
      </c>
      <c r="AV54" s="41" cm="1">
        <f t="array" ref="AV54">_xlfn.LET(_xlpm.v,"1953570",_xlpm.b,AM44,IF(_xlpm.b="Dec",HEX2DEC(_xlpm.v),IF(_xlpm.b="Hex",_xlpm.v,IF(_xlpm.b="Bin",HEX2BIN(_xlpm.v),IF(_xlpm.b="Oct",HEX2OCT(_xlpm.v),"?")))))</f>
        <v>26555760</v>
      </c>
      <c r="AW54" s="41" cm="1">
        <f t="array" ref="AW54">_xlfn.LET(_xlpm.v,"4F246FF8",_xlpm.b,AM44,IF(_xlpm.b="Dec",HEX2DEC(_xlpm.v),IF(_xlpm.b="Hex",_xlpm.v,IF(_xlpm.b="Bin",HEX2BIN(_xlpm.v),IF(_xlpm.b="Oct",HEX2OCT(_xlpm.v),"?")))))</f>
        <v>1327788024</v>
      </c>
      <c r="AX54" s="45" cm="1">
        <f t="array" ref="AX54">_xlfn.LET(_xlpm.v,"A5F",_xlpm.b,AM44,IF(_xlpm.b="Dec",HEX2DEC(_xlpm.v),IF(_xlpm.b="Hex",_xlpm.v,IF(_xlpm.b="Bin",HEX2BIN(_xlpm.v),IF(_xlpm.b="Oct",HEX2OCT(_xlpm.v),"?")))))</f>
        <v>2655</v>
      </c>
    </row>
    <row r="55" spans="3:50">
      <c r="C55" s="51"/>
      <c r="D55" s="20" t="s">
        <v>61</v>
      </c>
      <c r="E55" s="20">
        <v>17488</v>
      </c>
      <c r="F55" s="20">
        <v>466</v>
      </c>
      <c r="G55" s="20">
        <v>0</v>
      </c>
      <c r="H55" s="20">
        <v>300</v>
      </c>
      <c r="I55" s="20">
        <v>7080</v>
      </c>
      <c r="AL55" s="44"/>
      <c r="AM55" s="33" t="s">
        <v>7</v>
      </c>
      <c r="AN55" s="35" cm="1">
        <f t="array" ref="AN55">_xlfn.LET(_xlpm.v,"FA",_xlpm.b,AM44,IF(_xlpm.b="Dec",HEX2DEC(_xlpm.v),IF(_xlpm.b="Hex",_xlpm.v,IF(_xlpm.b="Bin",HEX2BIN(_xlpm.v),IF(_xlpm.b="Oct",HEX2OCT(_xlpm.v),"?")))))</f>
        <v>250</v>
      </c>
      <c r="AO55" s="35" cm="1">
        <f t="array" ref="AO55">_xlfn.LET(_xlpm.v,"FA",_xlpm.b,AM44,IF(_xlpm.b="Dec",HEX2DEC(_xlpm.v),IF(_xlpm.b="Hex",_xlpm.v,IF(_xlpm.b="Bin",HEX2BIN(_xlpm.v),IF(_xlpm.b="Oct",HEX2OCT(_xlpm.v),"?")))))</f>
        <v>250</v>
      </c>
      <c r="AP55" s="35" cm="1">
        <f t="array" ref="AP55">_xlfn.LET(_xlpm.v,"19",_xlpm.b,AM44,IF(_xlpm.b="Dec",HEX2DEC(_xlpm.v),IF(_xlpm.b="Hex",_xlpm.v,IF(_xlpm.b="Bin",HEX2BIN(_xlpm.v),IF(_xlpm.b="Oct",HEX2OCT(_xlpm.v),"?")))))</f>
        <v>25</v>
      </c>
      <c r="AQ55" s="35" cm="1">
        <f t="array" ref="AQ55">_xlfn.LET(_xlpm.v,"19",_xlpm.b,AM44,IF(_xlpm.b="Dec",HEX2DEC(_xlpm.v),IF(_xlpm.b="Hex",_xlpm.v,IF(_xlpm.b="Bin",HEX2BIN(_xlpm.v),IF(_xlpm.b="Oct",HEX2OCT(_xlpm.v),"?")))))</f>
        <v>25</v>
      </c>
      <c r="AR55" s="35" cm="1">
        <f t="array" ref="AR55">_xlfn.LET(_xlpm.v,"CD2BC3C",_xlpm.b,AM44,IF(_xlpm.b="Dec",HEX2DEC(_xlpm.v),IF(_xlpm.b="Hex",_xlpm.v,IF(_xlpm.b="Bin",HEX2BIN(_xlpm.v),IF(_xlpm.b="Oct",HEX2OCT(_xlpm.v),"?")))))</f>
        <v>215137340</v>
      </c>
      <c r="AS55" s="37" cm="1">
        <f t="array" ref="AS55">_xlfn.LET(_xlpm.v,"D",_xlpm.b,AM44,IF(_xlpm.b="Dec",HEX2DEC(_xlpm.v),IF(_xlpm.b="Hex",_xlpm.v,IF(_xlpm.b="Bin",HEX2BIN(_xlpm.v),IF(_xlpm.b="Oct",HEX2OCT(_xlpm.v),"?")))))</f>
        <v>13</v>
      </c>
      <c r="AT55" s="43"/>
      <c r="AU55" s="43"/>
      <c r="AV55" s="43"/>
      <c r="AW55" s="43"/>
      <c r="AX55" s="46"/>
    </row>
    <row r="56" spans="3:50">
      <c r="C56" s="51"/>
      <c r="D56" s="20" t="s">
        <v>68</v>
      </c>
      <c r="E56" s="20">
        <f>SUM(E54:E55)</f>
        <v>20700</v>
      </c>
      <c r="F56" s="20">
        <f t="shared" ref="F56:H56" si="28">SUM(F54:F55)</f>
        <v>506</v>
      </c>
      <c r="G56" s="20">
        <f t="shared" si="28"/>
        <v>0</v>
      </c>
      <c r="H56" s="20">
        <f t="shared" si="28"/>
        <v>6276</v>
      </c>
      <c r="I56" s="20">
        <f>SUM(I54:I55)</f>
        <v>15536</v>
      </c>
    </row>
    <row r="57" spans="3:50">
      <c r="C57" s="51"/>
      <c r="D57" s="6" t="s">
        <v>72</v>
      </c>
      <c r="E57" s="17">
        <f>SUM(E56,F56)</f>
        <v>21206</v>
      </c>
      <c r="F57" s="18">
        <f>E57/1024</f>
        <v>20.708984375</v>
      </c>
      <c r="G57" s="18" t="s">
        <v>73</v>
      </c>
      <c r="H57" s="19"/>
      <c r="I57" s="12"/>
    </row>
    <row r="58" spans="3:50">
      <c r="C58" s="51"/>
      <c r="D58" s="2" t="s">
        <v>77</v>
      </c>
      <c r="E58" s="7">
        <f>SUM(G56,H56)</f>
        <v>6276</v>
      </c>
      <c r="F58" s="2">
        <f t="shared" ref="F58:F59" si="29">E58/1024</f>
        <v>6.12890625</v>
      </c>
      <c r="G58" s="22" t="s">
        <v>73</v>
      </c>
      <c r="H58" s="9"/>
      <c r="I58" s="10"/>
    </row>
    <row r="59" spans="3:50">
      <c r="C59" s="52"/>
      <c r="D59" s="1" t="s">
        <v>6</v>
      </c>
      <c r="E59" s="14">
        <f>SUM(E56:G56)</f>
        <v>21206</v>
      </c>
      <c r="F59" s="1">
        <f t="shared" si="29"/>
        <v>20.708984375</v>
      </c>
      <c r="G59" s="14" t="s">
        <v>73</v>
      </c>
      <c r="H59" s="11"/>
      <c r="I59" s="10"/>
    </row>
    <row r="60" spans="3:50">
      <c r="C60" s="5"/>
      <c r="D60" s="12"/>
      <c r="E60" s="12"/>
      <c r="F60" s="13"/>
      <c r="G60" s="12"/>
      <c r="H60" s="12"/>
      <c r="I60" s="5"/>
    </row>
    <row r="61" spans="3:50">
      <c r="C61" s="51" t="s">
        <v>82</v>
      </c>
      <c r="D61" s="1" t="s">
        <v>54</v>
      </c>
      <c r="E61" s="6">
        <v>0</v>
      </c>
      <c r="F61" s="6">
        <v>0</v>
      </c>
      <c r="G61" s="6">
        <v>0</v>
      </c>
      <c r="H61" s="6">
        <v>0</v>
      </c>
      <c r="I61" s="1">
        <v>0</v>
      </c>
    </row>
    <row r="62" spans="3:50">
      <c r="C62" s="51"/>
      <c r="D62" s="16" t="s">
        <v>61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</row>
    <row r="63" spans="3:50">
      <c r="C63" s="51"/>
      <c r="D63" s="20" t="s">
        <v>68</v>
      </c>
      <c r="E63" s="20">
        <f>SUM(E61:E62)</f>
        <v>0</v>
      </c>
      <c r="F63" s="20">
        <f t="shared" ref="F63:H63" si="30">SUM(F61:F62)</f>
        <v>0</v>
      </c>
      <c r="G63" s="20">
        <f t="shared" si="30"/>
        <v>0</v>
      </c>
      <c r="H63" s="20">
        <f t="shared" si="30"/>
        <v>0</v>
      </c>
      <c r="I63" s="20">
        <f>SUM(I61:I62)</f>
        <v>0</v>
      </c>
    </row>
    <row r="64" spans="3:50">
      <c r="C64" s="51"/>
      <c r="D64" s="6" t="s">
        <v>72</v>
      </c>
      <c r="E64" s="17">
        <f>SUM(E63,F63)</f>
        <v>0</v>
      </c>
      <c r="F64" s="18">
        <f>E64/1024</f>
        <v>0</v>
      </c>
      <c r="G64" s="18" t="s">
        <v>73</v>
      </c>
      <c r="H64" s="19"/>
      <c r="I64" s="12"/>
    </row>
    <row r="65" spans="3:9">
      <c r="C65" s="51"/>
      <c r="D65" s="1" t="s">
        <v>77</v>
      </c>
      <c r="E65" s="4">
        <f>SUM(G63,H63)</f>
        <v>0</v>
      </c>
      <c r="F65" s="2">
        <f t="shared" ref="F65:F66" si="31">E65/1024</f>
        <v>0</v>
      </c>
      <c r="G65" s="14" t="s">
        <v>73</v>
      </c>
      <c r="H65" s="9"/>
      <c r="I65" s="10"/>
    </row>
    <row r="66" spans="3:9">
      <c r="C66" s="53"/>
      <c r="D66" s="2" t="s">
        <v>6</v>
      </c>
      <c r="E66" s="7">
        <f>SUM(E63:G63)</f>
        <v>0</v>
      </c>
      <c r="F66" s="2">
        <f t="shared" si="31"/>
        <v>0</v>
      </c>
      <c r="G66" s="14" t="s">
        <v>73</v>
      </c>
      <c r="H66" s="9"/>
      <c r="I66" s="10"/>
    </row>
    <row r="67" spans="3:9">
      <c r="C67" s="5"/>
      <c r="D67" s="5"/>
      <c r="E67" s="5"/>
      <c r="F67" s="13"/>
      <c r="G67" s="12"/>
      <c r="H67" s="12"/>
      <c r="I67" s="5"/>
    </row>
  </sheetData>
  <mergeCells count="149">
    <mergeCell ref="BA38:BA39"/>
    <mergeCell ref="BC32:BC34"/>
    <mergeCell ref="BD32:BD34"/>
    <mergeCell ref="BE32:BE34"/>
    <mergeCell ref="BC35:BC37"/>
    <mergeCell ref="BD35:BD37"/>
    <mergeCell ref="BE35:BE37"/>
    <mergeCell ref="BC38:BC39"/>
    <mergeCell ref="BD38:BD39"/>
    <mergeCell ref="BE38:BE39"/>
    <mergeCell ref="BO23:BO24"/>
    <mergeCell ref="BP23:BP24"/>
    <mergeCell ref="BQ23:BQ24"/>
    <mergeCell ref="BA30:BA31"/>
    <mergeCell ref="BC30:BC31"/>
    <mergeCell ref="BD30:BD31"/>
    <mergeCell ref="BE30:BE31"/>
    <mergeCell ref="BA32:BA34"/>
    <mergeCell ref="BA35:BA37"/>
    <mergeCell ref="C61:C66"/>
    <mergeCell ref="L3:N3"/>
    <mergeCell ref="C5:C10"/>
    <mergeCell ref="C12:C17"/>
    <mergeCell ref="C19:C24"/>
    <mergeCell ref="C26:C31"/>
    <mergeCell ref="C33:C38"/>
    <mergeCell ref="E3:I3"/>
    <mergeCell ref="AL4:AL5"/>
    <mergeCell ref="AL6:AL7"/>
    <mergeCell ref="AL8:AL9"/>
    <mergeCell ref="AL10:AL11"/>
    <mergeCell ref="AL12:AL13"/>
    <mergeCell ref="AP2:AS2"/>
    <mergeCell ref="AN2:AO2"/>
    <mergeCell ref="AL18:AL19"/>
    <mergeCell ref="AN16:AQ16"/>
    <mergeCell ref="B5:B17"/>
    <mergeCell ref="O3:S3"/>
    <mergeCell ref="C40:C45"/>
    <mergeCell ref="C47:C52"/>
    <mergeCell ref="C54:C59"/>
    <mergeCell ref="AW26:AW27"/>
    <mergeCell ref="AV26:AV27"/>
    <mergeCell ref="AN30:AQ30"/>
    <mergeCell ref="AW18:AW19"/>
    <mergeCell ref="AW20:AW21"/>
    <mergeCell ref="AW22:AW23"/>
    <mergeCell ref="AX18:AX19"/>
    <mergeCell ref="AX20:AX21"/>
    <mergeCell ref="AX22:AX23"/>
    <mergeCell ref="AX24:AX25"/>
    <mergeCell ref="AX26:AX27"/>
    <mergeCell ref="AV18:AV19"/>
    <mergeCell ref="AV22:AV23"/>
    <mergeCell ref="AV24:AV25"/>
    <mergeCell ref="AX32:AX33"/>
    <mergeCell ref="AL34:AL35"/>
    <mergeCell ref="AV34:AV35"/>
    <mergeCell ref="AW34:AW35"/>
    <mergeCell ref="AX34:AX35"/>
    <mergeCell ref="AT32:AT33"/>
    <mergeCell ref="AU32:AU33"/>
    <mergeCell ref="AT34:AT35"/>
    <mergeCell ref="AU34:AU35"/>
    <mergeCell ref="AL32:AL33"/>
    <mergeCell ref="AV32:AV33"/>
    <mergeCell ref="AW32:AW33"/>
    <mergeCell ref="AX36:AX37"/>
    <mergeCell ref="AL38:AL39"/>
    <mergeCell ref="AV38:AV39"/>
    <mergeCell ref="AW38:AW39"/>
    <mergeCell ref="AX38:AX39"/>
    <mergeCell ref="AT36:AT37"/>
    <mergeCell ref="AU36:AU37"/>
    <mergeCell ref="AT38:AT39"/>
    <mergeCell ref="AU38:AU39"/>
    <mergeCell ref="AL36:AL37"/>
    <mergeCell ref="AV36:AV37"/>
    <mergeCell ref="AW36:AW37"/>
    <mergeCell ref="AX40:AX41"/>
    <mergeCell ref="AL46:AL47"/>
    <mergeCell ref="AV46:AV47"/>
    <mergeCell ref="AW46:AW47"/>
    <mergeCell ref="AX46:AX47"/>
    <mergeCell ref="AT40:AT41"/>
    <mergeCell ref="AU40:AU41"/>
    <mergeCell ref="AN44:AQ44"/>
    <mergeCell ref="AT46:AT47"/>
    <mergeCell ref="AU46:AU47"/>
    <mergeCell ref="AL40:AL41"/>
    <mergeCell ref="AV40:AV41"/>
    <mergeCell ref="AW40:AW41"/>
    <mergeCell ref="AW50:AW51"/>
    <mergeCell ref="AX50:AX51"/>
    <mergeCell ref="AT48:AT49"/>
    <mergeCell ref="AU48:AU49"/>
    <mergeCell ref="AT50:AT51"/>
    <mergeCell ref="AU50:AU51"/>
    <mergeCell ref="AL48:AL49"/>
    <mergeCell ref="AV48:AV49"/>
    <mergeCell ref="AW48:AW49"/>
    <mergeCell ref="AX48:AX49"/>
    <mergeCell ref="AW54:AW55"/>
    <mergeCell ref="AX54:AX55"/>
    <mergeCell ref="AT52:AT53"/>
    <mergeCell ref="AU52:AU53"/>
    <mergeCell ref="AT54:AT55"/>
    <mergeCell ref="AU54:AU55"/>
    <mergeCell ref="AL52:AL53"/>
    <mergeCell ref="AV52:AV53"/>
    <mergeCell ref="AW52:AW53"/>
    <mergeCell ref="AX52:AX53"/>
    <mergeCell ref="AT26:AT27"/>
    <mergeCell ref="AU26:AU27"/>
    <mergeCell ref="AT18:AT19"/>
    <mergeCell ref="AU18:AU19"/>
    <mergeCell ref="AV20:AV21"/>
    <mergeCell ref="AU20:AU21"/>
    <mergeCell ref="AT20:AT21"/>
    <mergeCell ref="AL54:AL55"/>
    <mergeCell ref="AV54:AV55"/>
    <mergeCell ref="AL50:AL51"/>
    <mergeCell ref="AV50:AV51"/>
    <mergeCell ref="AL20:AL21"/>
    <mergeCell ref="AL22:AL23"/>
    <mergeCell ref="AL24:AL25"/>
    <mergeCell ref="AL26:AL27"/>
    <mergeCell ref="BA6:BA8"/>
    <mergeCell ref="BA9:BA11"/>
    <mergeCell ref="BC2:BD2"/>
    <mergeCell ref="BE2:BH2"/>
    <mergeCell ref="BA4:BA5"/>
    <mergeCell ref="AT22:AT23"/>
    <mergeCell ref="AU22:AU23"/>
    <mergeCell ref="AU24:AU25"/>
    <mergeCell ref="AT24:AT25"/>
    <mergeCell ref="AW24:AW25"/>
    <mergeCell ref="BC21:BD21"/>
    <mergeCell ref="BE21:BH21"/>
    <mergeCell ref="BA23:BA24"/>
    <mergeCell ref="BO9:BO11"/>
    <mergeCell ref="BP9:BP11"/>
    <mergeCell ref="BQ9:BQ11"/>
    <mergeCell ref="BO4:BO5"/>
    <mergeCell ref="BP4:BP5"/>
    <mergeCell ref="BQ4:BQ5"/>
    <mergeCell ref="BO6:BO8"/>
    <mergeCell ref="BP6:BP8"/>
    <mergeCell ref="BQ6:BQ8"/>
  </mergeCells>
  <conditionalFormatting sqref="AM4:AM13">
    <cfRule type="cellIs" dxfId="89" priority="108" operator="equal">
      <formula>"RAM"</formula>
    </cfRule>
  </conditionalFormatting>
  <conditionalFormatting sqref="AM4:AM13">
    <cfRule type="cellIs" dxfId="88" priority="107" operator="equal">
      <formula>"ROM"</formula>
    </cfRule>
  </conditionalFormatting>
  <conditionalFormatting sqref="AM4:AM13">
    <cfRule type="cellIs" dxfId="87" priority="106" operator="equal">
      <formula>"DRAM"</formula>
    </cfRule>
  </conditionalFormatting>
  <conditionalFormatting sqref="AM4:AM13">
    <cfRule type="cellIs" dxfId="86" priority="105" operator="equal">
      <formula>"EPROM"</formula>
    </cfRule>
  </conditionalFormatting>
  <conditionalFormatting sqref="AM4:AM13">
    <cfRule type="cellIs" dxfId="85" priority="104" operator="equal">
      <formula>"EEPROM"</formula>
    </cfRule>
  </conditionalFormatting>
  <conditionalFormatting sqref="AM4:AM13">
    <cfRule type="cellIs" dxfId="84" priority="103" operator="equal">
      <formula>"SRAM"</formula>
    </cfRule>
  </conditionalFormatting>
  <conditionalFormatting sqref="AM4:AM13">
    <cfRule type="cellIs" dxfId="83" priority="102" operator="equal">
      <formula>"SDRAM"</formula>
    </cfRule>
  </conditionalFormatting>
  <conditionalFormatting sqref="AM4:AM13">
    <cfRule type="cellIs" dxfId="82" priority="101" operator="equal">
      <formula>"STACK"</formula>
    </cfRule>
  </conditionalFormatting>
  <conditionalFormatting sqref="AM4:AM13">
    <cfRule type="cellIs" dxfId="81" priority="100" operator="equal">
      <formula>"HEAP"</formula>
    </cfRule>
  </conditionalFormatting>
  <conditionalFormatting sqref="AM18:AM27">
    <cfRule type="cellIs" dxfId="80" priority="99" operator="equal">
      <formula>"RAM"</formula>
    </cfRule>
  </conditionalFormatting>
  <conditionalFormatting sqref="AM18:AM27">
    <cfRule type="cellIs" dxfId="79" priority="98" operator="equal">
      <formula>"ROM"</formula>
    </cfRule>
  </conditionalFormatting>
  <conditionalFormatting sqref="AM18:AM27">
    <cfRule type="cellIs" dxfId="78" priority="97" operator="equal">
      <formula>"DRAM"</formula>
    </cfRule>
  </conditionalFormatting>
  <conditionalFormatting sqref="AM18:AM27">
    <cfRule type="cellIs" dxfId="77" priority="96" operator="equal">
      <formula>"EPROM"</formula>
    </cfRule>
  </conditionalFormatting>
  <conditionalFormatting sqref="AM18:AM27">
    <cfRule type="cellIs" dxfId="76" priority="95" operator="equal">
      <formula>"EEPROM"</formula>
    </cfRule>
  </conditionalFormatting>
  <conditionalFormatting sqref="AM18:AM27">
    <cfRule type="cellIs" dxfId="75" priority="94" operator="equal">
      <formula>"SRAM"</formula>
    </cfRule>
  </conditionalFormatting>
  <conditionalFormatting sqref="AM18:AM27">
    <cfRule type="cellIs" dxfId="74" priority="93" operator="equal">
      <formula>"SDRAM"</formula>
    </cfRule>
  </conditionalFormatting>
  <conditionalFormatting sqref="AM18:AM27">
    <cfRule type="cellIs" dxfId="73" priority="92" operator="equal">
      <formula>"STACK"</formula>
    </cfRule>
  </conditionalFormatting>
  <conditionalFormatting sqref="AM18:AM27">
    <cfRule type="cellIs" dxfId="72" priority="91" operator="equal">
      <formula>"HEAP"</formula>
    </cfRule>
  </conditionalFormatting>
  <conditionalFormatting sqref="AM32:AM41">
    <cfRule type="cellIs" dxfId="71" priority="72" operator="equal">
      <formula>"RAM"</formula>
    </cfRule>
  </conditionalFormatting>
  <conditionalFormatting sqref="AM32:AM41">
    <cfRule type="cellIs" dxfId="70" priority="71" operator="equal">
      <formula>"ROM"</formula>
    </cfRule>
  </conditionalFormatting>
  <conditionalFormatting sqref="AM32:AM41">
    <cfRule type="cellIs" dxfId="69" priority="70" operator="equal">
      <formula>"DRAM"</formula>
    </cfRule>
  </conditionalFormatting>
  <conditionalFormatting sqref="AM32:AM41">
    <cfRule type="cellIs" dxfId="68" priority="69" operator="equal">
      <formula>"EPROM"</formula>
    </cfRule>
  </conditionalFormatting>
  <conditionalFormatting sqref="AM32:AM41">
    <cfRule type="cellIs" dxfId="67" priority="68" operator="equal">
      <formula>"EEPROM"</formula>
    </cfRule>
  </conditionalFormatting>
  <conditionalFormatting sqref="AM32:AM41">
    <cfRule type="cellIs" dxfId="66" priority="67" operator="equal">
      <formula>"SRAM"</formula>
    </cfRule>
  </conditionalFormatting>
  <conditionalFormatting sqref="AM32:AM41">
    <cfRule type="cellIs" dxfId="65" priority="66" operator="equal">
      <formula>"SDRAM"</formula>
    </cfRule>
  </conditionalFormatting>
  <conditionalFormatting sqref="AM32:AM41">
    <cfRule type="cellIs" dxfId="64" priority="65" operator="equal">
      <formula>"STACK"</formula>
    </cfRule>
  </conditionalFormatting>
  <conditionalFormatting sqref="AM32:AM41">
    <cfRule type="cellIs" dxfId="63" priority="64" operator="equal">
      <formula>"HEAP"</formula>
    </cfRule>
  </conditionalFormatting>
  <conditionalFormatting sqref="AM46:AM55">
    <cfRule type="cellIs" dxfId="62" priority="63" operator="equal">
      <formula>"RAM"</formula>
    </cfRule>
  </conditionalFormatting>
  <conditionalFormatting sqref="AM46:AM55">
    <cfRule type="cellIs" dxfId="61" priority="62" operator="equal">
      <formula>"ROM"</formula>
    </cfRule>
  </conditionalFormatting>
  <conditionalFormatting sqref="AM46:AM55">
    <cfRule type="cellIs" dxfId="60" priority="61" operator="equal">
      <formula>"DRAM"</formula>
    </cfRule>
  </conditionalFormatting>
  <conditionalFormatting sqref="AM46:AM55">
    <cfRule type="cellIs" dxfId="59" priority="60" operator="equal">
      <formula>"EPROM"</formula>
    </cfRule>
  </conditionalFormatting>
  <conditionalFormatting sqref="AM46:AM55">
    <cfRule type="cellIs" dxfId="58" priority="59" operator="equal">
      <formula>"EEPROM"</formula>
    </cfRule>
  </conditionalFormatting>
  <conditionalFormatting sqref="AM46:AM55">
    <cfRule type="cellIs" dxfId="57" priority="58" operator="equal">
      <formula>"SRAM"</formula>
    </cfRule>
  </conditionalFormatting>
  <conditionalFormatting sqref="AM46:AM55">
    <cfRule type="cellIs" dxfId="56" priority="57" operator="equal">
      <formula>"SDRAM"</formula>
    </cfRule>
  </conditionalFormatting>
  <conditionalFormatting sqref="AM46:AM55">
    <cfRule type="cellIs" dxfId="55" priority="56" operator="equal">
      <formula>"STACK"</formula>
    </cfRule>
  </conditionalFormatting>
  <conditionalFormatting sqref="AM46:AM55">
    <cfRule type="cellIs" dxfId="54" priority="55" operator="equal">
      <formula>"HEAP"</formula>
    </cfRule>
  </conditionalFormatting>
  <conditionalFormatting sqref="BB4:BB11">
    <cfRule type="cellIs" dxfId="53" priority="54" operator="equal">
      <formula>"RAM"</formula>
    </cfRule>
  </conditionalFormatting>
  <conditionalFormatting sqref="BB4:BB11">
    <cfRule type="cellIs" dxfId="52" priority="53" operator="equal">
      <formula>"ROM"</formula>
    </cfRule>
  </conditionalFormatting>
  <conditionalFormatting sqref="BB4:BB11">
    <cfRule type="cellIs" dxfId="51" priority="52" operator="equal">
      <formula>"DRAM"</formula>
    </cfRule>
  </conditionalFormatting>
  <conditionalFormatting sqref="BB4:BB11">
    <cfRule type="cellIs" dxfId="50" priority="51" operator="equal">
      <formula>"EPROM"</formula>
    </cfRule>
  </conditionalFormatting>
  <conditionalFormatting sqref="BB4:BB11">
    <cfRule type="cellIs" dxfId="49" priority="50" operator="equal">
      <formula>"EEPROM"</formula>
    </cfRule>
  </conditionalFormatting>
  <conditionalFormatting sqref="BB4:BB11">
    <cfRule type="cellIs" dxfId="48" priority="49" operator="equal">
      <formula>"SRAM"</formula>
    </cfRule>
  </conditionalFormatting>
  <conditionalFormatting sqref="BB4:BB11">
    <cfRule type="cellIs" dxfId="47" priority="48" operator="equal">
      <formula>"SDRAM"</formula>
    </cfRule>
  </conditionalFormatting>
  <conditionalFormatting sqref="BB4:BB11">
    <cfRule type="cellIs" dxfId="46" priority="47" operator="equal">
      <formula>"STACK"</formula>
    </cfRule>
  </conditionalFormatting>
  <conditionalFormatting sqref="BB4:BB11">
    <cfRule type="cellIs" dxfId="45" priority="46" operator="equal">
      <formula>"HEAP"</formula>
    </cfRule>
  </conditionalFormatting>
  <conditionalFormatting sqref="BB23:BB24">
    <cfRule type="cellIs" dxfId="44" priority="45" operator="equal">
      <formula>"RAM"</formula>
    </cfRule>
  </conditionalFormatting>
  <conditionalFormatting sqref="BB23:BB24">
    <cfRule type="cellIs" dxfId="43" priority="44" operator="equal">
      <formula>"ROM"</formula>
    </cfRule>
  </conditionalFormatting>
  <conditionalFormatting sqref="BB23:BB24">
    <cfRule type="cellIs" dxfId="42" priority="43" operator="equal">
      <formula>"DRAM"</formula>
    </cfRule>
  </conditionalFormatting>
  <conditionalFormatting sqref="BB23:BB24">
    <cfRule type="cellIs" dxfId="41" priority="42" operator="equal">
      <formula>"EPROM"</formula>
    </cfRule>
  </conditionalFormatting>
  <conditionalFormatting sqref="BB23:BB24">
    <cfRule type="cellIs" dxfId="40" priority="41" operator="equal">
      <formula>"EEPROM"</formula>
    </cfRule>
  </conditionalFormatting>
  <conditionalFormatting sqref="BB23:BB24">
    <cfRule type="cellIs" dxfId="39" priority="40" operator="equal">
      <formula>"SRAM"</formula>
    </cfRule>
  </conditionalFormatting>
  <conditionalFormatting sqref="BB23:BB24">
    <cfRule type="cellIs" dxfId="38" priority="39" operator="equal">
      <formula>"SDRAM"</formula>
    </cfRule>
  </conditionalFormatting>
  <conditionalFormatting sqref="BB23:BB24">
    <cfRule type="cellIs" dxfId="37" priority="38" operator="equal">
      <formula>"STACK"</formula>
    </cfRule>
  </conditionalFormatting>
  <conditionalFormatting sqref="BB23:BB24">
    <cfRule type="cellIs" dxfId="36" priority="37" operator="equal">
      <formula>"HEAP"</formula>
    </cfRule>
  </conditionalFormatting>
  <conditionalFormatting sqref="BB30:BB31">
    <cfRule type="cellIs" dxfId="35" priority="36" operator="equal">
      <formula>"RAM"</formula>
    </cfRule>
  </conditionalFormatting>
  <conditionalFormatting sqref="BB30:BB31">
    <cfRule type="cellIs" dxfId="34" priority="35" operator="equal">
      <formula>"ROM"</formula>
    </cfRule>
  </conditionalFormatting>
  <conditionalFormatting sqref="BB30:BB31">
    <cfRule type="cellIs" dxfId="33" priority="34" operator="equal">
      <formula>"DRAM"</formula>
    </cfRule>
  </conditionalFormatting>
  <conditionalFormatting sqref="BB30:BB31">
    <cfRule type="cellIs" dxfId="32" priority="33" operator="equal">
      <formula>"EPROM"</formula>
    </cfRule>
  </conditionalFormatting>
  <conditionalFormatting sqref="BB30:BB31">
    <cfRule type="cellIs" dxfId="31" priority="32" operator="equal">
      <formula>"EEPROM"</formula>
    </cfRule>
  </conditionalFormatting>
  <conditionalFormatting sqref="BB30:BB31">
    <cfRule type="cellIs" dxfId="30" priority="31" operator="equal">
      <formula>"SRAM"</formula>
    </cfRule>
  </conditionalFormatting>
  <conditionalFormatting sqref="BB30:BB31">
    <cfRule type="cellIs" dxfId="29" priority="30" operator="equal">
      <formula>"SDRAM"</formula>
    </cfRule>
  </conditionalFormatting>
  <conditionalFormatting sqref="BB30:BB31">
    <cfRule type="cellIs" dxfId="28" priority="29" operator="equal">
      <formula>"STACK"</formula>
    </cfRule>
  </conditionalFormatting>
  <conditionalFormatting sqref="BB30:BB31">
    <cfRule type="cellIs" dxfId="27" priority="28" operator="equal">
      <formula>"HEAP"</formula>
    </cfRule>
  </conditionalFormatting>
  <conditionalFormatting sqref="BB32:BB34">
    <cfRule type="cellIs" dxfId="26" priority="27" operator="equal">
      <formula>"RAM"</formula>
    </cfRule>
  </conditionalFormatting>
  <conditionalFormatting sqref="BB32:BB34">
    <cfRule type="cellIs" dxfId="25" priority="26" operator="equal">
      <formula>"ROM"</formula>
    </cfRule>
  </conditionalFormatting>
  <conditionalFormatting sqref="BB32:BB34">
    <cfRule type="cellIs" dxfId="24" priority="25" operator="equal">
      <formula>"DRAM"</formula>
    </cfRule>
  </conditionalFormatting>
  <conditionalFormatting sqref="BB32:BB34">
    <cfRule type="cellIs" dxfId="23" priority="24" operator="equal">
      <formula>"EPROM"</formula>
    </cfRule>
  </conditionalFormatting>
  <conditionalFormatting sqref="BB32:BB34">
    <cfRule type="cellIs" dxfId="22" priority="23" operator="equal">
      <formula>"EEPROM"</formula>
    </cfRule>
  </conditionalFormatting>
  <conditionalFormatting sqref="BB32:BB34">
    <cfRule type="cellIs" dxfId="21" priority="22" operator="equal">
      <formula>"SRAM"</formula>
    </cfRule>
  </conditionalFormatting>
  <conditionalFormatting sqref="BB32:BB34">
    <cfRule type="cellIs" dxfId="20" priority="21" operator="equal">
      <formula>"SDRAM"</formula>
    </cfRule>
  </conditionalFormatting>
  <conditionalFormatting sqref="BB32:BB34">
    <cfRule type="cellIs" dxfId="19" priority="20" operator="equal">
      <formula>"STACK"</formula>
    </cfRule>
  </conditionalFormatting>
  <conditionalFormatting sqref="BB32:BB34">
    <cfRule type="cellIs" dxfId="18" priority="19" operator="equal">
      <formula>"HEAP"</formula>
    </cfRule>
  </conditionalFormatting>
  <conditionalFormatting sqref="BB35:BB37">
    <cfRule type="cellIs" dxfId="17" priority="18" operator="equal">
      <formula>"RAM"</formula>
    </cfRule>
  </conditionalFormatting>
  <conditionalFormatting sqref="BB35:BB37">
    <cfRule type="cellIs" dxfId="16" priority="17" operator="equal">
      <formula>"ROM"</formula>
    </cfRule>
  </conditionalFormatting>
  <conditionalFormatting sqref="BB35:BB37">
    <cfRule type="cellIs" dxfId="15" priority="16" operator="equal">
      <formula>"DRAM"</formula>
    </cfRule>
  </conditionalFormatting>
  <conditionalFormatting sqref="BB35:BB37">
    <cfRule type="cellIs" dxfId="14" priority="15" operator="equal">
      <formula>"EPROM"</formula>
    </cfRule>
  </conditionalFormatting>
  <conditionalFormatting sqref="BB35:BB37">
    <cfRule type="cellIs" dxfId="13" priority="14" operator="equal">
      <formula>"EEPROM"</formula>
    </cfRule>
  </conditionalFormatting>
  <conditionalFormatting sqref="BB35:BB37">
    <cfRule type="cellIs" dxfId="12" priority="13" operator="equal">
      <formula>"SRAM"</formula>
    </cfRule>
  </conditionalFormatting>
  <conditionalFormatting sqref="BB35:BB37">
    <cfRule type="cellIs" dxfId="11" priority="12" operator="equal">
      <formula>"SDRAM"</formula>
    </cfRule>
  </conditionalFormatting>
  <conditionalFormatting sqref="BB35:BB37">
    <cfRule type="cellIs" dxfId="10" priority="11" operator="equal">
      <formula>"STACK"</formula>
    </cfRule>
  </conditionalFormatting>
  <conditionalFormatting sqref="BB35:BB37">
    <cfRule type="cellIs" dxfId="9" priority="10" operator="equal">
      <formula>"HEAP"</formula>
    </cfRule>
  </conditionalFormatting>
  <conditionalFormatting sqref="BB38:BB39">
    <cfRule type="cellIs" dxfId="8" priority="9" operator="equal">
      <formula>"RAM"</formula>
    </cfRule>
  </conditionalFormatting>
  <conditionalFormatting sqref="BB38:BB39">
    <cfRule type="cellIs" dxfId="7" priority="8" operator="equal">
      <formula>"ROM"</formula>
    </cfRule>
  </conditionalFormatting>
  <conditionalFormatting sqref="BB38:BB39">
    <cfRule type="cellIs" dxfId="6" priority="7" operator="equal">
      <formula>"DRAM"</formula>
    </cfRule>
  </conditionalFormatting>
  <conditionalFormatting sqref="BB38:BB39">
    <cfRule type="cellIs" dxfId="5" priority="6" operator="equal">
      <formula>"EPROM"</formula>
    </cfRule>
  </conditionalFormatting>
  <conditionalFormatting sqref="BB38:BB39">
    <cfRule type="cellIs" dxfId="4" priority="5" operator="equal">
      <formula>"EEPROM"</formula>
    </cfRule>
  </conditionalFormatting>
  <conditionalFormatting sqref="BB38:BB39">
    <cfRule type="cellIs" dxfId="3" priority="4" operator="equal">
      <formula>"SRAM"</formula>
    </cfRule>
  </conditionalFormatting>
  <conditionalFormatting sqref="BB38:BB39">
    <cfRule type="cellIs" dxfId="2" priority="3" operator="equal">
      <formula>"SDRAM"</formula>
    </cfRule>
  </conditionalFormatting>
  <conditionalFormatting sqref="BB38:BB39">
    <cfRule type="cellIs" dxfId="1" priority="2" operator="equal">
      <formula>"STACK"</formula>
    </cfRule>
  </conditionalFormatting>
  <conditionalFormatting sqref="BB38:BB39">
    <cfRule type="cellIs" dxfId="0" priority="1" operator="equal">
      <formula>"HEAP"</formula>
    </cfRule>
  </conditionalFormatting>
  <dataValidations count="2">
    <dataValidation type="list" errorStyle="warning" allowBlank="1" showInputMessage="1" showErrorMessage="1" errorTitle="Wrong Input !" error="Please review the input value." promptTitle="Select Base" prompt="Choose between decimal, hexadecimal, binary or Octal." sqref="AM2 AM16 AM30 AM44 BB2 BB21 BB28" xr:uid="{49C36934-2798-4954-9EA7-1E9E2C61A0B5}">
      <formula1>"Dec,Hex,Bin,Oct"</formula1>
    </dataValidation>
    <dataValidation type="list" errorStyle="warning" allowBlank="1" showInputMessage="1" showErrorMessage="1" errorTitle="Wrong Input !" error="Please review your selection." promptTitle="Choose type of memory." sqref="AM4:AM13 AM18:AM27 AM32:AM41 AM46:AM55 BB4:BB11 BB23:BB24 BB30:BB39" xr:uid="{679E4774-DAE8-48B4-82A6-9EB8096F2FC1}">
      <formula1>"ROM,RAM,SRAM,DRAM,EPROM,EEPROM,SDRAM"</formula1>
    </dataValidation>
  </dataValidations>
  <printOptions horizontalCentered="1" verticalCentered="1"/>
  <pageMargins left="0.25" right="0.25" top="0.75" bottom="0.75" header="0.3" footer="0.3"/>
  <pageSetup paperSize="9"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7E51-C66F-47AA-A92F-4FA7AF22459C}">
  <dimension ref="E2:S49"/>
  <sheetViews>
    <sheetView topLeftCell="E1" workbookViewId="0">
      <selection activeCell="R10" sqref="R10"/>
    </sheetView>
  </sheetViews>
  <sheetFormatPr defaultRowHeight="15"/>
  <cols>
    <col min="7" max="7" width="13.28515625" bestFit="1" customWidth="1"/>
    <col min="10" max="10" width="13.5703125" customWidth="1"/>
    <col min="11" max="11" width="11.140625" customWidth="1"/>
  </cols>
  <sheetData>
    <row r="2" spans="5:19">
      <c r="E2" t="s">
        <v>95</v>
      </c>
      <c r="F2" t="s">
        <v>96</v>
      </c>
      <c r="G2" t="s">
        <v>97</v>
      </c>
      <c r="J2" s="56" t="s">
        <v>98</v>
      </c>
      <c r="K2" s="56"/>
      <c r="L2" s="56"/>
      <c r="M2" s="56"/>
    </row>
    <row r="3" spans="5:19">
      <c r="E3">
        <v>1</v>
      </c>
      <c r="F3" t="s">
        <v>99</v>
      </c>
      <c r="G3">
        <v>1</v>
      </c>
      <c r="J3" t="s">
        <v>100</v>
      </c>
      <c r="K3">
        <v>22</v>
      </c>
      <c r="L3" t="s">
        <v>73</v>
      </c>
    </row>
    <row r="4" spans="5:19">
      <c r="E4">
        <v>2</v>
      </c>
      <c r="F4" t="s">
        <v>99</v>
      </c>
      <c r="G4">
        <v>2</v>
      </c>
    </row>
    <row r="5" spans="5:19">
      <c r="E5">
        <v>4</v>
      </c>
      <c r="F5" t="s">
        <v>99</v>
      </c>
      <c r="G5">
        <v>4</v>
      </c>
      <c r="J5" t="s">
        <v>101</v>
      </c>
      <c r="K5" t="str">
        <f>DEC2HEX(K3*(IF(EXACT(UPPER(L3),"B"),1,IF(EXACT(UPPER(L3),"KB"),1024,IF(EXACT(UPPER(L3),"MB"),1024^2,IF(EXACT(UPPER(L3),"GB"),1024^3,IF(EXACT(UPPER(L3),"TB"),1024^4,0)))))))</f>
        <v>5800</v>
      </c>
      <c r="N5">
        <v>6000</v>
      </c>
    </row>
    <row r="6" spans="5:19">
      <c r="E6">
        <v>8</v>
      </c>
      <c r="F6" t="s">
        <v>99</v>
      </c>
      <c r="G6">
        <v>8</v>
      </c>
      <c r="N6">
        <v>22</v>
      </c>
    </row>
    <row r="7" spans="5:19">
      <c r="E7">
        <v>16</v>
      </c>
      <c r="F7" t="s">
        <v>99</v>
      </c>
      <c r="G7">
        <v>10</v>
      </c>
      <c r="J7" s="56" t="s">
        <v>102</v>
      </c>
      <c r="K7" s="56"/>
      <c r="L7" s="56"/>
      <c r="M7" s="56"/>
      <c r="N7">
        <f>N5-N6</f>
        <v>5978</v>
      </c>
    </row>
    <row r="8" spans="5:19">
      <c r="E8">
        <v>32</v>
      </c>
      <c r="F8" t="s">
        <v>99</v>
      </c>
      <c r="G8">
        <v>20</v>
      </c>
      <c r="J8" t="s">
        <v>103</v>
      </c>
      <c r="K8">
        <v>600000</v>
      </c>
      <c r="P8" s="56" t="s">
        <v>104</v>
      </c>
      <c r="Q8" s="56"/>
      <c r="R8" s="56"/>
      <c r="S8" s="56"/>
    </row>
    <row r="9" spans="5:19">
      <c r="E9">
        <v>64</v>
      </c>
      <c r="F9" t="s">
        <v>99</v>
      </c>
      <c r="G9">
        <v>40</v>
      </c>
      <c r="P9" cm="1">
        <f t="array" ref="P9">_xlfn.LET(_xlpm.x,S9,R9*10^(IF(_xlpm.x="Mbits",6,IF(_xlpm.x="kBits",3,IF(_xlpm.x="Gbits",9,IF(_xlpm.x="bits",1,0)))))/8)</f>
        <v>2000000</v>
      </c>
      <c r="Q9" t="s">
        <v>96</v>
      </c>
      <c r="R9">
        <v>16</v>
      </c>
      <c r="S9" t="s">
        <v>105</v>
      </c>
    </row>
    <row r="10" spans="5:19">
      <c r="E10">
        <v>128</v>
      </c>
      <c r="F10" t="s">
        <v>99</v>
      </c>
      <c r="G10">
        <v>80</v>
      </c>
      <c r="J10" t="s">
        <v>106</v>
      </c>
      <c r="K10">
        <f>HEX2DEC(K8)/(IF(EXACT(UPPER(L10),"B"),1,IF(EXACT(UPPER(L10),"kB"),1024,IF(EXACT(UPPER(L10),"MB"),1024^2,IF(EXACT(UPPER(L10),"GB"),1024^3,IF(EXACT(UPPER(L10),"TB"),1024^4,0))))))</f>
        <v>6</v>
      </c>
      <c r="L10" t="s">
        <v>47</v>
      </c>
    </row>
    <row r="11" spans="5:19">
      <c r="E11">
        <v>256</v>
      </c>
      <c r="F11" t="s">
        <v>99</v>
      </c>
      <c r="G11">
        <v>100</v>
      </c>
    </row>
    <row r="12" spans="5:19">
      <c r="E12">
        <v>512</v>
      </c>
      <c r="F12" t="s">
        <v>99</v>
      </c>
      <c r="G12">
        <v>200</v>
      </c>
    </row>
    <row r="13" spans="5:19">
      <c r="E13">
        <v>1</v>
      </c>
      <c r="F13" t="s">
        <v>73</v>
      </c>
      <c r="G13">
        <v>400</v>
      </c>
      <c r="J13" s="56" t="s">
        <v>107</v>
      </c>
      <c r="K13" s="56"/>
      <c r="L13" s="56"/>
      <c r="M13" s="56"/>
    </row>
    <row r="14" spans="5:19">
      <c r="E14">
        <f>2*E13</f>
        <v>2</v>
      </c>
      <c r="F14" t="s">
        <v>73</v>
      </c>
      <c r="G14">
        <v>800</v>
      </c>
      <c r="J14" t="s">
        <v>108</v>
      </c>
      <c r="K14">
        <v>64</v>
      </c>
      <c r="L14" t="s">
        <v>96</v>
      </c>
    </row>
    <row r="15" spans="5:19">
      <c r="E15">
        <f t="shared" ref="E15:E22" si="0">2*E14</f>
        <v>4</v>
      </c>
      <c r="F15" t="s">
        <v>73</v>
      </c>
      <c r="G15">
        <v>1000</v>
      </c>
    </row>
    <row r="16" spans="5:19">
      <c r="E16">
        <f t="shared" si="0"/>
        <v>8</v>
      </c>
      <c r="F16" t="s">
        <v>73</v>
      </c>
      <c r="G16">
        <v>2000</v>
      </c>
      <c r="J16" t="s">
        <v>109</v>
      </c>
      <c r="K16">
        <f>K14*8</f>
        <v>512</v>
      </c>
      <c r="L16" t="s">
        <v>110</v>
      </c>
    </row>
    <row r="17" spans="5:13">
      <c r="E17">
        <f t="shared" si="0"/>
        <v>16</v>
      </c>
      <c r="F17" t="s">
        <v>73</v>
      </c>
      <c r="G17">
        <v>4000</v>
      </c>
    </row>
    <row r="18" spans="5:13">
      <c r="E18">
        <f t="shared" si="0"/>
        <v>32</v>
      </c>
      <c r="F18" t="s">
        <v>73</v>
      </c>
      <c r="G18">
        <v>8000</v>
      </c>
    </row>
    <row r="19" spans="5:13">
      <c r="E19">
        <f t="shared" si="0"/>
        <v>64</v>
      </c>
      <c r="F19" t="s">
        <v>73</v>
      </c>
      <c r="G19">
        <v>10000</v>
      </c>
      <c r="J19" s="56" t="s">
        <v>19</v>
      </c>
      <c r="K19" s="56"/>
      <c r="L19" s="56"/>
      <c r="M19" s="56"/>
    </row>
    <row r="20" spans="5:13">
      <c r="E20">
        <f t="shared" si="0"/>
        <v>128</v>
      </c>
      <c r="F20" t="s">
        <v>73</v>
      </c>
      <c r="G20">
        <v>20000</v>
      </c>
      <c r="J20" t="s">
        <v>111</v>
      </c>
      <c r="K20" t="s">
        <v>112</v>
      </c>
    </row>
    <row r="21" spans="5:13">
      <c r="E21">
        <f t="shared" si="0"/>
        <v>256</v>
      </c>
      <c r="F21" t="s">
        <v>73</v>
      </c>
      <c r="G21">
        <v>40000</v>
      </c>
    </row>
    <row r="22" spans="5:13">
      <c r="E22">
        <f t="shared" si="0"/>
        <v>512</v>
      </c>
      <c r="F22" t="s">
        <v>73</v>
      </c>
      <c r="G22">
        <v>80000</v>
      </c>
      <c r="J22" t="s">
        <v>113</v>
      </c>
      <c r="K22">
        <v>50</v>
      </c>
      <c r="L22" t="s">
        <v>114</v>
      </c>
    </row>
    <row r="23" spans="5:13">
      <c r="E23">
        <v>1</v>
      </c>
      <c r="F23" t="s">
        <v>47</v>
      </c>
      <c r="G23">
        <v>100000</v>
      </c>
    </row>
    <row r="24" spans="5:13">
      <c r="E24">
        <f>2*E23</f>
        <v>2</v>
      </c>
      <c r="F24" t="s">
        <v>47</v>
      </c>
      <c r="G24">
        <v>200000</v>
      </c>
      <c r="J24" t="s">
        <v>115</v>
      </c>
      <c r="K24">
        <f>HEX2DEC(K20)/(K22*10^6)</f>
        <v>0.54274100000000003</v>
      </c>
      <c r="L24" t="s">
        <v>116</v>
      </c>
    </row>
    <row r="25" spans="5:13">
      <c r="E25">
        <f t="shared" ref="E25:E32" si="1">2*E24</f>
        <v>4</v>
      </c>
      <c r="F25" t="s">
        <v>47</v>
      </c>
      <c r="G25">
        <v>400000</v>
      </c>
    </row>
    <row r="26" spans="5:13">
      <c r="E26">
        <f t="shared" si="1"/>
        <v>8</v>
      </c>
      <c r="F26" t="s">
        <v>47</v>
      </c>
      <c r="G26">
        <v>800000</v>
      </c>
    </row>
    <row r="27" spans="5:13">
      <c r="E27">
        <f t="shared" si="1"/>
        <v>16</v>
      </c>
      <c r="F27" t="s">
        <v>47</v>
      </c>
      <c r="G27">
        <v>1000000</v>
      </c>
    </row>
    <row r="28" spans="5:13">
      <c r="E28">
        <f t="shared" si="1"/>
        <v>32</v>
      </c>
      <c r="F28" t="s">
        <v>47</v>
      </c>
      <c r="G28">
        <v>2000000</v>
      </c>
    </row>
    <row r="29" spans="5:13">
      <c r="E29">
        <f t="shared" si="1"/>
        <v>64</v>
      </c>
      <c r="F29" t="s">
        <v>47</v>
      </c>
      <c r="G29">
        <v>4000000</v>
      </c>
    </row>
    <row r="30" spans="5:13">
      <c r="E30">
        <f t="shared" si="1"/>
        <v>128</v>
      </c>
      <c r="F30" t="s">
        <v>47</v>
      </c>
      <c r="G30">
        <v>8000000</v>
      </c>
    </row>
    <row r="31" spans="5:13">
      <c r="E31">
        <f t="shared" si="1"/>
        <v>256</v>
      </c>
      <c r="F31" t="s">
        <v>47</v>
      </c>
      <c r="G31">
        <v>10000000</v>
      </c>
    </row>
    <row r="32" spans="5:13">
      <c r="E32">
        <f t="shared" si="1"/>
        <v>512</v>
      </c>
      <c r="F32" t="s">
        <v>47</v>
      </c>
      <c r="G32">
        <v>20000000</v>
      </c>
    </row>
    <row r="33" spans="5:7">
      <c r="E33">
        <v>1</v>
      </c>
      <c r="F33" t="s">
        <v>117</v>
      </c>
      <c r="G33">
        <v>40000000</v>
      </c>
    </row>
    <row r="34" spans="5:7">
      <c r="E34">
        <f>2*E33</f>
        <v>2</v>
      </c>
      <c r="F34" t="s">
        <v>117</v>
      </c>
      <c r="G34">
        <v>80000000</v>
      </c>
    </row>
    <row r="35" spans="5:7">
      <c r="E35">
        <f t="shared" ref="E35:E42" si="2">2*E34</f>
        <v>4</v>
      </c>
      <c r="F35" t="s">
        <v>117</v>
      </c>
      <c r="G35">
        <v>100000000</v>
      </c>
    </row>
    <row r="36" spans="5:7">
      <c r="E36">
        <f t="shared" si="2"/>
        <v>8</v>
      </c>
      <c r="F36" t="s">
        <v>117</v>
      </c>
      <c r="G36">
        <v>200000000</v>
      </c>
    </row>
    <row r="37" spans="5:7">
      <c r="E37">
        <f t="shared" si="2"/>
        <v>16</v>
      </c>
      <c r="F37" t="s">
        <v>117</v>
      </c>
      <c r="G37">
        <v>400000000</v>
      </c>
    </row>
    <row r="38" spans="5:7">
      <c r="E38">
        <f t="shared" si="2"/>
        <v>32</v>
      </c>
      <c r="F38" t="s">
        <v>117</v>
      </c>
      <c r="G38">
        <v>800000000</v>
      </c>
    </row>
    <row r="39" spans="5:7">
      <c r="E39">
        <f t="shared" si="2"/>
        <v>64</v>
      </c>
      <c r="F39" t="s">
        <v>117</v>
      </c>
      <c r="G39">
        <v>1000000000</v>
      </c>
    </row>
    <row r="40" spans="5:7">
      <c r="E40">
        <f t="shared" si="2"/>
        <v>128</v>
      </c>
      <c r="F40" t="s">
        <v>117</v>
      </c>
      <c r="G40">
        <v>2000000000</v>
      </c>
    </row>
    <row r="41" spans="5:7">
      <c r="E41">
        <f t="shared" si="2"/>
        <v>256</v>
      </c>
      <c r="F41" t="s">
        <v>117</v>
      </c>
      <c r="G41">
        <v>4000000000</v>
      </c>
    </row>
    <row r="42" spans="5:7">
      <c r="E42">
        <f t="shared" si="2"/>
        <v>512</v>
      </c>
      <c r="F42" t="s">
        <v>117</v>
      </c>
      <c r="G42">
        <v>8000000000</v>
      </c>
    </row>
    <row r="43" spans="5:7">
      <c r="E43">
        <v>1</v>
      </c>
      <c r="F43" t="s">
        <v>118</v>
      </c>
      <c r="G43">
        <v>10000000000</v>
      </c>
    </row>
    <row r="44" spans="5:7">
      <c r="E44">
        <f>2*E43</f>
        <v>2</v>
      </c>
      <c r="F44" t="str">
        <f>F43</f>
        <v>TB</v>
      </c>
      <c r="G44">
        <f>G43*2</f>
        <v>20000000000</v>
      </c>
    </row>
    <row r="45" spans="5:7">
      <c r="E45">
        <f t="shared" ref="E45:E49" si="3">2*E44</f>
        <v>4</v>
      </c>
      <c r="F45" t="str">
        <f t="shared" ref="F45:F49" si="4">F44</f>
        <v>TB</v>
      </c>
      <c r="G45">
        <f t="shared" ref="G45:G46" si="5">G44*2</f>
        <v>40000000000</v>
      </c>
    </row>
    <row r="46" spans="5:7">
      <c r="E46">
        <f t="shared" si="3"/>
        <v>8</v>
      </c>
      <c r="F46" t="str">
        <f t="shared" si="4"/>
        <v>TB</v>
      </c>
      <c r="G46">
        <f t="shared" si="5"/>
        <v>80000000000</v>
      </c>
    </row>
    <row r="47" spans="5:7">
      <c r="E47">
        <f t="shared" si="3"/>
        <v>16</v>
      </c>
      <c r="F47" t="str">
        <f t="shared" si="4"/>
        <v>TB</v>
      </c>
      <c r="G47">
        <f>G43*10</f>
        <v>100000000000</v>
      </c>
    </row>
    <row r="48" spans="5:7">
      <c r="E48">
        <f t="shared" si="3"/>
        <v>32</v>
      </c>
      <c r="F48" t="str">
        <f t="shared" si="4"/>
        <v>TB</v>
      </c>
    </row>
    <row r="49" spans="5:6">
      <c r="E49">
        <f t="shared" si="3"/>
        <v>64</v>
      </c>
      <c r="F49" t="str">
        <f t="shared" si="4"/>
        <v>TB</v>
      </c>
    </row>
  </sheetData>
  <mergeCells count="5">
    <mergeCell ref="J2:M2"/>
    <mergeCell ref="J7:M7"/>
    <mergeCell ref="J13:M13"/>
    <mergeCell ref="J19:M19"/>
    <mergeCell ref="P8:S8"/>
  </mergeCells>
  <dataValidations count="3">
    <dataValidation type="list" errorStyle="warning" showInputMessage="1" showErrorMessage="1" errorTitle="Wrong Input !" error="Please select bewteen: B, KB, MB, GB, TB" promptTitle="Bytes" prompt="Select bewteen B, KB, MB, GB, TB" sqref="L10" xr:uid="{9FA48840-16C3-4A71-BBE8-28AB9D2B4C39}">
      <formula1>"B,KB,MB,GB,TB"</formula1>
    </dataValidation>
    <dataValidation type="list" errorStyle="warning" showInputMessage="1" showErrorMessage="1" errorTitle="Wrong Input !" error="Please select bewteen one: B, KB, MB, GB, TB" promptTitle="Bytes" prompt="Select bewteen: B, KB, MB, GB, TB" sqref="L3" xr:uid="{E6D56E6F-42FD-48C6-A9F1-E955BD03E5F3}">
      <formula1>"B,KB,MB,GB,TB"</formula1>
    </dataValidation>
    <dataValidation type="list" allowBlank="1" showInputMessage="1" showErrorMessage="1" promptTitle="Select bits." sqref="S9" xr:uid="{D6AF2D17-724D-4690-9AA2-61282656E0DF}">
      <formula1>"bits,Kbits,Mbits,Gbits"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2023-11-27T20:58:45Z</dcterms:created>
  <dcterms:modified xsi:type="dcterms:W3CDTF">2023-12-11T21:09:54Z</dcterms:modified>
  <cp:category/>
  <cp:contentStatus/>
</cp:coreProperties>
</file>