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.romanov\Download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8" i="1" l="1"/>
  <c r="L29" i="1"/>
  <c r="N29" i="1"/>
  <c r="M29" i="1"/>
  <c r="G26" i="1"/>
  <c r="H26" i="1" s="1"/>
  <c r="G27" i="1"/>
  <c r="H27" i="1"/>
  <c r="G28" i="1"/>
  <c r="H28" i="1" s="1"/>
  <c r="G29" i="1"/>
  <c r="H29" i="1"/>
  <c r="G25" i="1"/>
  <c r="J6" i="1"/>
  <c r="I6" i="1" s="1"/>
  <c r="G24" i="1" s="1"/>
  <c r="H24" i="1" s="1"/>
  <c r="J7" i="1"/>
  <c r="I7" i="1" s="1"/>
  <c r="J8" i="1"/>
  <c r="J9" i="1"/>
  <c r="J10" i="1"/>
  <c r="I10" i="1" s="1"/>
  <c r="J11" i="1"/>
  <c r="I11" i="1" s="1"/>
  <c r="I8" i="1"/>
  <c r="I9" i="1"/>
  <c r="C17" i="1" l="1"/>
  <c r="C16" i="1" s="1"/>
  <c r="C15" i="1" s="1"/>
  <c r="F22" i="1"/>
  <c r="F23" i="1"/>
  <c r="F24" i="1"/>
  <c r="F25" i="1"/>
  <c r="F26" i="1"/>
  <c r="F27" i="1"/>
  <c r="F28" i="1"/>
  <c r="F29" i="1"/>
  <c r="F21" i="1"/>
  <c r="E21" i="1"/>
  <c r="E22" i="1"/>
  <c r="E23" i="1"/>
  <c r="G16" i="1"/>
  <c r="G17" i="1"/>
  <c r="G18" i="1"/>
  <c r="G19" i="1"/>
  <c r="G20" i="1"/>
  <c r="E25" i="1"/>
  <c r="E26" i="1"/>
  <c r="E27" i="1"/>
  <c r="E28" i="1"/>
  <c r="E29" i="1"/>
  <c r="E24" i="1"/>
  <c r="H25" i="1"/>
  <c r="L28" i="1"/>
  <c r="P6" i="1"/>
  <c r="O6" i="1" s="1"/>
  <c r="M24" i="1" s="1"/>
  <c r="N24" i="1" s="1"/>
  <c r="P7" i="1"/>
  <c r="O7" i="1" s="1"/>
  <c r="M25" i="1" s="1"/>
  <c r="N25" i="1" s="1"/>
  <c r="P8" i="1"/>
  <c r="O8" i="1" s="1"/>
  <c r="M26" i="1" s="1"/>
  <c r="N26" i="1" s="1"/>
  <c r="P9" i="1"/>
  <c r="O9" i="1" s="1"/>
  <c r="M27" i="1" s="1"/>
  <c r="N27" i="1" s="1"/>
  <c r="P10" i="1"/>
  <c r="O10" i="1" s="1"/>
  <c r="M28" i="1" s="1"/>
  <c r="N28" i="1" s="1"/>
  <c r="P11" i="1"/>
  <c r="O11" i="1" s="1"/>
  <c r="L22" i="1"/>
  <c r="L23" i="1"/>
  <c r="L24" i="1"/>
  <c r="L25" i="1"/>
  <c r="L26" i="1"/>
  <c r="L27" i="1"/>
  <c r="J5" i="1"/>
  <c r="I5" i="1" s="1"/>
  <c r="G23" i="1" s="1"/>
  <c r="H23" i="1" s="1"/>
  <c r="L21" i="1"/>
  <c r="M16" i="1"/>
  <c r="M17" i="1"/>
  <c r="M18" i="1"/>
  <c r="M19" i="1"/>
  <c r="M20" i="1"/>
  <c r="J4" i="1"/>
  <c r="I4" i="1" s="1"/>
  <c r="G22" i="1" s="1"/>
  <c r="H22" i="1" s="1"/>
  <c r="P3" i="1"/>
  <c r="O3" i="1" s="1"/>
  <c r="M21" i="1" s="1"/>
  <c r="P4" i="1"/>
  <c r="O4" i="1" s="1"/>
  <c r="M22" i="1" s="1"/>
  <c r="N22" i="1" s="1"/>
  <c r="P5" i="1"/>
  <c r="O5" i="1" s="1"/>
  <c r="M23" i="1" s="1"/>
  <c r="N23" i="1" s="1"/>
  <c r="J3" i="1"/>
  <c r="I3" i="1" s="1"/>
  <c r="G21" i="1" s="1"/>
  <c r="H21" i="1" l="1"/>
  <c r="G15" i="1"/>
  <c r="N21" i="1"/>
  <c r="M15" i="1"/>
  <c r="H15" i="1"/>
  <c r="B22" i="1" l="1"/>
  <c r="B17" i="1" s="1"/>
  <c r="B15" i="1" s="1"/>
  <c r="B23" i="1"/>
  <c r="N15" i="1"/>
</calcChain>
</file>

<file path=xl/sharedStrings.xml><?xml version="1.0" encoding="utf-8"?>
<sst xmlns="http://schemas.openxmlformats.org/spreadsheetml/2006/main" count="72" uniqueCount="52">
  <si>
    <t>КК1</t>
  </si>
  <si>
    <t>кк2</t>
  </si>
  <si>
    <t>кк3</t>
  </si>
  <si>
    <t>кк4</t>
  </si>
  <si>
    <t>Архив</t>
  </si>
  <si>
    <t>77.1</t>
  </si>
  <si>
    <t>77.2</t>
  </si>
  <si>
    <t>олд1</t>
  </si>
  <si>
    <t>олд2</t>
  </si>
  <si>
    <t>олд3</t>
  </si>
  <si>
    <t>олд4</t>
  </si>
  <si>
    <t>Время</t>
  </si>
  <si>
    <t>Активность На время отгрузки</t>
  </si>
  <si>
    <t>Разница в минутах</t>
  </si>
  <si>
    <t>Вся серия</t>
  </si>
  <si>
    <t>Активность На время отгрузки с фасовщика</t>
  </si>
  <si>
    <t>Обьем, мл</t>
  </si>
  <si>
    <t>61.1</t>
  </si>
  <si>
    <t>Код флакона</t>
  </si>
  <si>
    <t>Номер серии</t>
  </si>
  <si>
    <t xml:space="preserve">Коэффициент </t>
  </si>
  <si>
    <t>олд5</t>
  </si>
  <si>
    <t>олд6</t>
  </si>
  <si>
    <t>олд7</t>
  </si>
  <si>
    <t>олд8</t>
  </si>
  <si>
    <t>олд9</t>
  </si>
  <si>
    <t>Время отгрузки с фасовщика</t>
  </si>
  <si>
    <t>Обьем серии, мл</t>
  </si>
  <si>
    <t>Период полураспада, минут</t>
  </si>
  <si>
    <t>Активность всей серии, МБк</t>
  </si>
  <si>
    <t>Обьемная Активность, МБк</t>
  </si>
  <si>
    <t>Активность, МБк</t>
  </si>
  <si>
    <t>Выходная Активность с фасовщика, МБк</t>
  </si>
  <si>
    <t>Требуемая Активность на время из заявок для контракта</t>
  </si>
  <si>
    <t>Требуемая Активность на время из заявок  для ОЛД</t>
  </si>
  <si>
    <t xml:space="preserve">Контракт. Активность и обьем во флаконе на время фасовки </t>
  </si>
  <si>
    <t xml:space="preserve">Олд. Активность и обьем во флаконе на время фасовки </t>
  </si>
  <si>
    <t>Название центра</t>
  </si>
  <si>
    <t>Лрц</t>
  </si>
  <si>
    <t>Питер</t>
  </si>
  <si>
    <t>С циклотрона</t>
  </si>
  <si>
    <t>На модуле синтеза</t>
  </si>
  <si>
    <t>На фасовщике</t>
  </si>
  <si>
    <t>Время синтеза</t>
  </si>
  <si>
    <t>Время передачи с циклтрона</t>
  </si>
  <si>
    <t>Активность,МБк</t>
  </si>
  <si>
    <t>Номер флакона</t>
  </si>
  <si>
    <t>Активность с учетом выхода и времени синтеза</t>
  </si>
  <si>
    <t>Выход с синтеза, %</t>
  </si>
  <si>
    <t>Владимир</t>
  </si>
  <si>
    <t>Промывка линии</t>
  </si>
  <si>
    <t>055F1BK100223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</si>
</sst>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93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center" wrapText="1"/>
    </xf>
    <xf numFmtId="0" fontId="0" fillId="6" borderId="8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6" xfId="0" applyFill="1" applyBorder="1" applyAlignment="1">
      <alignment horizontal="center" wrapText="1"/>
    </xf>
    <xf numFmtId="0" fontId="0" fillId="5" borderId="6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9" borderId="0" xfId="0" applyFill="1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20" fontId="0" fillId="6" borderId="10" xfId="0" applyNumberFormat="1" applyFill="1" applyBorder="1" applyAlignment="1">
      <alignment horizontal="center" wrapText="1"/>
    </xf>
    <xf numFmtId="1" fontId="0" fillId="5" borderId="5" xfId="0" applyNumberFormat="1" applyFill="1" applyBorder="1" applyAlignment="1">
      <alignment horizontal="center" wrapText="1"/>
    </xf>
    <xf numFmtId="2" fontId="0" fillId="5" borderId="7" xfId="0" applyNumberFormat="1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7" borderId="6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2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/>
    </xf>
    <xf numFmtId="1" fontId="3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165" fontId="3" fillId="7" borderId="7" xfId="1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65" fontId="0" fillId="7" borderId="7" xfId="0" applyNumberFormat="1" applyFill="1" applyBorder="1" applyAlignment="1">
      <alignment horizontal="center" vertical="center"/>
    </xf>
    <xf numFmtId="0" fontId="0" fillId="0" borderId="15" xfId="0" applyBorder="1"/>
    <xf numFmtId="0" fontId="0" fillId="0" borderId="20" xfId="0" applyBorder="1" applyAlignment="1">
      <alignment horizontal="center" wrapText="1"/>
    </xf>
    <xf numFmtId="0" fontId="0" fillId="9" borderId="0" xfId="0" applyFill="1"/>
    <xf numFmtId="0" fontId="0" fillId="9" borderId="0" xfId="0" applyFill="1" applyAlignment="1">
      <alignment wrapText="1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/>
    </xf>
    <xf numFmtId="20" fontId="0" fillId="9" borderId="0" xfId="0" applyNumberForma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1" fontId="0" fillId="5" borderId="2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20" fontId="0" fillId="5" borderId="12" xfId="0" applyNumberFormat="1" applyFill="1" applyBorder="1" applyAlignment="1">
      <alignment horizontal="center" vertical="center" wrapText="1"/>
    </xf>
    <xf numFmtId="20" fontId="0" fillId="7" borderId="12" xfId="0" applyNumberFormat="1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H2" sqref="H1:K1048576"/>
    </sheetView>
  </sheetViews>
  <sheetFormatPr defaultRowHeight="15" x14ac:dyDescent="0.25"/>
  <cols>
    <col min="1" max="1" width="30.7109375" customWidth="1"/>
    <col min="2" max="2" width="18.140625" style="5" customWidth="1"/>
    <col min="3" max="3" width="13.5703125" style="5" customWidth="1"/>
    <col min="4" max="4" width="5" style="44" customWidth="1"/>
    <col min="5" max="5" width="28.85546875" style="2" customWidth="1"/>
    <col min="6" max="6" width="10.28515625" style="2" customWidth="1"/>
    <col min="7" max="7" width="21.42578125" style="2" customWidth="1"/>
    <col min="8" max="8" width="21" style="2" customWidth="1"/>
    <col min="9" max="9" width="22.85546875" hidden="1" customWidth="1"/>
    <col min="10" max="10" width="23" hidden="1" customWidth="1"/>
    <col min="11" max="11" width="12" customWidth="1"/>
    <col min="12" max="12" width="26.28515625" customWidth="1"/>
    <col min="13" max="13" width="23.42578125" customWidth="1"/>
    <col min="14" max="14" width="21.42578125" customWidth="1"/>
    <col min="15" max="15" width="14.28515625" hidden="1" customWidth="1"/>
    <col min="16" max="16" width="25" hidden="1" customWidth="1"/>
    <col min="17" max="17" width="16.140625" customWidth="1"/>
    <col min="18" max="18" width="17.140625" customWidth="1"/>
    <col min="19" max="19" width="16.42578125" customWidth="1"/>
  </cols>
  <sheetData>
    <row r="1" spans="1:17" ht="16.5" thickBot="1" x14ac:dyDescent="0.3">
      <c r="A1" s="72"/>
      <c r="B1" s="44"/>
      <c r="C1" s="44"/>
      <c r="E1" s="84" t="s">
        <v>33</v>
      </c>
      <c r="F1" s="85"/>
      <c r="G1" s="85"/>
      <c r="H1" s="85"/>
      <c r="I1" s="85"/>
      <c r="J1" s="86"/>
      <c r="K1" s="74"/>
      <c r="L1" s="84" t="s">
        <v>34</v>
      </c>
      <c r="M1" s="85"/>
      <c r="N1" s="85"/>
      <c r="O1" s="85"/>
      <c r="P1" s="86"/>
      <c r="Q1" s="72"/>
    </row>
    <row r="2" spans="1:17" ht="32.25" customHeight="1" x14ac:dyDescent="0.25">
      <c r="A2" s="7" t="s">
        <v>19</v>
      </c>
      <c r="B2" s="45" t="s">
        <v>51</v>
      </c>
      <c r="C2" s="44"/>
      <c r="E2" s="38" t="s">
        <v>18</v>
      </c>
      <c r="F2" s="61" t="s">
        <v>37</v>
      </c>
      <c r="G2" s="59" t="s">
        <v>11</v>
      </c>
      <c r="H2" s="59" t="s">
        <v>31</v>
      </c>
      <c r="I2" s="39" t="s">
        <v>15</v>
      </c>
      <c r="J2" s="41" t="s">
        <v>13</v>
      </c>
      <c r="K2" s="60" t="s">
        <v>46</v>
      </c>
      <c r="L2" s="38" t="s">
        <v>18</v>
      </c>
      <c r="M2" s="59" t="s">
        <v>11</v>
      </c>
      <c r="N2" s="59" t="s">
        <v>31</v>
      </c>
      <c r="O2" s="39" t="s">
        <v>12</v>
      </c>
      <c r="P2" s="41" t="s">
        <v>13</v>
      </c>
      <c r="Q2" s="72"/>
    </row>
    <row r="3" spans="1:17" x14ac:dyDescent="0.25">
      <c r="A3" s="8" t="s">
        <v>30</v>
      </c>
      <c r="B3" s="46">
        <v>7000</v>
      </c>
      <c r="C3" s="44"/>
      <c r="E3" s="15" t="s">
        <v>5</v>
      </c>
      <c r="F3" s="19" t="s">
        <v>38</v>
      </c>
      <c r="G3" s="16">
        <v>0.21875</v>
      </c>
      <c r="H3" s="19">
        <v>29130</v>
      </c>
      <c r="I3" s="27">
        <f>H3*2^(J3/$B$24)</f>
        <v>29130</v>
      </c>
      <c r="J3" s="14">
        <f>(G3-$B$4)*$B$25</f>
        <v>0</v>
      </c>
      <c r="K3" s="55">
        <v>1</v>
      </c>
      <c r="L3" s="17" t="s">
        <v>7</v>
      </c>
      <c r="M3" s="18"/>
      <c r="N3" s="33"/>
      <c r="O3" s="29">
        <f>N3*2^(P3/$B$24)</f>
        <v>0</v>
      </c>
      <c r="P3" s="14">
        <f>(M3-$B$4)*$B$25</f>
        <v>-315</v>
      </c>
      <c r="Q3" s="72"/>
    </row>
    <row r="4" spans="1:17" ht="15.75" thickBot="1" x14ac:dyDescent="0.3">
      <c r="A4" s="9" t="s">
        <v>26</v>
      </c>
      <c r="B4" s="47">
        <v>0.21875</v>
      </c>
      <c r="C4" s="44"/>
      <c r="E4" s="15" t="s">
        <v>6</v>
      </c>
      <c r="F4" s="19" t="s">
        <v>38</v>
      </c>
      <c r="G4" s="16">
        <v>0.21875</v>
      </c>
      <c r="H4" s="19">
        <v>92150</v>
      </c>
      <c r="I4" s="27">
        <f>H4*2^(J4/$B$24)</f>
        <v>92150</v>
      </c>
      <c r="J4" s="14">
        <f>(G4-$B$4)*$B$25</f>
        <v>0</v>
      </c>
      <c r="K4" s="55">
        <v>2</v>
      </c>
      <c r="L4" s="17" t="s">
        <v>8</v>
      </c>
      <c r="M4" s="18"/>
      <c r="N4" s="33"/>
      <c r="O4" s="29">
        <f>N4*2^(P4/$B$24)</f>
        <v>0</v>
      </c>
      <c r="P4" s="14">
        <f>(M4-$B$4)*$B$25</f>
        <v>-315</v>
      </c>
      <c r="Q4" s="72"/>
    </row>
    <row r="5" spans="1:17" x14ac:dyDescent="0.25">
      <c r="A5" s="73"/>
      <c r="B5" s="44"/>
      <c r="C5" s="44"/>
      <c r="E5" s="15" t="s">
        <v>17</v>
      </c>
      <c r="F5" s="19" t="s">
        <v>39</v>
      </c>
      <c r="G5" s="16">
        <v>0.21875</v>
      </c>
      <c r="H5" s="19">
        <v>92280</v>
      </c>
      <c r="I5" s="27">
        <f>H5*2^(J5/$B$24)</f>
        <v>92280</v>
      </c>
      <c r="J5" s="14">
        <f>(G5-$B$4)*$B$25</f>
        <v>0</v>
      </c>
      <c r="K5" s="55">
        <v>3</v>
      </c>
      <c r="L5" s="17" t="s">
        <v>9</v>
      </c>
      <c r="M5" s="18"/>
      <c r="N5" s="33"/>
      <c r="O5" s="29">
        <f>N5*2^(P5/$B$24)</f>
        <v>0</v>
      </c>
      <c r="P5" s="14">
        <f>(M5-$B$4)*$B$25</f>
        <v>-315</v>
      </c>
      <c r="Q5" s="72"/>
    </row>
    <row r="6" spans="1:17" x14ac:dyDescent="0.25">
      <c r="A6" s="73"/>
      <c r="B6" s="44"/>
      <c r="C6" s="44"/>
      <c r="E6" s="15">
        <v>33.1</v>
      </c>
      <c r="F6" s="19" t="s">
        <v>49</v>
      </c>
      <c r="G6" s="16">
        <v>0.21875</v>
      </c>
      <c r="H6" s="19">
        <v>79370</v>
      </c>
      <c r="I6" s="27">
        <f t="shared" ref="I6:I11" si="0">H6*2^(J6/$B$24)</f>
        <v>79370</v>
      </c>
      <c r="J6" s="14">
        <f t="shared" ref="J6:J11" si="1">(G6-$B$4)*$B$25</f>
        <v>0</v>
      </c>
      <c r="K6" s="55">
        <v>4</v>
      </c>
      <c r="L6" s="17" t="s">
        <v>10</v>
      </c>
      <c r="M6" s="33"/>
      <c r="N6" s="33"/>
      <c r="O6" s="29">
        <f>N6*2^(P6/$B$24)</f>
        <v>0</v>
      </c>
      <c r="P6" s="14">
        <f>(M6-$B$4)*$B$25</f>
        <v>-315</v>
      </c>
      <c r="Q6" s="72"/>
    </row>
    <row r="7" spans="1:17" x14ac:dyDescent="0.25">
      <c r="A7" s="44"/>
      <c r="B7" s="44"/>
      <c r="C7" s="44"/>
      <c r="E7" s="15"/>
      <c r="F7" s="19"/>
      <c r="G7" s="19"/>
      <c r="H7" s="19"/>
      <c r="I7" s="27">
        <f t="shared" si="0"/>
        <v>0</v>
      </c>
      <c r="J7" s="14">
        <f t="shared" si="1"/>
        <v>-315</v>
      </c>
      <c r="K7" s="55">
        <v>5</v>
      </c>
      <c r="L7" s="17" t="s">
        <v>21</v>
      </c>
      <c r="M7" s="33"/>
      <c r="N7" s="33"/>
      <c r="O7" s="29">
        <f>N7*2^(P7/$B$24)</f>
        <v>0</v>
      </c>
      <c r="P7" s="14">
        <f>(M7-$B$4)*$B$25</f>
        <v>-315</v>
      </c>
      <c r="Q7" s="72"/>
    </row>
    <row r="8" spans="1:17" x14ac:dyDescent="0.25">
      <c r="A8" s="44"/>
      <c r="B8" s="44"/>
      <c r="C8" s="44"/>
      <c r="E8" s="15"/>
      <c r="F8" s="19"/>
      <c r="G8" s="19"/>
      <c r="H8" s="19"/>
      <c r="I8" s="27">
        <f t="shared" si="0"/>
        <v>0</v>
      </c>
      <c r="J8" s="14">
        <f t="shared" si="1"/>
        <v>-315</v>
      </c>
      <c r="K8" s="55">
        <v>6</v>
      </c>
      <c r="L8" s="17" t="s">
        <v>22</v>
      </c>
      <c r="M8" s="33"/>
      <c r="N8" s="33"/>
      <c r="O8" s="29">
        <f>N8*2^(P8/$B$24)</f>
        <v>0</v>
      </c>
      <c r="P8" s="14">
        <f>(M8-$B$4)*$B$25</f>
        <v>-315</v>
      </c>
      <c r="Q8" s="72"/>
    </row>
    <row r="9" spans="1:17" x14ac:dyDescent="0.25">
      <c r="A9" s="44"/>
      <c r="B9" s="44"/>
      <c r="C9" s="44"/>
      <c r="E9" s="15"/>
      <c r="F9" s="19"/>
      <c r="G9" s="19"/>
      <c r="H9" s="19"/>
      <c r="I9" s="27">
        <f t="shared" si="0"/>
        <v>0</v>
      </c>
      <c r="J9" s="14">
        <f t="shared" si="1"/>
        <v>-315</v>
      </c>
      <c r="K9" s="55">
        <v>7</v>
      </c>
      <c r="L9" s="17" t="s">
        <v>23</v>
      </c>
      <c r="M9" s="33"/>
      <c r="N9" s="33"/>
      <c r="O9" s="29">
        <f>N9*2^(P9/$B$24)</f>
        <v>0</v>
      </c>
      <c r="P9" s="14">
        <f>(M9-$B$4)*$B$25</f>
        <v>-315</v>
      </c>
      <c r="Q9" s="72"/>
    </row>
    <row r="10" spans="1:17" x14ac:dyDescent="0.25">
      <c r="C10" s="44"/>
      <c r="E10" s="15"/>
      <c r="F10" s="19"/>
      <c r="G10" s="19"/>
      <c r="H10" s="19"/>
      <c r="I10" s="27">
        <f t="shared" si="0"/>
        <v>0</v>
      </c>
      <c r="J10" s="14">
        <f t="shared" si="1"/>
        <v>-315</v>
      </c>
      <c r="K10" s="55">
        <v>8</v>
      </c>
      <c r="L10" s="17" t="s">
        <v>24</v>
      </c>
      <c r="M10" s="33"/>
      <c r="N10" s="33"/>
      <c r="O10" s="29">
        <f>N10*2^(P10/$B$24)</f>
        <v>0</v>
      </c>
      <c r="P10" s="14">
        <f>(M10-$B$4)*$B$25</f>
        <v>-315</v>
      </c>
      <c r="Q10" s="72"/>
    </row>
    <row r="11" spans="1:17" ht="15.75" thickBot="1" x14ac:dyDescent="0.3">
      <c r="A11" s="72"/>
      <c r="B11" s="44"/>
      <c r="C11" s="44"/>
      <c r="E11" s="20"/>
      <c r="F11" s="21"/>
      <c r="G11" s="21"/>
      <c r="H11" s="21"/>
      <c r="I11" s="27">
        <f t="shared" si="0"/>
        <v>0</v>
      </c>
      <c r="J11" s="14">
        <f t="shared" si="1"/>
        <v>-315</v>
      </c>
      <c r="K11" s="55">
        <v>9</v>
      </c>
      <c r="L11" s="22" t="s">
        <v>25</v>
      </c>
      <c r="M11" s="34"/>
      <c r="N11" s="34"/>
      <c r="O11" s="31">
        <f>N11*2^(P11/$B$24)</f>
        <v>0</v>
      </c>
      <c r="P11" s="23">
        <f>(M11-$B$4)*$B$25</f>
        <v>-315</v>
      </c>
      <c r="Q11" s="72"/>
    </row>
    <row r="12" spans="1:17" ht="15.75" thickBot="1" x14ac:dyDescent="0.3">
      <c r="D12" s="75"/>
      <c r="E12" s="56"/>
      <c r="F12" s="56"/>
      <c r="G12" s="56"/>
      <c r="H12" s="56"/>
      <c r="I12" s="42"/>
      <c r="J12" s="42"/>
      <c r="K12" s="56"/>
      <c r="L12" s="56"/>
      <c r="M12" s="56"/>
      <c r="N12" s="56"/>
      <c r="O12" s="6"/>
      <c r="P12" s="35"/>
      <c r="Q12" s="72"/>
    </row>
    <row r="13" spans="1:17" ht="16.5" thickBot="1" x14ac:dyDescent="0.3">
      <c r="A13" s="87" t="s">
        <v>47</v>
      </c>
      <c r="B13" s="88"/>
      <c r="C13" s="89"/>
      <c r="D13" s="43"/>
      <c r="E13" s="84" t="s">
        <v>35</v>
      </c>
      <c r="F13" s="85"/>
      <c r="G13" s="85"/>
      <c r="H13" s="86"/>
      <c r="I13" s="42"/>
      <c r="J13" s="42"/>
      <c r="K13" s="56"/>
      <c r="L13" s="84" t="s">
        <v>36</v>
      </c>
      <c r="M13" s="85"/>
      <c r="N13" s="86"/>
      <c r="O13" s="6"/>
      <c r="P13" s="35"/>
      <c r="Q13" s="72"/>
    </row>
    <row r="14" spans="1:17" ht="30" x14ac:dyDescent="0.25">
      <c r="A14" s="70"/>
      <c r="B14" s="71" t="s">
        <v>45</v>
      </c>
      <c r="C14" s="79" t="s">
        <v>11</v>
      </c>
      <c r="D14" s="76"/>
      <c r="E14" s="38" t="s">
        <v>18</v>
      </c>
      <c r="F14" s="61" t="s">
        <v>37</v>
      </c>
      <c r="G14" s="39" t="s">
        <v>32</v>
      </c>
      <c r="H14" s="40" t="s">
        <v>16</v>
      </c>
      <c r="I14" s="42"/>
      <c r="J14" s="42"/>
      <c r="L14" s="38" t="s">
        <v>18</v>
      </c>
      <c r="M14" s="39" t="s">
        <v>32</v>
      </c>
      <c r="N14" s="40" t="s">
        <v>16</v>
      </c>
      <c r="O14" s="6"/>
      <c r="P14" s="35"/>
      <c r="Q14" s="72"/>
    </row>
    <row r="15" spans="1:17" ht="33.75" customHeight="1" x14ac:dyDescent="0.25">
      <c r="A15" s="12" t="s">
        <v>40</v>
      </c>
      <c r="B15" s="78">
        <f>B16*2^(9/B24)</f>
        <v>556610.90066923795</v>
      </c>
      <c r="C15" s="80">
        <f>C16-C18</f>
        <v>0.18958333333333333</v>
      </c>
      <c r="D15" s="76"/>
      <c r="E15" s="66" t="s">
        <v>14</v>
      </c>
      <c r="F15" s="63"/>
      <c r="G15" s="64">
        <f>SUM(G16:G29)</f>
        <v>313930</v>
      </c>
      <c r="H15" s="67">
        <f>SUM(H16:J29)</f>
        <v>44.847142857142856</v>
      </c>
      <c r="I15" s="42"/>
      <c r="J15" s="42"/>
      <c r="K15" s="57" t="s">
        <v>46</v>
      </c>
      <c r="L15" s="68" t="s">
        <v>14</v>
      </c>
      <c r="M15" s="65">
        <f>SUM(M16:M29)</f>
        <v>0</v>
      </c>
      <c r="N15" s="69">
        <f>SUM(N16:N29)</f>
        <v>0</v>
      </c>
      <c r="O15" s="6"/>
      <c r="P15" s="35"/>
      <c r="Q15" s="72"/>
    </row>
    <row r="16" spans="1:17" x14ac:dyDescent="0.25">
      <c r="A16" s="12" t="s">
        <v>41</v>
      </c>
      <c r="B16" s="78">
        <f>(100/B20)*B17*2^(20/B24)</f>
        <v>525860.2868261385</v>
      </c>
      <c r="C16" s="80">
        <f>C17-C19</f>
        <v>0.19722222222222222</v>
      </c>
      <c r="D16" s="76"/>
      <c r="E16" s="24" t="s">
        <v>0</v>
      </c>
      <c r="F16" s="25"/>
      <c r="G16" s="25">
        <f>$B$3*H16</f>
        <v>7000</v>
      </c>
      <c r="H16" s="26">
        <v>1</v>
      </c>
      <c r="I16" s="42"/>
      <c r="J16" s="42"/>
      <c r="K16" s="58">
        <v>1</v>
      </c>
      <c r="L16" s="24" t="s">
        <v>0</v>
      </c>
      <c r="M16" s="25">
        <f>$B$3*N16</f>
        <v>0</v>
      </c>
      <c r="N16" s="26">
        <v>0</v>
      </c>
      <c r="O16" s="6"/>
      <c r="P16" s="35"/>
      <c r="Q16" s="72"/>
    </row>
    <row r="17" spans="1:17" x14ac:dyDescent="0.25">
      <c r="A17" s="12" t="s">
        <v>42</v>
      </c>
      <c r="B17" s="78">
        <f>B22</f>
        <v>324430</v>
      </c>
      <c r="C17" s="80">
        <f>B4</f>
        <v>0.21875</v>
      </c>
      <c r="D17" s="76"/>
      <c r="E17" s="24" t="s">
        <v>1</v>
      </c>
      <c r="F17" s="25"/>
      <c r="G17" s="25">
        <f>$B$3*H17</f>
        <v>0</v>
      </c>
      <c r="H17" s="26">
        <v>0</v>
      </c>
      <c r="I17" s="42"/>
      <c r="J17" s="42"/>
      <c r="K17" s="58">
        <v>2</v>
      </c>
      <c r="L17" s="24" t="s">
        <v>1</v>
      </c>
      <c r="M17" s="25">
        <f>$B$3*N17</f>
        <v>0</v>
      </c>
      <c r="N17" s="26">
        <v>0</v>
      </c>
      <c r="O17" s="6"/>
      <c r="P17" s="35"/>
      <c r="Q17" s="72"/>
    </row>
    <row r="18" spans="1:17" x14ac:dyDescent="0.25">
      <c r="A18" s="52" t="s">
        <v>44</v>
      </c>
      <c r="B18" s="54"/>
      <c r="C18" s="81">
        <v>7.6388888888888886E-3</v>
      </c>
      <c r="D18" s="76"/>
      <c r="E18" s="24" t="s">
        <v>2</v>
      </c>
      <c r="F18" s="25"/>
      <c r="G18" s="25">
        <f>$B$3*H18</f>
        <v>0</v>
      </c>
      <c r="H18" s="26">
        <v>0</v>
      </c>
      <c r="I18" s="42"/>
      <c r="J18" s="42"/>
      <c r="K18" s="58">
        <v>3</v>
      </c>
      <c r="L18" s="24" t="s">
        <v>2</v>
      </c>
      <c r="M18" s="25">
        <f>$B$3*N18</f>
        <v>0</v>
      </c>
      <c r="N18" s="26">
        <v>0</v>
      </c>
      <c r="O18" s="6"/>
      <c r="P18" s="35"/>
      <c r="Q18" s="72"/>
    </row>
    <row r="19" spans="1:17" x14ac:dyDescent="0.25">
      <c r="A19" s="52" t="s">
        <v>43</v>
      </c>
      <c r="B19" s="54"/>
      <c r="C19" s="81">
        <v>2.1527777777777781E-2</v>
      </c>
      <c r="D19" s="77"/>
      <c r="E19" s="24" t="s">
        <v>3</v>
      </c>
      <c r="F19" s="25"/>
      <c r="G19" s="25">
        <f>$B$3*H19</f>
        <v>0</v>
      </c>
      <c r="H19" s="26">
        <v>0</v>
      </c>
      <c r="I19" s="42"/>
      <c r="J19" s="42"/>
      <c r="K19" s="58">
        <v>4</v>
      </c>
      <c r="L19" s="24" t="s">
        <v>3</v>
      </c>
      <c r="M19" s="25">
        <f>$B$3*N19</f>
        <v>0</v>
      </c>
      <c r="N19" s="26">
        <v>0</v>
      </c>
      <c r="O19" s="6"/>
      <c r="P19" s="35"/>
      <c r="Q19" s="72"/>
    </row>
    <row r="20" spans="1:17" ht="15.75" thickBot="1" x14ac:dyDescent="0.3">
      <c r="A20" s="53" t="s">
        <v>48</v>
      </c>
      <c r="B20" s="62">
        <v>70</v>
      </c>
      <c r="C20" s="82"/>
      <c r="D20" s="73"/>
      <c r="E20" s="24" t="s">
        <v>4</v>
      </c>
      <c r="F20" s="25"/>
      <c r="G20" s="25">
        <f>$B$3*H20</f>
        <v>14000</v>
      </c>
      <c r="H20" s="26">
        <v>2</v>
      </c>
      <c r="I20" s="42"/>
      <c r="J20" s="42"/>
      <c r="K20" s="58">
        <v>5</v>
      </c>
      <c r="L20" s="24" t="s">
        <v>4</v>
      </c>
      <c r="M20" s="25">
        <f>$B$3*N20</f>
        <v>0</v>
      </c>
      <c r="N20" s="26">
        <v>0</v>
      </c>
      <c r="O20" s="6"/>
      <c r="P20" s="35"/>
      <c r="Q20" s="72"/>
    </row>
    <row r="21" spans="1:17" ht="15.75" thickBot="1" x14ac:dyDescent="0.3">
      <c r="A21" s="72"/>
      <c r="B21" s="73"/>
      <c r="C21" s="73"/>
      <c r="D21" s="73"/>
      <c r="E21" s="15" t="str">
        <f t="shared" ref="E21:F23" si="2">IF(E3="","",E3)</f>
        <v>77.1</v>
      </c>
      <c r="F21" s="19" t="str">
        <f>IF(F3="","",F3)</f>
        <v>Лрц</v>
      </c>
      <c r="G21" s="27">
        <f t="shared" ref="G21:G23" si="3">IF(I3="","",I3)</f>
        <v>29130</v>
      </c>
      <c r="H21" s="28">
        <f t="shared" ref="H21:H23" si="4">IF(G21="","",G21/$B$3)</f>
        <v>4.161428571428571</v>
      </c>
      <c r="I21" s="42"/>
      <c r="J21" s="42"/>
      <c r="K21" s="58">
        <v>6</v>
      </c>
      <c r="L21" s="17" t="str">
        <f t="shared" ref="L21:L29" si="5">L3</f>
        <v>олд1</v>
      </c>
      <c r="M21" s="29" t="str">
        <f t="shared" ref="M21:M29" si="6">IF(O3=0,"",O3)</f>
        <v/>
      </c>
      <c r="N21" s="30" t="str">
        <f t="shared" ref="N21:N29" si="7">IF(M21="","",M21/$B$3)</f>
        <v/>
      </c>
      <c r="O21" s="6"/>
      <c r="P21" s="35"/>
      <c r="Q21" s="72"/>
    </row>
    <row r="22" spans="1:17" x14ac:dyDescent="0.25">
      <c r="A22" s="10" t="s">
        <v>29</v>
      </c>
      <c r="B22" s="48">
        <f>G15+M15+B28</f>
        <v>324430</v>
      </c>
      <c r="C22" s="73"/>
      <c r="D22" s="73"/>
      <c r="E22" s="15" t="str">
        <f t="shared" si="2"/>
        <v>77.2</v>
      </c>
      <c r="F22" s="19" t="str">
        <f t="shared" si="2"/>
        <v>Лрц</v>
      </c>
      <c r="G22" s="27">
        <f t="shared" si="3"/>
        <v>92150</v>
      </c>
      <c r="H22" s="28">
        <f t="shared" si="4"/>
        <v>13.164285714285715</v>
      </c>
      <c r="I22" s="42"/>
      <c r="J22" s="42"/>
      <c r="K22" s="58">
        <v>7</v>
      </c>
      <c r="L22" s="17" t="str">
        <f t="shared" si="5"/>
        <v>олд2</v>
      </c>
      <c r="M22" s="29" t="str">
        <f t="shared" si="6"/>
        <v/>
      </c>
      <c r="N22" s="30" t="str">
        <f t="shared" si="7"/>
        <v/>
      </c>
      <c r="O22" s="6"/>
      <c r="P22" s="35"/>
      <c r="Q22" s="72"/>
    </row>
    <row r="23" spans="1:17" x14ac:dyDescent="0.25">
      <c r="A23" s="11" t="s">
        <v>27</v>
      </c>
      <c r="B23" s="49">
        <f>SUM(N16:N29)+ SUM(H16:H29)+C28</f>
        <v>46.347142857142856</v>
      </c>
      <c r="C23" s="73"/>
      <c r="D23" s="73"/>
      <c r="E23" s="15" t="str">
        <f t="shared" si="2"/>
        <v>61.1</v>
      </c>
      <c r="F23" s="19" t="str">
        <f t="shared" si="2"/>
        <v>Питер</v>
      </c>
      <c r="G23" s="27">
        <f t="shared" si="3"/>
        <v>92280</v>
      </c>
      <c r="H23" s="28">
        <f t="shared" si="4"/>
        <v>13.182857142857143</v>
      </c>
      <c r="I23" s="42"/>
      <c r="J23" s="42"/>
      <c r="K23" s="58">
        <v>8</v>
      </c>
      <c r="L23" s="17" t="str">
        <f t="shared" si="5"/>
        <v>олд3</v>
      </c>
      <c r="M23" s="29" t="str">
        <f t="shared" si="6"/>
        <v/>
      </c>
      <c r="N23" s="30" t="str">
        <f t="shared" si="7"/>
        <v/>
      </c>
      <c r="O23" s="6"/>
      <c r="P23" s="35"/>
      <c r="Q23" s="72"/>
    </row>
    <row r="24" spans="1:17" x14ac:dyDescent="0.25">
      <c r="A24" s="12" t="s">
        <v>28</v>
      </c>
      <c r="B24" s="50">
        <v>109.77</v>
      </c>
      <c r="C24" s="73"/>
      <c r="D24" s="73"/>
      <c r="E24" s="15">
        <f>IF(E6="","",E6)</f>
        <v>33.1</v>
      </c>
      <c r="F24" s="19" t="str">
        <f t="shared" ref="F24:F29" si="8">IF(F6="","",F6)</f>
        <v>Владимир</v>
      </c>
      <c r="G24" s="27">
        <f>IF(I6="","",I6)</f>
        <v>79370</v>
      </c>
      <c r="H24" s="28">
        <f t="shared" ref="H24" si="9">IF(G24="","",G24/$B$3)</f>
        <v>11.338571428571429</v>
      </c>
      <c r="I24" s="42"/>
      <c r="J24" s="42"/>
      <c r="K24" s="58">
        <v>9</v>
      </c>
      <c r="L24" s="17" t="str">
        <f t="shared" si="5"/>
        <v>олд4</v>
      </c>
      <c r="M24" s="29" t="str">
        <f t="shared" si="6"/>
        <v/>
      </c>
      <c r="N24" s="30" t="str">
        <f t="shared" si="7"/>
        <v/>
      </c>
      <c r="O24" s="6"/>
      <c r="P24" s="35"/>
      <c r="Q24" s="72"/>
    </row>
    <row r="25" spans="1:17" ht="15.75" thickBot="1" x14ac:dyDescent="0.3">
      <c r="A25" s="13" t="s">
        <v>20</v>
      </c>
      <c r="B25" s="51">
        <v>1440</v>
      </c>
      <c r="C25" s="73"/>
      <c r="D25" s="73"/>
      <c r="E25" s="15" t="str">
        <f t="shared" ref="E25:E29" si="10">IF(E7="","",E7)</f>
        <v/>
      </c>
      <c r="F25" s="19" t="str">
        <f t="shared" si="8"/>
        <v/>
      </c>
      <c r="G25" s="27" t="str">
        <f>IF(I7=0,"",I7)</f>
        <v/>
      </c>
      <c r="H25" s="28" t="str">
        <f t="shared" ref="H24:H29" si="11">IF(G25="","",G25/$B$3)</f>
        <v/>
      </c>
      <c r="I25" s="42"/>
      <c r="J25" s="42"/>
      <c r="K25" s="58">
        <v>10</v>
      </c>
      <c r="L25" s="17" t="str">
        <f t="shared" si="5"/>
        <v>олд5</v>
      </c>
      <c r="M25" s="29" t="str">
        <f t="shared" si="6"/>
        <v/>
      </c>
      <c r="N25" s="30" t="str">
        <f t="shared" si="7"/>
        <v/>
      </c>
      <c r="O25" s="6"/>
      <c r="P25" s="35"/>
      <c r="Q25" s="72"/>
    </row>
    <row r="26" spans="1:17" x14ac:dyDescent="0.25">
      <c r="A26" s="72"/>
      <c r="B26" s="73"/>
      <c r="C26" s="73"/>
      <c r="D26" s="73"/>
      <c r="E26" s="15" t="str">
        <f t="shared" si="10"/>
        <v/>
      </c>
      <c r="F26" s="19" t="str">
        <f t="shared" si="8"/>
        <v/>
      </c>
      <c r="G26" s="27" t="str">
        <f t="shared" ref="G26:G29" si="12">IF(I8=0,"",I8)</f>
        <v/>
      </c>
      <c r="H26" s="28" t="str">
        <f t="shared" ref="H26:H29" si="13">IF(G26="","",G26/$B$3)</f>
        <v/>
      </c>
      <c r="I26" s="42"/>
      <c r="J26" s="42"/>
      <c r="K26" s="58">
        <v>11</v>
      </c>
      <c r="L26" s="17" t="str">
        <f t="shared" si="5"/>
        <v>олд6</v>
      </c>
      <c r="M26" s="29" t="str">
        <f t="shared" si="6"/>
        <v/>
      </c>
      <c r="N26" s="30" t="str">
        <f t="shared" si="7"/>
        <v/>
      </c>
      <c r="O26" s="6"/>
      <c r="P26" s="35"/>
      <c r="Q26" s="72"/>
    </row>
    <row r="27" spans="1:17" x14ac:dyDescent="0.25">
      <c r="A27" s="90"/>
      <c r="B27" s="91" t="s">
        <v>31</v>
      </c>
      <c r="C27" s="92" t="s">
        <v>16</v>
      </c>
      <c r="D27" s="73"/>
      <c r="E27" s="15" t="str">
        <f t="shared" si="10"/>
        <v/>
      </c>
      <c r="F27" s="19" t="str">
        <f t="shared" si="8"/>
        <v/>
      </c>
      <c r="G27" s="27" t="str">
        <f t="shared" si="12"/>
        <v/>
      </c>
      <c r="H27" s="28" t="str">
        <f t="shared" si="13"/>
        <v/>
      </c>
      <c r="I27" s="42"/>
      <c r="J27" s="42"/>
      <c r="K27" s="58">
        <v>12</v>
      </c>
      <c r="L27" s="17" t="str">
        <f t="shared" si="5"/>
        <v>олд7</v>
      </c>
      <c r="M27" s="29" t="str">
        <f t="shared" si="6"/>
        <v/>
      </c>
      <c r="N27" s="30" t="str">
        <f t="shared" si="7"/>
        <v/>
      </c>
      <c r="O27" s="6"/>
      <c r="P27" s="35"/>
      <c r="Q27" s="72"/>
    </row>
    <row r="28" spans="1:17" x14ac:dyDescent="0.25">
      <c r="A28" s="90" t="s">
        <v>50</v>
      </c>
      <c r="B28" s="92">
        <f>B3*C28</f>
        <v>10500</v>
      </c>
      <c r="C28" s="91">
        <v>1.5</v>
      </c>
      <c r="E28" s="15" t="str">
        <f t="shared" si="10"/>
        <v/>
      </c>
      <c r="F28" s="19" t="str">
        <f t="shared" si="8"/>
        <v/>
      </c>
      <c r="G28" s="27" t="str">
        <f t="shared" si="12"/>
        <v/>
      </c>
      <c r="H28" s="28" t="str">
        <f t="shared" si="13"/>
        <v/>
      </c>
      <c r="I28" s="42"/>
      <c r="J28" s="42"/>
      <c r="K28" s="58">
        <v>13</v>
      </c>
      <c r="L28" s="17" t="str">
        <f t="shared" si="5"/>
        <v>олд8</v>
      </c>
      <c r="M28" s="29" t="str">
        <f t="shared" si="6"/>
        <v/>
      </c>
      <c r="N28" s="30" t="str">
        <f t="shared" si="7"/>
        <v/>
      </c>
      <c r="O28" s="6"/>
      <c r="P28" s="35"/>
      <c r="Q28" s="72"/>
    </row>
    <row r="29" spans="1:17" ht="15.75" thickBot="1" x14ac:dyDescent="0.3">
      <c r="A29" s="72"/>
      <c r="B29" s="44"/>
      <c r="C29" s="44"/>
      <c r="E29" s="20" t="str">
        <f t="shared" si="10"/>
        <v/>
      </c>
      <c r="F29" s="21" t="str">
        <f t="shared" si="8"/>
        <v/>
      </c>
      <c r="G29" s="27" t="str">
        <f t="shared" si="12"/>
        <v/>
      </c>
      <c r="H29" s="28" t="str">
        <f t="shared" si="13"/>
        <v/>
      </c>
      <c r="I29" s="36"/>
      <c r="J29" s="36"/>
      <c r="K29" s="58">
        <v>14</v>
      </c>
      <c r="L29" s="22" t="str">
        <f t="shared" si="5"/>
        <v>олд9</v>
      </c>
      <c r="M29" s="31" t="str">
        <f t="shared" si="6"/>
        <v/>
      </c>
      <c r="N29" s="32" t="str">
        <f t="shared" si="7"/>
        <v/>
      </c>
      <c r="O29" s="36"/>
      <c r="P29" s="37"/>
      <c r="Q29" s="72"/>
    </row>
    <row r="30" spans="1:17" x14ac:dyDescent="0.25">
      <c r="A30" s="72"/>
      <c r="B30" s="44"/>
      <c r="C30" s="44"/>
      <c r="E30" s="83"/>
      <c r="F30" s="83"/>
      <c r="G30" s="83"/>
      <c r="H30" s="72"/>
      <c r="I30" s="72"/>
      <c r="J30" s="72"/>
      <c r="K30" s="72"/>
      <c r="L30" s="72"/>
      <c r="M30" s="72"/>
      <c r="N30" s="72"/>
      <c r="Q30" s="72"/>
    </row>
    <row r="31" spans="1:17" x14ac:dyDescent="0.25">
      <c r="A31" s="72"/>
      <c r="B31" s="44"/>
      <c r="C31" s="44"/>
      <c r="E31" s="83"/>
      <c r="F31" s="83"/>
      <c r="G31" s="83"/>
      <c r="H31" s="72"/>
      <c r="I31" s="72"/>
      <c r="J31" s="72"/>
      <c r="K31" s="72"/>
      <c r="L31" s="72"/>
      <c r="M31" s="72"/>
      <c r="N31" s="72"/>
      <c r="Q31" s="72"/>
    </row>
    <row r="35" spans="2:8" x14ac:dyDescent="0.25">
      <c r="B35" s="3"/>
      <c r="C35" s="3"/>
      <c r="D35" s="73"/>
      <c r="E35" s="1"/>
      <c r="F35" s="1"/>
      <c r="G35" s="4"/>
      <c r="H35"/>
    </row>
    <row r="36" spans="2:8" x14ac:dyDescent="0.25">
      <c r="H36"/>
    </row>
    <row r="37" spans="2:8" x14ac:dyDescent="0.25">
      <c r="H37"/>
    </row>
    <row r="38" spans="2:8" x14ac:dyDescent="0.25">
      <c r="H38"/>
    </row>
  </sheetData>
  <mergeCells count="5">
    <mergeCell ref="E13:H13"/>
    <mergeCell ref="E1:J1"/>
    <mergeCell ref="L1:P1"/>
    <mergeCell ref="L13:N13"/>
    <mergeCell ref="A13:C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 Никита Вадимович</dc:creator>
  <cp:lastModifiedBy>нике</cp:lastModifiedBy>
  <dcterms:created xsi:type="dcterms:W3CDTF">2022-12-21T08:02:13Z</dcterms:created>
  <dcterms:modified xsi:type="dcterms:W3CDTF">2023-02-10T13:53:10Z</dcterms:modified>
</cp:coreProperties>
</file>