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zzo/Desktop/Analasys Projects/Crowdfunding Analasys/"/>
    </mc:Choice>
  </mc:AlternateContent>
  <xr:revisionPtr revIDLastSave="0" documentId="13_ncr:1_{4E765404-6A85-3145-AE66-C48DAC38C5F1}" xr6:coauthVersionLast="47" xr6:coauthVersionMax="47" xr10:uidLastSave="{00000000-0000-0000-0000-000000000000}"/>
  <bookViews>
    <workbookView xWindow="17920" yWindow="920" windowWidth="16640" windowHeight="20180" xr2:uid="{00000000-000D-0000-FFFF-FFFF00000000}"/>
  </bookViews>
  <sheets>
    <sheet name="Kickstarter" sheetId="1" r:id="rId1"/>
    <sheet name="Outcomes Based on Goals" sheetId="14" r:id="rId2"/>
    <sheet name="Theatre Outcomes by Launch Date" sheetId="13" r:id="rId3"/>
    <sheet name="GB Outliers" sheetId="11" r:id="rId4"/>
    <sheet name="Failed US Kickstarters" sheetId="9" r:id="rId5"/>
    <sheet name="Descriptive Statistics" sheetId="10" r:id="rId6"/>
    <sheet name="Successful US Kickstarters" sheetId="8" r:id="rId7"/>
    <sheet name="Eidenburg Research" sheetId="7" r:id="rId8"/>
    <sheet name="Category Statistics" sheetId="3" r:id="rId9"/>
    <sheet name="Subcategory Statistics" sheetId="4" r:id="rId10"/>
    <sheet name="Outcomes Based on Launch Date" sheetId="5" r:id="rId11"/>
    <sheet name="Sheet2" sheetId="2" r:id="rId12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41" r:id="rId13"/>
    <pivotCache cacheId="42" r:id="rId14"/>
    <pivotCache cacheId="4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C13" i="14"/>
  <c r="B13" i="14"/>
  <c r="C12" i="14"/>
  <c r="B12" i="14"/>
  <c r="C11" i="14"/>
  <c r="B11" i="14"/>
  <c r="C10" i="14"/>
  <c r="B10" i="14"/>
  <c r="C9" i="14"/>
  <c r="B9" i="14"/>
  <c r="C8" i="14"/>
  <c r="B8" i="14"/>
  <c r="C7" i="14"/>
  <c r="B7" i="14"/>
  <c r="C6" i="14"/>
  <c r="B6" i="14"/>
  <c r="C5" i="14"/>
  <c r="B5" i="14"/>
  <c r="C4" i="14"/>
  <c r="B4" i="14"/>
  <c r="D3" i="14"/>
  <c r="C3" i="14"/>
  <c r="B2" i="14"/>
  <c r="B3" i="14"/>
  <c r="D2" i="14"/>
  <c r="C2" i="14"/>
  <c r="C14" i="10"/>
  <c r="C13" i="10"/>
  <c r="C12" i="10"/>
  <c r="C11" i="10"/>
  <c r="B14" i="10"/>
  <c r="B13" i="10"/>
  <c r="B12" i="10"/>
  <c r="B11" i="10"/>
  <c r="C7" i="10"/>
  <c r="C6" i="10"/>
  <c r="C5" i="10"/>
  <c r="C4" i="10"/>
  <c r="B4" i="10"/>
  <c r="B7" i="10"/>
  <c r="B6" i="10"/>
  <c r="B5" i="10"/>
  <c r="C10" i="10"/>
  <c r="C9" i="10"/>
  <c r="B10" i="10"/>
  <c r="B9" i="10"/>
  <c r="C3" i="10"/>
  <c r="B3" i="10"/>
  <c r="C2" i="10"/>
  <c r="B2" i="10"/>
  <c r="D6" i="7"/>
  <c r="D5" i="7"/>
  <c r="D4" i="7"/>
  <c r="D3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<sst xmlns="http://schemas.openxmlformats.org/spreadsheetml/2006/main" count="38405" uniqueCount="8422">
  <si>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</si>
  <si>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</si>
  <si>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</si>
  <si>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</si>
  <si>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</si>
  <si>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</si>
  <si>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</si>
  <si>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</si>
  <si>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</si>
  <si>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</si>
  <si>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</si>
  <si>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</si>
  <si>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</si>
  <si>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</si>
  <si>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</si>
  <si>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</si>
  <si>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</si>
  <si>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</si>
  <si>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</si>
  <si>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</si>
  <si>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</si>
  <si>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</si>
  <si>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</si>
  <si>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</si>
  <si>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</si>
  <si>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</si>
  <si>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</si>
  <si>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</si>
  <si>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</si>
  <si>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</si>
  <si>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</si>
  <si>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</si>
  <si>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</si>
  <si>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</si>
  <si>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</si>
  <si>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</si>
  <si>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</si>
  <si>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</si>
  <si>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</si>
  <si>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</si>
  <si>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</si>
  <si>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</si>
  <si>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</si>
  <si>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</si>
  <si>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</si>
  <si>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</si>
  <si>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</si>
  <si>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</si>
  <si>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</si>
  <si>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</si>
  <si>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</si>
  <si>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</si>
  <si>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</si>
  <si>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</si>
  <si>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</si>
  <si>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</si>
  <si>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</si>
  <si>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</si>
  <si>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</si>
  <si>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</si>
  <si>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</si>
  <si>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</si>
  <si>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</si>
  <si>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</si>
  <si>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</si>
  <si>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</si>
  <si>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</si>
  <si>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</si>
  <si>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</si>
  <si>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</si>
  <si>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</si>
  <si>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</si>
  <si>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</si>
  <si>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</si>
  <si>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</si>
  <si>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</si>
  <si>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</si>
  <si>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</si>
  <si>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</si>
  <si>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</si>
  <si>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</si>
  <si>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</si>
  <si>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</si>
  <si>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</si>
  <si>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</si>
  <si>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</si>
  <si>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</si>
  <si>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</si>
  <si>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</si>
  <si>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</si>
  <si>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</si>
  <si>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</si>
  <si>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</si>
  <si>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</si>
  <si>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</si>
  <si>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</si>
  <si>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</si>
  <si>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</si>
  <si>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</si>
  <si>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</si>
  <si>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</si>
  <si>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</si>
  <si>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</si>
  <si>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</si>
  <si>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</si>
  <si>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</si>
  <si>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</si>
  <si>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</si>
  <si>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</si>
  <si>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</si>
  <si>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</si>
  <si>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</si>
  <si>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</si>
  <si>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</si>
  <si>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</si>
  <si>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</si>
  <si>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</si>
  <si>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</si>
  <si>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</si>
  <si>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</si>
  <si>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</si>
  <si>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</si>
  <si>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</si>
  <si>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</si>
  <si>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</si>
  <si>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</si>
  <si>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</si>
  <si>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</si>
  <si>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</si>
  <si>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</si>
  <si>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</si>
  <si>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</si>
  <si>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</si>
  <si>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</si>
  <si>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</si>
  <si>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</si>
  <si>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</si>
  <si>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</si>
  <si>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</si>
  <si>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</si>
  <si>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</si>
  <si>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</si>
  <si>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</si>
  <si>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</si>
  <si>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</si>
  <si>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</si>
  <si>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</si>
  <si>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</si>
  <si>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</si>
  <si>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</si>
  <si>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</si>
  <si>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</si>
  <si>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</si>
  <si>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</si>
  <si>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</si>
  <si>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</si>
  <si>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</si>
  <si>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</si>
  <si>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</si>
  <si>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</si>
  <si>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</si>
  <si>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</si>
  <si>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</si>
  <si>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</si>
  <si>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</si>
  <si>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</si>
  <si>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</si>
  <si>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</si>
  <si>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</si>
  <si>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</si>
  <si>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</si>
  <si>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</si>
  <si>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</si>
  <si>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</si>
  <si>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</si>
  <si>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</si>
  <si>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</si>
  <si>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</si>
  <si>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</si>
  <si>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</si>
  <si>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</si>
  <si>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</si>
  <si>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</si>
  <si>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</si>
  <si>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</si>
  <si>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</si>
  <si>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</si>
  <si>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</si>
  <si>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</si>
  <si>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</si>
  <si>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</si>
  <si>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</si>
  <si>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</si>
  <si>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</si>
  <si>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</si>
  <si>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</si>
  <si>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</si>
  <si>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</si>
  <si>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</si>
  <si>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</si>
  <si>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</si>
  <si>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</si>
  <si>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</si>
  <si>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</si>
  <si>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</si>
  <si>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</si>
  <si>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</si>
  <si>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</si>
  <si>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</si>
  <si>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</si>
  <si>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</si>
  <si>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</si>
  <si>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</si>
  <si>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</si>
  <si>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</si>
  <si>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</si>
  <si>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</si>
  <si>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</si>
  <si>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</si>
  <si>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</si>
  <si>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</si>
  <si>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</si>
  <si>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</si>
  <si>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</si>
  <si>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</si>
  <si>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</si>
  <si>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</si>
  <si>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</si>
  <si>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</si>
  <si>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</si>
  <si>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</si>
  <si>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</si>
  <si>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</si>
  <si>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</si>
  <si>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</si>
  <si>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</si>
  <si>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</si>
  <si>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</si>
  <si>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</si>
  <si>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</si>
  <si>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</si>
  <si>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</si>
  <si>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</si>
  <si>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</si>
  <si>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</si>
  <si>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</si>
  <si>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</si>
  <si>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</si>
  <si>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</si>
  <si>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</si>
  <si>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</si>
  <si>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</si>
  <si>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</si>
  <si>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</si>
  <si>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</si>
  <si>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</si>
  <si>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</si>
  <si>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</si>
  <si>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</si>
  <si>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</si>
  <si>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</si>
  <si>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</si>
  <si>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</si>
  <si>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</si>
  <si>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</si>
  <si>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</si>
  <si>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</si>
  <si>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</si>
  <si>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</si>
  <si>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</si>
  <si>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</si>
  <si>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</si>
  <si>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</si>
  <si>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</si>
  <si>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</si>
  <si>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</si>
  <si>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</si>
  <si>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</si>
  <si>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</si>
  <si>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</si>
  <si>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</si>
  <si>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</si>
  <si>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</si>
  <si>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</si>
  <si>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</si>
  <si>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</si>
  <si>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</si>
  <si>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</si>
  <si>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</si>
  <si>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</si>
  <si>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</si>
  <si>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</si>
  <si>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</si>
  <si>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</si>
  <si>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</si>
  <si>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</si>
  <si>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</si>
  <si>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</si>
  <si>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</si>
  <si>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</si>
  <si>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</si>
  <si>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</si>
  <si>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</si>
  <si>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</si>
  <si>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</si>
  <si>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</si>
  <si>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</si>
  <si>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</si>
  <si>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</si>
  <si>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</si>
  <si>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</si>
  <si>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</si>
  <si>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</si>
  <si>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</si>
  <si>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</si>
  <si>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</si>
  <si>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</si>
  <si>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</si>
  <si>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</si>
  <si>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</si>
  <si>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</si>
  <si>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</si>
  <si>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</si>
  <si>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</si>
  <si>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</si>
  <si>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</si>
  <si>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</si>
  <si>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</si>
  <si>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</si>
  <si>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</si>
  <si>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</si>
  <si>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</si>
  <si>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</si>
  <si>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</si>
  <si>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</si>
  <si>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</si>
  <si>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</si>
  <si>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</si>
  <si>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</si>
  <si>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</si>
  <si>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</si>
  <si>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</si>
  <si>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</si>
  <si>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</si>
  <si>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</si>
  <si>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</si>
  <si>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</si>
  <si>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</si>
  <si>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</si>
  <si>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</si>
  <si>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</si>
  <si>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</si>
  <si>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</si>
  <si>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</si>
  <si>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</si>
  <si>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</si>
  <si>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</si>
  <si>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</si>
  <si>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</si>
  <si>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</si>
  <si>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</si>
  <si>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</si>
  <si>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</si>
  <si>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</si>
  <si>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</si>
  <si>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</si>
  <si>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</si>
  <si>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</si>
  <si>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</si>
  <si>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</si>
  <si>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</si>
  <si>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</si>
  <si>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</si>
  <si>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</si>
  <si>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</si>
  <si>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</si>
  <si>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</si>
  <si>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</si>
  <si>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</si>
  <si>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</si>
  <si>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</si>
  <si>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</si>
  <si>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</si>
  <si>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</si>
  <si>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</si>
  <si>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</si>
  <si>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</si>
  <si>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</si>
  <si>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</si>
  <si>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</si>
  <si>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</si>
  <si>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</si>
  <si>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</si>
  <si>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</si>
  <si>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</si>
  <si>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</si>
  <si>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</si>
  <si>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</si>
  <si>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</si>
  <si>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</si>
  <si>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</si>
  <si>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</si>
  <si>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</si>
  <si>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</si>
  <si>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</si>
  <si>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</si>
  <si>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</si>
  <si>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</si>
  <si>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</si>
  <si>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</si>
  <si>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</si>
  <si>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</si>
  <si>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</si>
  <si>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</si>
  <si>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</si>
  <si>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</si>
  <si>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</si>
  <si>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</si>
  <si>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</si>
  <si>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</si>
  <si>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</si>
  <si>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</si>
  <si>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</si>
  <si>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</si>
  <si>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</si>
  <si>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</si>
  <si>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</si>
  <si>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</si>
  <si>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</si>
  <si>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</si>
  <si>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</si>
  <si>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</si>
  <si>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</si>
  <si>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</si>
  <si>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</si>
  <si>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</si>
  <si>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</si>
  <si>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</si>
  <si>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</si>
  <si>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</si>
  <si>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</si>
  <si>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</si>
  <si>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</si>
  <si>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</si>
  <si>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</si>
  <si>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</si>
  <si>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</si>
  <si>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</si>
  <si>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</si>
  <si>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</si>
  <si>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</si>
  <si>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</si>
  <si>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</si>
  <si>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</si>
  <si>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</si>
  <si>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</si>
  <si>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</si>
  <si>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</si>
  <si>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</si>
  <si>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</si>
  <si>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</si>
  <si>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</si>
  <si>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</si>
  <si>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</si>
  <si>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</si>
  <si>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</si>
  <si>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</si>
  <si>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</si>
  <si>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</si>
  <si>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</si>
  <si>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</si>
  <si>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</si>
  <si>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</si>
  <si>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</si>
  <si>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</si>
  <si>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</si>
  <si>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</si>
  <si>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</si>
  <si>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</si>
  <si>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</si>
  <si>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</si>
  <si>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</si>
  <si>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</si>
  <si>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</si>
  <si>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</si>
  <si>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</si>
  <si>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</si>
  <si>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</si>
  <si>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</si>
  <si>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</si>
  <si>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</si>
  <si>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</si>
  <si>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</si>
  <si>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</si>
  <si>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</si>
  <si>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</si>
  <si>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</si>
  <si>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</si>
  <si>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</si>
  <si>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</si>
  <si>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</si>
  <si>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</si>
  <si>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</si>
  <si>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</si>
  <si>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</si>
  <si>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</si>
  <si>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</si>
  <si>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</si>
  <si>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</si>
  <si>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</si>
  <si>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</si>
  <si>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</si>
  <si>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</si>
  <si>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</si>
  <si>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</si>
  <si>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</si>
  <si>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</si>
  <si>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</si>
  <si>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</si>
  <si>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</si>
  <si>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</si>
  <si>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</si>
  <si>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</si>
  <si>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</si>
  <si>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</si>
  <si>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</si>
  <si>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</si>
  <si>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</si>
  <si>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</si>
  <si>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</si>
  <si>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</si>
  <si>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</si>
  <si>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</si>
  <si>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</si>
  <si>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</si>
  <si>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</si>
  <si>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</si>
  <si>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</si>
  <si>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</si>
  <si>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</si>
  <si>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</si>
  <si>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</si>
  <si>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</si>
  <si>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</si>
  <si>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</si>
  <si>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</si>
  <si>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</si>
  <si>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</si>
  <si>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</si>
  <si>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</si>
  <si>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</si>
  <si>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</si>
  <si>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</si>
  <si>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</si>
  <si>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</si>
  <si>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</si>
  <si>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</si>
  <si>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</si>
  <si>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</si>
  <si>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</si>
  <si>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</si>
  <si>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</si>
  <si>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</si>
  <si>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</si>
  <si>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</si>
  <si>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</si>
  <si>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</si>
  <si>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</si>
  <si>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</si>
  <si>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</si>
  <si>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</si>
  <si>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</si>
  <si>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</si>
  <si>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</si>
  <si>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</si>
  <si>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</si>
  <si>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</si>
  <si>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</si>
  <si>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</si>
  <si>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</si>
  <si>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</si>
  <si>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</si>
  <si>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</si>
  <si>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</si>
  <si>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</si>
  <si>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</si>
  <si>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</si>
  <si>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</si>
  <si>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</si>
  <si>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</si>
  <si>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</si>
  <si>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</si>
  <si>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</si>
  <si>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</si>
  <si>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</si>
  <si>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</si>
  <si>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</si>
  <si>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</si>
  <si>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</si>
  <si>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</si>
  <si>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</si>
  <si>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</si>
  <si>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</si>
  <si>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</si>
  <si>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</si>
  <si>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</si>
  <si>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</si>
  <si>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</si>
  <si>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</si>
  <si>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</si>
  <si>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</si>
  <si>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</si>
  <si>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</si>
  <si>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</si>
  <si>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</si>
  <si>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</si>
  <si>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</si>
  <si>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</si>
  <si>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</si>
  <si>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</si>
  <si>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</si>
  <si>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</si>
  <si>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</si>
  <si>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</si>
  <si>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</si>
  <si>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</si>
  <si>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</si>
  <si>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</si>
  <si>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</si>
  <si>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</si>
  <si>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</si>
  <si>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</si>
  <si>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</si>
  <si>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</si>
  <si>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</si>
  <si>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</si>
  <si>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</si>
  <si>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</si>
  <si>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</si>
  <si>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</si>
  <si>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</si>
  <si>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</si>
  <si>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</si>
  <si>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</si>
  <si>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</si>
  <si>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</si>
  <si>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</si>
  <si>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</si>
  <si>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</si>
  <si>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</si>
  <si>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</si>
  <si>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</si>
  <si>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</si>
  <si>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</si>
  <si>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</si>
  <si>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</si>
  <si>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</si>
  <si>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</si>
  <si>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</si>
  <si>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</si>
  <si>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</si>
  <si>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</si>
  <si>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</si>
  <si>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</si>
  <si>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</si>
  <si>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</si>
  <si>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</si>
  <si>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</si>
  <si>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</si>
  <si>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</si>
  <si>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</si>
  <si>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</si>
  <si>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</si>
  <si>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</si>
  <si>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</si>
  <si>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</si>
  <si>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</si>
  <si>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</si>
  <si>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</si>
  <si>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</si>
  <si>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</si>
  <si>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</si>
  <si>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</si>
  <si>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</si>
  <si>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</si>
  <si>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</si>
  <si>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</si>
  <si>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</si>
  <si>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</si>
  <si>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</si>
  <si>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</si>
  <si>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</si>
  <si>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</si>
  <si>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</si>
  <si>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</si>
  <si>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</si>
  <si>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</si>
  <si>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</si>
  <si>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</si>
  <si>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</si>
  <si>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</si>
  <si>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</si>
  <si>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</si>
  <si>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</si>
  <si>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</si>
  <si>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</si>
  <si>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</si>
  <si>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</si>
  <si>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</si>
  <si>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</si>
  <si>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</si>
  <si>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</si>
  <si>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</si>
  <si>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</si>
  <si>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</si>
  <si>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</si>
  <si>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</si>
  <si>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</si>
  <si>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</si>
  <si>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</si>
  <si>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</si>
  <si>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</si>
  <si>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</si>
  <si>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</si>
  <si>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</si>
  <si>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</si>
  <si>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</si>
  <si>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</si>
  <si>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</si>
  <si>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</si>
  <si>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</si>
  <si>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</si>
  <si>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</si>
  <si>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</si>
  <si>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</si>
  <si>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</si>
  <si>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</si>
  <si>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</si>
  <si>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</si>
  <si>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</si>
  <si>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</si>
  <si>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</si>
  <si>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</si>
  <si>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</si>
  <si>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</si>
  <si>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</si>
  <si>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</si>
  <si>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</si>
  <si>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</si>
  <si>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</si>
  <si>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</si>
  <si>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</si>
  <si>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</si>
  <si>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</si>
  <si>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</si>
  <si>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</si>
  <si>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</si>
  <si>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</si>
  <si>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</si>
  <si>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</si>
  <si>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</si>
  <si>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</si>
  <si>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</si>
  <si>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</si>
  <si>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</si>
  <si>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</si>
  <si>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</si>
  <si>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</si>
  <si>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</si>
  <si>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</si>
  <si>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</si>
  <si>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</si>
  <si>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</si>
  <si>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</si>
  <si>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</si>
  <si>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</si>
  <si>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</si>
  <si>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</si>
  <si>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</si>
  <si>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</si>
  <si>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</si>
  <si>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</si>
  <si>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</si>
  <si>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</si>
  <si>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</si>
  <si>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</si>
  <si>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</si>
  <si>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</si>
  <si>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</si>
  <si>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</si>
  <si>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</si>
  <si>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</si>
  <si>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</si>
  <si>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</si>
  <si>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</si>
  <si>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</si>
  <si>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</si>
  <si>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</si>
  <si>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</si>
  <si>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</si>
  <si>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</si>
  <si>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</si>
  <si>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</si>
  <si>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</si>
  <si>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</si>
  <si>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</si>
  <si>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</si>
  <si>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</si>
  <si>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</si>
  <si>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</si>
  <si>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</si>
  <si>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</si>
  <si>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</si>
  <si>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</si>
  <si>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</si>
  <si>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</si>
  <si>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</si>
  <si>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</si>
  <si>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</si>
  <si>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</si>
  <si>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</si>
  <si>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</si>
  <si>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</si>
  <si>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</si>
  <si>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</si>
  <si>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</si>
  <si>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</si>
  <si>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</si>
  <si>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</si>
  <si>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</si>
  <si>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</si>
  <si>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</si>
  <si>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</si>
  <si>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</si>
  <si>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</si>
  <si>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</si>
  <si>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</si>
  <si>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</si>
  <si>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</si>
  <si>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</si>
  <si>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</si>
  <si>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</si>
  <si>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</si>
  <si>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</si>
  <si>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</si>
  <si>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</si>
  <si>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</si>
  <si>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</si>
  <si>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</si>
  <si>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</si>
  <si>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</si>
  <si>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</si>
  <si>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</si>
  <si>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</si>
  <si>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</si>
  <si>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</si>
  <si>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</si>
  <si>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</si>
  <si>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</si>
  <si>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</si>
  <si>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</si>
  <si>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</si>
  <si>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</si>
  <si>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</si>
  <si>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</si>
  <si>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</si>
  <si>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</si>
  <si>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</si>
  <si>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</si>
  <si>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</si>
  <si>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</si>
  <si>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</si>
  <si>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</si>
  <si>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</si>
  <si>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</si>
  <si>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</si>
  <si>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</si>
  <si>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</si>
  <si>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</si>
  <si>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</si>
  <si>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</si>
  <si>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</si>
  <si>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</si>
  <si>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</si>
  <si>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</si>
  <si>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</si>
  <si>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</si>
  <si>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</si>
  <si>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</si>
  <si>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</si>
  <si>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</si>
  <si>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</si>
  <si>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</si>
  <si>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</si>
  <si>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</si>
  <si>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</si>
  <si>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</si>
  <si>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</si>
  <si>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</si>
  <si>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</si>
  <si>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</si>
  <si>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</si>
  <si>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</si>
  <si>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</si>
  <si>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</si>
  <si>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</si>
  <si>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</si>
  <si>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</si>
  <si>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</si>
  <si>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</si>
  <si>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</si>
  <si>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</si>
  <si>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</si>
  <si>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</si>
  <si>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</si>
  <si>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</si>
  <si>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</si>
  <si>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</si>
  <si>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</si>
  <si>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</si>
  <si>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</si>
  <si>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</si>
  <si>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</si>
  <si>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</si>
  <si>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</si>
  <si>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</si>
  <si>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</si>
  <si>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</si>
  <si>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</si>
  <si>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</si>
  <si>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</si>
  <si>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</si>
  <si>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</si>
  <si>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</si>
  <si>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</si>
  <si>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</si>
  <si>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</si>
  <si>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</si>
  <si>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</si>
  <si>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</si>
  <si>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</si>
  <si>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</si>
  <si>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</si>
  <si>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</si>
  <si>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</si>
  <si>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</si>
  <si>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</si>
  <si>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</si>
  <si>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</si>
  <si>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</si>
  <si>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</si>
  <si>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</si>
  <si>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</si>
  <si>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</si>
  <si>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</si>
  <si>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</si>
  <si>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</si>
  <si>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</si>
  <si>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</si>
  <si>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</si>
  <si>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</si>
  <si>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</si>
  <si>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</si>
  <si>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</si>
  <si>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</si>
  <si>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</si>
  <si>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</si>
  <si>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</si>
  <si>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</si>
  <si>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</si>
  <si>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</si>
  <si>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</si>
  <si>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</si>
  <si>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</si>
  <si>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</si>
  <si>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</si>
  <si>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</si>
  <si>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</si>
  <si>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</si>
  <si>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</si>
  <si>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</si>
  <si>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</si>
  <si>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</si>
  <si>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</si>
  <si>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</si>
  <si>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</si>
  <si>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</si>
  <si>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</si>
  <si>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</si>
  <si>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</si>
  <si>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</si>
  <si>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</si>
  <si>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</si>
  <si>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</si>
  <si>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</si>
  <si>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</si>
  <si>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</si>
  <si>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</si>
  <si>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</si>
  <si>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</si>
  <si>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</si>
  <si>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</si>
  <si>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</si>
  <si>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</si>
  <si>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</si>
  <si>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</si>
  <si>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</si>
  <si>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</si>
  <si>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</si>
  <si>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</si>
  <si>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</si>
  <si>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</si>
  <si>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</si>
  <si>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</si>
  <si>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</si>
  <si>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</si>
  <si>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</si>
  <si>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</si>
  <si>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</si>
  <si>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</si>
  <si>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</si>
  <si>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</si>
  <si>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</si>
  <si>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</si>
  <si>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</si>
  <si>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</si>
  <si>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</si>
  <si>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</si>
  <si>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</si>
  <si>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</si>
  <si>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</si>
  <si>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</si>
  <si>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</si>
  <si>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</si>
  <si>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</si>
  <si>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</si>
  <si>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</si>
  <si>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</si>
  <si>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</si>
  <si>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</si>
  <si>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</si>
  <si>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</si>
  <si>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</si>
  <si>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</si>
  <si>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</si>
  <si>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</si>
  <si>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</si>
  <si>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</si>
  <si>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</si>
  <si>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</si>
  <si>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</si>
  <si>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</si>
  <si>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</si>
  <si>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</si>
  <si>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</si>
  <si>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</si>
  <si>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</si>
  <si>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</si>
  <si>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</si>
  <si>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</si>
  <si>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</si>
  <si>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</si>
  <si>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</si>
  <si>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</si>
  <si>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</si>
  <si>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</si>
  <si>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</si>
  <si>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</si>
  <si>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</si>
  <si>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</si>
  <si>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</si>
  <si>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</si>
  <si>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</si>
  <si>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</si>
  <si>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</si>
  <si>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</si>
  <si>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</si>
  <si>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</si>
  <si>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</si>
  <si>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</si>
  <si>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</si>
  <si>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</si>
  <si>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</si>
  <si>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</si>
  <si>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</si>
  <si>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</si>
  <si>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</si>
  <si>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</si>
  <si>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</si>
  <si>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</si>
  <si>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</si>
  <si>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</si>
  <si>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</si>
  <si>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</si>
  <si>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</si>
  <si>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</si>
  <si>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</si>
  <si>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</si>
  <si>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</si>
  <si>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</si>
  <si>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</si>
  <si>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</si>
  <si>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</si>
  <si>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</si>
  <si>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</si>
  <si>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</si>
  <si>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</si>
  <si>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</si>
  <si>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</si>
  <si>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</si>
  <si>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</si>
  <si>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</si>
  <si>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</si>
  <si>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</si>
  <si>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</si>
  <si>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</si>
  <si>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</si>
  <si>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</si>
  <si>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</si>
  <si>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</si>
  <si>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</si>
  <si>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</si>
  <si>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</si>
  <si>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</si>
  <si>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</si>
  <si>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</si>
  <si>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</si>
  <si>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</si>
  <si>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</si>
  <si>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</si>
  <si>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</si>
  <si>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</si>
  <si>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</si>
  <si>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</si>
  <si>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</si>
  <si>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</si>
  <si>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</si>
  <si>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</si>
  <si>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</si>
  <si>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</si>
  <si>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</si>
  <si>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</si>
  <si>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</si>
  <si>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</si>
  <si>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</si>
  <si>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</si>
  <si>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</si>
  <si>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</si>
  <si>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</si>
  <si>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</si>
  <si>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</si>
  <si>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</si>
  <si>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</si>
  <si>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</si>
  <si>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</si>
  <si>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</si>
  <si>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</si>
  <si>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</si>
  <si>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</si>
  <si>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</si>
  <si>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</si>
  <si>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</si>
  <si>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</si>
  <si>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</si>
  <si>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</si>
  <si>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</si>
  <si>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</si>
  <si>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</si>
  <si>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</si>
  <si>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</si>
  <si>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</si>
  <si>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</si>
  <si>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</si>
  <si>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</si>
  <si>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</si>
  <si>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</si>
  <si>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</si>
  <si>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</si>
  <si>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</si>
  <si>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</si>
  <si>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</si>
  <si>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</si>
  <si>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</si>
  <si>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</si>
  <si>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</si>
  <si>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</si>
  <si>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</si>
  <si>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</si>
  <si>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</si>
  <si>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</si>
  <si>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</si>
  <si>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</si>
  <si>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</si>
  <si>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</si>
  <si>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</si>
  <si>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</si>
  <si>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</si>
  <si>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</si>
  <si>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</si>
  <si>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</si>
  <si>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</si>
  <si>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</si>
  <si>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</si>
  <si>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</si>
  <si>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</si>
  <si>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</si>
  <si>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</si>
  <si>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</si>
  <si>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</si>
  <si>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</si>
  <si>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</si>
  <si>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</si>
  <si>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</si>
  <si>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</si>
  <si>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</si>
  <si>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</si>
  <si>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</si>
  <si>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</si>
  <si>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</si>
  <si>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</si>
  <si>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</si>
  <si>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</si>
  <si>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</si>
  <si>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</si>
  <si>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</si>
  <si>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</si>
  <si>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</si>
  <si>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</si>
  <si>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</si>
  <si>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</si>
  <si>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</si>
  <si>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</si>
  <si>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</si>
  <si>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</si>
  <si>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</si>
  <si>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</si>
  <si>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</si>
  <si>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</si>
  <si>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</si>
  <si>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</si>
  <si>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</si>
  <si>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</si>
  <si>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</si>
  <si>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</si>
  <si>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</si>
  <si>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</si>
  <si>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</si>
  <si>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</si>
  <si>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</si>
  <si>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</si>
  <si>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</si>
  <si>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</si>
  <si>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</si>
  <si>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</si>
  <si>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</si>
  <si>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</si>
  <si>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</si>
  <si>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</si>
  <si>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</si>
  <si>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</si>
  <si>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</si>
  <si>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</si>
  <si>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</si>
  <si>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</si>
  <si>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</si>
  <si>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</si>
  <si>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</si>
  <si>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</si>
  <si>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</si>
  <si>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</si>
  <si>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</si>
  <si>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</si>
  <si>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</si>
  <si>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</si>
  <si>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</si>
  <si>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</si>
  <si>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</si>
  <si>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</si>
  <si>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</si>
  <si>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</si>
  <si>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</si>
  <si>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</si>
  <si>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</si>
  <si>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</si>
  <si>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</si>
  <si>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</si>
  <si>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</si>
  <si>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</si>
  <si>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</si>
  <si>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</si>
  <si>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</si>
  <si>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</si>
  <si>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</si>
  <si>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</si>
  <si>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</si>
  <si>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</si>
  <si>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</si>
  <si>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</si>
  <si>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</si>
  <si>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</si>
  <si>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</si>
  <si>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</si>
  <si>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</si>
  <si>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</si>
  <si>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</si>
  <si>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</si>
  <si>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</si>
  <si>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</si>
  <si>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</si>
  <si>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</si>
  <si>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</si>
  <si>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</si>
  <si>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</si>
  <si>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</si>
  <si>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</si>
  <si>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</si>
  <si>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</si>
  <si>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</si>
  <si>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</si>
  <si>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</si>
  <si>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</si>
  <si>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</si>
  <si>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</si>
  <si>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</si>
  <si>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</si>
  <si>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</si>
  <si>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</si>
  <si>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</si>
  <si>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</si>
  <si>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</si>
  <si>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</si>
  <si>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</si>
  <si>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</si>
  <si>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</si>
  <si>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</si>
  <si>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</si>
  <si>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</si>
  <si>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</si>
  <si>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</si>
  <si>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</si>
  <si>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</si>
  <si>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</si>
  <si>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</si>
  <si>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</si>
  <si>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</si>
  <si>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</si>
  <si>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</si>
  <si>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</si>
  <si>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</si>
  <si>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</si>
  <si>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</si>
  <si>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</si>
  <si>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</si>
  <si>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</si>
  <si>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</si>
  <si>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</si>
  <si>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</si>
  <si>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</si>
  <si>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</si>
  <si>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</si>
  <si>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</si>
  <si>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</si>
  <si>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</si>
  <si>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</si>
  <si>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</si>
  <si>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</si>
  <si>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</si>
  <si>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</si>
  <si>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</si>
  <si>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</si>
  <si>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</si>
  <si>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</si>
  <si>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</si>
  <si>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</si>
  <si>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</si>
  <si>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</si>
  <si>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</si>
  <si>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</si>
  <si>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</si>
  <si>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</si>
  <si>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</si>
  <si>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</si>
  <si>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</si>
  <si>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</si>
  <si>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</si>
  <si>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</si>
  <si>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</si>
  <si>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</si>
  <si>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</si>
  <si>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</si>
  <si>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</si>
  <si>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</si>
  <si>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</si>
  <si>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</si>
  <si>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</si>
  <si>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</si>
  <si>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</si>
  <si>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</si>
  <si>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</si>
  <si>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</si>
  <si>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</si>
  <si>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</si>
  <si>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</si>
  <si>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</si>
  <si>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</si>
  <si>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</si>
  <si>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</si>
  <si>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</si>
  <si>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</si>
  <si>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</si>
  <si>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</si>
  <si>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</si>
  <si>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</si>
  <si>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</si>
  <si>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</si>
  <si>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</si>
  <si>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</si>
  <si>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</si>
  <si>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</si>
  <si>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</si>
  <si>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</si>
  <si>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</si>
  <si>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</si>
  <si>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</si>
  <si>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</si>
  <si>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</si>
  <si>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</si>
  <si>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</si>
  <si>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</si>
  <si>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</si>
  <si>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</si>
  <si>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</si>
  <si>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</si>
  <si>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</si>
  <si>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</si>
  <si>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</si>
  <si>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</si>
  <si>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</si>
  <si>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</si>
  <si>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</si>
  <si>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</si>
  <si>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</si>
  <si>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</si>
  <si>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</si>
  <si>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</si>
  <si>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</si>
  <si>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</si>
  <si>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</si>
  <si>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</si>
  <si>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</si>
  <si>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</si>
  <si>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</si>
  <si>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</si>
  <si>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</si>
  <si>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</si>
  <si>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</si>
  <si>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</si>
  <si>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</si>
  <si>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</si>
  <si>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</si>
  <si>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</si>
  <si>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</si>
  <si>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</si>
  <si>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</si>
  <si>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</si>
  <si>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</si>
  <si>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</si>
  <si>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</si>
  <si>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</si>
  <si>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</si>
  <si>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</si>
  <si>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</si>
  <si>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</si>
  <si>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</si>
  <si>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</si>
  <si>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</si>
  <si>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</si>
  <si>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</si>
  <si>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</si>
  <si>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</si>
  <si>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</si>
  <si>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</si>
  <si>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</si>
  <si>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</si>
  <si>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</si>
  <si>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</si>
  <si>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</si>
  <si>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</si>
  <si>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</si>
  <si>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</si>
  <si>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</si>
  <si>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</si>
  <si>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</si>
  <si>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</si>
  <si>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</si>
  <si>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</si>
  <si>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</si>
  <si>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</si>
  <si>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</si>
  <si>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</si>
  <si>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</si>
  <si>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</si>
  <si>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</si>
  <si>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</si>
  <si>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</si>
  <si>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</si>
  <si>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</si>
  <si>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</si>
  <si>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</si>
  <si>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</si>
  <si>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</si>
  <si>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</si>
  <si>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</si>
  <si>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</si>
  <si>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</si>
  <si>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</si>
  <si>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</si>
  <si>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</si>
  <si>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</si>
  <si>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</si>
  <si>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</si>
  <si>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</si>
  <si>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</si>
  <si>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</si>
  <si>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</si>
  <si>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</si>
  <si>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</si>
  <si>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</si>
  <si>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</si>
  <si>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</si>
  <si>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</si>
  <si>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</si>
  <si>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</si>
  <si>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</si>
  <si>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</si>
  <si>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</si>
  <si>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</si>
  <si>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</si>
  <si>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</si>
  <si>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</si>
  <si>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</si>
  <si>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</si>
  <si>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</si>
  <si>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</si>
  <si>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</si>
  <si>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</si>
  <si>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</si>
  <si>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</si>
  <si>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</si>
  <si>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</si>
  <si>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</si>
  <si>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</si>
  <si>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</si>
  <si>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</si>
  <si>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</si>
  <si>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</si>
  <si>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</si>
  <si>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</si>
  <si>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</si>
  <si>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</si>
  <si>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</si>
  <si>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</si>
  <si>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</si>
  <si>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</si>
  <si>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</si>
  <si>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</si>
  <si>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</si>
  <si>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</si>
  <si>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</si>
  <si>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</si>
  <si>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</si>
  <si>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</si>
  <si>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</si>
  <si>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</si>
  <si>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</si>
  <si>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</si>
  <si>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</si>
  <si>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</si>
  <si>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</si>
  <si>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</si>
  <si>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</si>
  <si>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</si>
  <si>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</si>
  <si>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</si>
  <si>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</si>
  <si>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</si>
  <si>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</si>
  <si>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</si>
  <si>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</si>
  <si>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</si>
  <si>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</si>
  <si>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</si>
  <si>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</si>
  <si>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</si>
  <si>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</si>
  <si>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</si>
  <si>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</si>
  <si>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</si>
  <si>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</si>
  <si>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</si>
  <si>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</si>
  <si>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</si>
  <si>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</si>
  <si>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</si>
  <si>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</si>
  <si>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</si>
  <si>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</si>
  <si>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</si>
  <si>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</si>
  <si>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</si>
  <si>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</si>
  <si>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</si>
  <si>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</si>
  <si>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</si>
  <si>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</si>
  <si>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</si>
  <si>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</si>
  <si>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</si>
  <si>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</si>
  <si>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</si>
  <si>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</si>
  <si>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</si>
  <si>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</si>
  <si>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</si>
  <si>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</si>
  <si>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</si>
  <si>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</si>
  <si>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</si>
  <si>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</si>
  <si>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</si>
  <si>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</si>
  <si>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</si>
  <si>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</si>
  <si>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</si>
  <si>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</si>
  <si>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</si>
  <si>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</si>
  <si>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</si>
  <si>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</si>
  <si>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</si>
  <si>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</si>
  <si>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</si>
  <si>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</si>
  <si>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</si>
  <si>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</si>
  <si>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</si>
  <si>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</si>
  <si>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</si>
  <si>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</si>
  <si>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</si>
  <si>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</si>
  <si>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</si>
  <si>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</si>
  <si>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</si>
  <si>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</si>
  <si>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</si>
  <si>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</si>
  <si>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</si>
  <si>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</si>
  <si>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</si>
  <si>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</si>
  <si>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</si>
  <si>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</si>
  <si>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</si>
  <si>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</si>
  <si>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</si>
  <si>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</si>
  <si>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</si>
  <si>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</si>
  <si>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</si>
  <si>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</si>
  <si>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</si>
  <si>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</si>
  <si>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</si>
  <si>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</si>
  <si>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</si>
  <si>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</si>
  <si>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</si>
  <si>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</si>
  <si>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</si>
  <si>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</si>
  <si>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</si>
  <si>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</si>
  <si>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</si>
  <si>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</si>
  <si>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</si>
  <si>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</si>
  <si>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</si>
  <si>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</si>
  <si>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</si>
  <si>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</si>
  <si>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</si>
  <si>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</si>
  <si>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</si>
  <si>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</si>
  <si>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</si>
  <si>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</si>
  <si>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</si>
  <si>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</si>
  <si>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</si>
  <si>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</si>
  <si>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</si>
  <si>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</si>
  <si>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</si>
  <si>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</si>
  <si>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</si>
  <si>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</si>
  <si>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</si>
  <si>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</si>
  <si>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</si>
  <si>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</si>
  <si>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</si>
  <si>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</si>
  <si>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</si>
  <si>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</si>
  <si>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</si>
  <si>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</si>
  <si>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</si>
  <si>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</si>
  <si>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</si>
  <si>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</si>
  <si>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</si>
  <si>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</si>
  <si>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</si>
  <si>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</si>
  <si>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</si>
  <si>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</si>
  <si>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</si>
  <si>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</si>
  <si>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</si>
  <si>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</si>
  <si>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</si>
  <si>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</si>
  <si>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</si>
  <si>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</si>
  <si>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</si>
  <si>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</si>
  <si>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</si>
  <si>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</si>
  <si>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</si>
  <si>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</si>
  <si>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</si>
  <si>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</si>
  <si>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</si>
  <si>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</si>
  <si>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</si>
  <si>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</si>
  <si>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</si>
  <si>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</si>
  <si>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</si>
  <si>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</si>
  <si>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</si>
  <si>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</si>
  <si>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</si>
  <si>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</si>
  <si>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</si>
  <si>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</si>
  <si>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</si>
  <si>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</si>
  <si>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</si>
  <si>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</si>
  <si>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</si>
  <si>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</si>
  <si>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</si>
  <si>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</si>
  <si>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</si>
  <si>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</si>
  <si>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</si>
  <si>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</si>
  <si>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</si>
  <si>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</si>
  <si>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</si>
  <si>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</si>
  <si>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</si>
  <si>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</si>
  <si>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</si>
  <si>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</si>
  <si>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</si>
  <si>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</si>
  <si>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</si>
  <si>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</si>
  <si>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</si>
  <si>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</si>
  <si>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</si>
  <si>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</si>
  <si>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</si>
  <si>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</si>
  <si>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</si>
  <si>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</si>
  <si>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</si>
  <si>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</si>
  <si>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</si>
  <si>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</si>
  <si>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</si>
  <si>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</si>
  <si>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</si>
  <si>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</si>
  <si>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</si>
  <si>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</si>
  <si>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</si>
  <si>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</si>
  <si>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</si>
  <si>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</si>
  <si>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</si>
  <si>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</si>
  <si>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</si>
  <si>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</si>
  <si>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</si>
  <si>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</si>
  <si>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</si>
  <si>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</si>
  <si>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</si>
  <si>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</si>
  <si>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</si>
  <si>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</si>
  <si>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</si>
  <si>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</si>
  <si>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</si>
  <si>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</si>
  <si>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</si>
  <si>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</si>
  <si>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</si>
  <si>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</si>
  <si>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</si>
  <si>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</si>
  <si>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</si>
  <si>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</si>
  <si>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</si>
  <si>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</si>
  <si>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</si>
  <si>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</si>
  <si>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</si>
  <si>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</si>
  <si>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</si>
  <si>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</si>
  <si>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</si>
  <si>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</si>
  <si>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</si>
  <si>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</si>
  <si>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</si>
  <si>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</si>
  <si>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</si>
  <si>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</si>
  <si>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</si>
  <si>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</si>
  <si>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</si>
  <si>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</si>
  <si>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</si>
  <si>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</si>
  <si>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</si>
  <si>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</si>
  <si>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</si>
  <si>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</si>
  <si>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</si>
  <si>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</si>
  <si>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</si>
  <si>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</si>
  <si>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</si>
  <si>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</si>
  <si>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</si>
  <si>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</si>
  <si>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</si>
  <si>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</si>
  <si>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</si>
  <si>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</si>
  <si>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</si>
  <si>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</si>
  <si>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</si>
  <si>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</si>
  <si>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</si>
  <si>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</si>
  <si>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</si>
  <si>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</si>
  <si>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</si>
  <si>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</si>
  <si>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</si>
  <si>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</si>
  <si>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</si>
  <si>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</si>
  <si>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</si>
  <si>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</si>
  <si>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</si>
  <si>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</si>
  <si>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</si>
  <si>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</si>
  <si>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</si>
  <si>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</si>
  <si>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</si>
  <si>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</si>
  <si>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</si>
  <si>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</si>
  <si>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</si>
  <si>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</si>
  <si>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</si>
  <si>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</si>
  <si>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</si>
  <si>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</si>
  <si>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</si>
  <si>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</si>
  <si>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</si>
  <si>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</si>
  <si>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</si>
  <si>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</si>
  <si>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</si>
  <si>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</si>
  <si>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</si>
  <si>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</si>
  <si>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</si>
  <si>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</si>
  <si>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</si>
  <si>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</si>
  <si>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</si>
  <si>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</si>
  <si>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</si>
  <si>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</si>
  <si>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</si>
  <si>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</si>
  <si>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</si>
  <si>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</si>
  <si>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</si>
  <si>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</si>
  <si>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</si>
  <si>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</si>
  <si>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</si>
  <si>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</si>
  <si>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</si>
  <si>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</si>
  <si>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</si>
  <si>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</si>
  <si>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</si>
  <si>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</si>
  <si>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</si>
  <si>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</si>
  <si>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</si>
  <si>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</si>
  <si>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</si>
  <si>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</si>
  <si>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</si>
  <si>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</si>
  <si>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</si>
  <si>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</si>
  <si>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</si>
  <si>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</si>
  <si>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</si>
  <si>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</si>
  <si>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</si>
  <si>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</si>
  <si>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</si>
  <si>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</si>
  <si>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</si>
  <si>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</si>
  <si>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</si>
  <si>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</si>
  <si>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</si>
  <si>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</si>
  <si>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</si>
  <si>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</si>
  <si>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</si>
  <si>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</si>
  <si>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</si>
  <si>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</si>
  <si>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</si>
  <si>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</si>
  <si>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</si>
  <si>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</si>
  <si>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</si>
  <si>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</si>
  <si>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</si>
  <si>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</si>
  <si>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</si>
  <si>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</si>
  <si>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</si>
  <si>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</si>
  <si>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</si>
  <si>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</si>
  <si>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</si>
  <si>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</si>
  <si>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</si>
  <si>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</si>
  <si>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</si>
  <si>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</si>
  <si>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</si>
  <si>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</si>
  <si>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</si>
  <si>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</si>
  <si>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</si>
  <si>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</si>
  <si>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</si>
  <si>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</si>
  <si>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</si>
  <si>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</si>
  <si>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</si>
  <si>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</si>
  <si>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</si>
  <si>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</si>
  <si>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</si>
  <si>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</si>
  <si>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</si>
  <si>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</si>
  <si>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</si>
  <si>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</si>
  <si>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</si>
  <si>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</si>
  <si>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</si>
  <si>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</si>
  <si>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</si>
  <si>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</si>
  <si>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</si>
  <si>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</si>
  <si>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</si>
  <si>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</si>
  <si>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</si>
  <si>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</si>
  <si>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</si>
  <si>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</si>
  <si>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</si>
  <si>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</si>
  <si>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</si>
  <si>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</si>
  <si>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</si>
  <si>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</si>
  <si>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</si>
  <si>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</si>
  <si>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</si>
  <si>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</si>
  <si>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</si>
  <si>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</si>
  <si>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</si>
  <si>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</si>
  <si>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</si>
  <si>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</si>
  <si>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</si>
  <si>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</si>
  <si>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</si>
  <si>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</si>
  <si>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</si>
  <si>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</si>
  <si>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</si>
  <si>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</si>
  <si>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</si>
  <si>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</si>
  <si>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</si>
  <si>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</si>
  <si>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</si>
  <si>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</si>
  <si>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</si>
  <si>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</si>
  <si>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</si>
  <si>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</si>
  <si>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</si>
  <si>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</si>
  <si>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</si>
  <si>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</si>
  <si>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</si>
  <si>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</si>
  <si>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</si>
  <si>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</si>
  <si>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</si>
  <si>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</si>
  <si>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</si>
  <si>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</si>
  <si>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</si>
  <si>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</si>
  <si>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</si>
  <si>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</si>
  <si>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</si>
  <si>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</si>
  <si>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</si>
  <si>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</si>
  <si>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</si>
  <si>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</si>
  <si>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</si>
  <si>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</si>
  <si>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</si>
  <si>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</si>
  <si>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</si>
  <si>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</si>
  <si>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</si>
  <si>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</si>
  <si>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</si>
  <si>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</si>
  <si>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</si>
  <si>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</si>
  <si>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</si>
  <si>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</si>
  <si>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</si>
  <si>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</si>
  <si>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</si>
  <si>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</si>
  <si>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</si>
  <si>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</si>
  <si>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</si>
  <si>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</si>
  <si>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</si>
  <si>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</si>
  <si>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</si>
  <si>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</si>
  <si>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</si>
  <si>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</si>
  <si>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</si>
  <si>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</si>
  <si>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</si>
  <si>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</si>
  <si>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</si>
  <si>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</si>
  <si>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</si>
  <si>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</si>
  <si>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</si>
  <si>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</si>
  <si>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</si>
  <si>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</si>
  <si>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</si>
  <si>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</si>
  <si>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</si>
  <si>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</si>
  <si>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</si>
  <si>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</si>
  <si>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</si>
  <si>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</si>
  <si>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</si>
  <si>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</si>
  <si>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</si>
  <si>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</si>
  <si>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</si>
  <si>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</si>
  <si>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</si>
  <si>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</si>
  <si>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</si>
  <si>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</si>
  <si>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</si>
  <si>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</si>
  <si>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</si>
  <si>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</si>
  <si>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</si>
  <si>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</si>
  <si>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</si>
  <si>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</si>
  <si>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</si>
  <si>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</si>
  <si>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</si>
  <si>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</si>
  <si>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</si>
  <si>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</si>
  <si>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</si>
  <si>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</si>
  <si>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</si>
  <si>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</si>
  <si>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</si>
  <si>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</si>
  <si>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</si>
  <si>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</si>
  <si>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</si>
  <si>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</si>
  <si>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</si>
  <si>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</si>
  <si>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</si>
  <si>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</si>
  <si>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</si>
  <si>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</si>
  <si>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</si>
  <si>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</si>
  <si>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</si>
  <si>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</si>
  <si>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</si>
  <si>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</si>
  <si>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</si>
  <si>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</si>
  <si>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</si>
  <si>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</si>
  <si>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</si>
  <si>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</si>
  <si>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</si>
  <si>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</si>
  <si>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</si>
  <si>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</si>
  <si>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</si>
  <si>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</si>
  <si>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</si>
  <si>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</si>
  <si>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</si>
  <si>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</si>
  <si>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</si>
  <si>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</si>
  <si>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</si>
  <si>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</si>
  <si>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</si>
  <si>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</si>
  <si>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</si>
  <si>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</si>
  <si>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</si>
  <si>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</si>
  <si>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</si>
  <si>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</si>
  <si>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</si>
  <si>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</si>
  <si>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</si>
  <si>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</si>
  <si>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</si>
  <si>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</si>
  <si>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</si>
  <si>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</si>
  <si>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</si>
  <si>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</si>
  <si>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</si>
  <si>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</si>
  <si>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</si>
  <si>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</si>
  <si>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</si>
  <si>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</si>
  <si>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</si>
  <si>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</si>
  <si>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</si>
  <si>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</si>
  <si>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</si>
  <si>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</si>
  <si>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</si>
  <si>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</si>
  <si>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</si>
  <si>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</si>
  <si>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</si>
  <si>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</si>
  <si>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</si>
  <si>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</si>
  <si>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</si>
  <si>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</si>
  <si>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</si>
  <si>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</si>
  <si>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</si>
  <si>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</si>
  <si>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</si>
  <si>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</si>
  <si>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</si>
  <si>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</si>
  <si>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</si>
  <si>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</si>
  <si>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</si>
  <si>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</si>
  <si>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</si>
  <si>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</si>
  <si>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</si>
  <si>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</si>
  <si>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</si>
  <si>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</si>
  <si>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</si>
  <si>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</si>
  <si>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</si>
  <si>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</si>
  <si>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</si>
  <si>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</si>
  <si>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</si>
  <si>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</si>
  <si>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</si>
  <si>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</si>
  <si>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</si>
  <si>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</si>
  <si>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</si>
  <si>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</si>
  <si>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</si>
  <si>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</si>
  <si>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</si>
  <si>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</si>
  <si>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</si>
  <si>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</si>
  <si>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</si>
  <si>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</si>
  <si>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</si>
  <si>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</si>
  <si>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</si>
  <si>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</si>
  <si>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</si>
  <si>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</si>
  <si>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</si>
  <si>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</si>
  <si>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</si>
  <si>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</si>
  <si>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</si>
  <si>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</si>
  <si>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</si>
  <si>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</si>
  <si>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</si>
  <si>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</si>
  <si>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</si>
  <si>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</si>
  <si>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</si>
  <si>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</si>
  <si>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</si>
  <si>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</si>
  <si>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</si>
  <si>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</si>
  <si>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</si>
  <si>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</si>
  <si>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</si>
  <si>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</si>
  <si>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</si>
  <si>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</si>
  <si>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</si>
  <si>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</si>
  <si>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</si>
  <si>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</si>
  <si>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</si>
  <si>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</si>
  <si>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</si>
  <si>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</si>
  <si>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</si>
  <si>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</si>
  <si>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</si>
  <si>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</si>
  <si>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</si>
  <si>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</si>
  <si>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</si>
  <si>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</si>
  <si>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</si>
  <si>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</si>
  <si>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</si>
  <si>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</si>
  <si>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</si>
  <si>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</si>
  <si>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</si>
  <si>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</si>
  <si>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</si>
  <si>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</si>
  <si>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</si>
  <si>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</si>
  <si>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</si>
  <si>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</si>
  <si>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</si>
  <si>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</si>
  <si>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</si>
  <si>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</si>
  <si>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</si>
  <si>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</si>
  <si>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</si>
  <si>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</si>
  <si>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</si>
  <si>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</si>
  <si>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</si>
  <si>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</si>
  <si>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</si>
  <si>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</si>
  <si>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</si>
  <si>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</si>
  <si>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</si>
  <si>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</si>
  <si>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</si>
  <si>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</si>
  <si>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</si>
  <si>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</si>
  <si>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</si>
  <si>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</si>
  <si>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</si>
  <si>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</si>
  <si>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</si>
  <si>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</si>
  <si>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</si>
  <si>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</si>
  <si>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</si>
  <si>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</si>
  <si>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</si>
  <si>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</si>
  <si>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</si>
  <si>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</si>
  <si>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</si>
  <si>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</si>
  <si>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</si>
  <si>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</si>
  <si>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</si>
  <si>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</si>
  <si>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</si>
  <si>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</si>
  <si>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</si>
  <si>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</si>
  <si>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</si>
  <si>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</si>
  <si>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</si>
  <si>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</si>
  <si>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</si>
  <si>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</si>
  <si>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</si>
  <si>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</si>
  <si>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</si>
  <si>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</si>
  <si>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</si>
  <si>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</si>
  <si>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</si>
  <si>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</si>
  <si>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</si>
  <si>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</si>
  <si>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</si>
  <si>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</si>
  <si>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</si>
  <si>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</si>
  <si>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</si>
  <si>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</si>
  <si>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</si>
  <si>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</si>
  <si>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</si>
  <si>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</si>
  <si>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</si>
  <si>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</si>
  <si>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</si>
  <si>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</si>
  <si>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</si>
  <si>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</si>
  <si>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</si>
  <si>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</si>
  <si>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</si>
  <si>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</si>
  <si>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</si>
  <si>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</si>
  <si>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</si>
  <si>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</si>
  <si>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</si>
  <si>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</si>
  <si>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</si>
  <si>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</si>
  <si>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</si>
  <si>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</si>
  <si>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</si>
  <si>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</si>
  <si>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</si>
  <si>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</si>
  <si>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</si>
  <si>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</si>
  <si>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</si>
  <si>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</si>
  <si>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</si>
  <si>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</si>
  <si>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</si>
  <si>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</si>
  <si>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</si>
  <si>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</si>
  <si>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</si>
  <si>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</si>
  <si>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</si>
  <si>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</si>
  <si>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</si>
  <si>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</si>
  <si>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</si>
  <si>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</si>
  <si>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</si>
  <si>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</si>
  <si>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</si>
  <si>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</si>
  <si>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</si>
  <si>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</si>
  <si>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</si>
  <si>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</si>
  <si>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</si>
  <si>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</si>
  <si>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</si>
  <si>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</si>
  <si>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</si>
  <si>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</si>
  <si>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</si>
  <si>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</si>
  <si>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</si>
  <si>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</si>
  <si>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</si>
  <si>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</si>
  <si>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</si>
  <si>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</si>
  <si>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</si>
  <si>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</si>
  <si>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</si>
  <si>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</si>
  <si>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</si>
  <si>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</si>
  <si>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</si>
  <si>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</si>
  <si>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</si>
  <si>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</si>
  <si>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</si>
  <si>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</si>
  <si>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</si>
  <si>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</si>
  <si>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</si>
  <si>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</si>
  <si>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</si>
  <si>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</si>
  <si>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</si>
  <si>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</si>
  <si>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</si>
  <si>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</si>
  <si>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</si>
  <si>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</si>
  <si>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</si>
  <si>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</si>
  <si>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</si>
  <si>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</si>
  <si>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</si>
  <si>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</si>
  <si>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</si>
  <si>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</si>
  <si>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</si>
  <si>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</si>
  <si>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</si>
  <si>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</si>
  <si>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</si>
  <si>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</si>
  <si>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</si>
  <si>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</si>
  <si>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</si>
  <si>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</si>
  <si>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</si>
  <si>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</si>
  <si>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</si>
  <si>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</si>
  <si>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</si>
  <si>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</si>
  <si>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</si>
  <si>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</si>
  <si>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</si>
  <si>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</si>
  <si>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</si>
  <si>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</si>
  <si>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</si>
  <si>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</si>
  <si>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</si>
  <si>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</si>
  <si>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</si>
  <si>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</si>
  <si>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</si>
  <si>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</si>
  <si>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</si>
  <si>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</si>
  <si>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</si>
  <si>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</si>
  <si>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</si>
  <si>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</si>
  <si>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</si>
  <si>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</si>
  <si>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</si>
  <si>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</si>
  <si>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</si>
  <si>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</si>
  <si>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</si>
  <si>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</si>
  <si>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</si>
  <si>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</si>
  <si>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</si>
  <si>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</si>
  <si>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</si>
  <si>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</si>
  <si>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</si>
  <si>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</si>
  <si>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</si>
  <si>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</si>
  <si>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</si>
  <si>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</si>
  <si>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</si>
  <si>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</si>
  <si>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</si>
  <si>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</si>
  <si>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</si>
  <si>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</si>
  <si>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</si>
  <si>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</si>
  <si>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</si>
  <si>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</si>
  <si>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</si>
  <si>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</si>
  <si>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</si>
  <si>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</si>
  <si>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</si>
  <si>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</si>
  <si>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</si>
  <si>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</si>
  <si>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</si>
  <si>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</si>
  <si>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</si>
  <si>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</si>
  <si>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</si>
  <si>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</si>
  <si>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</si>
  <si>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</si>
  <si>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</si>
  <si>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</si>
  <si>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</si>
  <si>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</si>
  <si>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</si>
  <si>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</si>
  <si>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</si>
  <si>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</si>
  <si>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</si>
  <si>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</si>
  <si>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</si>
  <si>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</si>
  <si>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</si>
  <si>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</si>
  <si>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</si>
  <si>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</si>
  <si>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</si>
  <si>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</si>
  <si>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</si>
  <si>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</si>
  <si>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</si>
  <si>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</si>
  <si>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</si>
  <si>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</si>
  <si>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</si>
  <si>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</si>
  <si>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</si>
  <si>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</si>
  <si>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</si>
  <si>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</si>
  <si>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</si>
  <si>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</si>
  <si>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</si>
  <si>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</si>
  <si>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</si>
  <si>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</si>
  <si>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</si>
  <si>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</si>
  <si>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</si>
  <si>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</si>
  <si>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</si>
  <si>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</si>
  <si>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</si>
  <si>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</si>
  <si>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</si>
  <si>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</si>
  <si>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</si>
  <si>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</si>
  <si>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</si>
  <si>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</si>
  <si>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</si>
  <si>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</si>
  <si>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</si>
  <si>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</si>
  <si>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</si>
  <si>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</si>
  <si>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</si>
  <si>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</si>
  <si>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</si>
  <si>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</si>
  <si>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</si>
  <si>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</si>
  <si>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</si>
  <si>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</si>
  <si>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</si>
  <si>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</si>
  <si>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</si>
  <si>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</si>
  <si>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</si>
  <si>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</si>
  <si>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</si>
  <si>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</si>
  <si>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</si>
  <si>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</si>
  <si>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</si>
  <si>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</si>
  <si>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</si>
  <si>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</si>
  <si>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</si>
  <si>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</si>
  <si>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</si>
  <si>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</si>
  <si>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</si>
  <si>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</si>
  <si>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</si>
  <si>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</si>
  <si>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</si>
  <si>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</si>
  <si>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</si>
  <si>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</si>
  <si>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</si>
  <si>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</si>
  <si>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</si>
  <si>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</si>
  <si>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</si>
  <si>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</si>
  <si>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</si>
  <si>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</si>
  <si>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</si>
  <si>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</si>
  <si>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</si>
  <si>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</si>
  <si>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</si>
  <si>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</si>
  <si>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</si>
  <si>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</si>
  <si>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</si>
  <si>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</si>
  <si>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</si>
  <si>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</si>
  <si>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</si>
  <si>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</si>
  <si>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</si>
  <si>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</si>
  <si>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</si>
  <si>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</si>
  <si>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</si>
  <si>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</si>
  <si>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</si>
  <si>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</si>
  <si>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</si>
  <si>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</si>
  <si>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</si>
  <si>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</si>
  <si>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</si>
  <si>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</si>
  <si>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</si>
  <si>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</si>
  <si>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</si>
  <si>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</si>
  <si>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</si>
  <si>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</si>
  <si>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</si>
  <si>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</si>
  <si>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</si>
  <si>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</si>
  <si>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</si>
  <si>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</si>
  <si>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</si>
  <si>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</si>
  <si>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</si>
  <si>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</si>
  <si>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</si>
  <si>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</si>
  <si>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</si>
  <si>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</si>
  <si>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</si>
  <si>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</si>
  <si>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</si>
  <si>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</si>
  <si>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</si>
  <si>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</si>
  <si>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</si>
  <si>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</si>
  <si>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</si>
  <si>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</si>
  <si>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</si>
  <si>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</si>
  <si>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</si>
  <si>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</si>
  <si>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</si>
  <si>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</si>
  <si>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</si>
  <si>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</si>
  <si>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</si>
  <si>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</si>
  <si>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</si>
  <si>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</si>
  <si>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</si>
  <si>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</si>
  <si>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</si>
  <si>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</si>
  <si>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</si>
  <si>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</si>
  <si>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</si>
  <si>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</si>
  <si>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</si>
  <si>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</si>
  <si>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</si>
  <si>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</si>
  <si>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</si>
  <si>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</si>
  <si>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</si>
  <si>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</si>
  <si>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</si>
  <si>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</si>
  <si>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</si>
  <si>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</si>
  <si>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</si>
  <si>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</si>
  <si>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</si>
  <si>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</si>
  <si>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</si>
  <si>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</si>
  <si>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</si>
  <si>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</si>
  <si>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</si>
  <si>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</si>
  <si>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</si>
  <si>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</si>
  <si>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</si>
  <si>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</si>
  <si>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</si>
  <si>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</si>
  <si>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</si>
  <si>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</si>
  <si>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</si>
  <si>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</si>
  <si>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</si>
  <si>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</si>
  <si>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</si>
  <si>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</si>
  <si>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</si>
  <si>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</si>
  <si>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</si>
  <si>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</si>
  <si>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</si>
  <si>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</si>
  <si>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</si>
  <si>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</si>
  <si>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</si>
  <si>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</si>
  <si>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</si>
  <si>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</si>
  <si>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</si>
  <si>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</si>
  <si>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</si>
  <si>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</si>
  <si>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</si>
  <si>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</si>
  <si>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</si>
  <si>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</si>
  <si>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</si>
  <si>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</si>
  <si>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</si>
  <si>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</si>
  <si>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</si>
  <si>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</si>
  <si>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</si>
  <si>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</si>
  <si>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</si>
  <si>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</si>
  <si>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</si>
  <si>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</si>
  <si>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</si>
  <si>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</si>
  <si>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</si>
  <si>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</si>
  <si>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</si>
  <si>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</si>
  <si>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</si>
  <si>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</si>
  <si>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</si>
  <si>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</si>
  <si>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</si>
  <si>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</si>
  <si>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</si>
  <si>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</si>
  <si>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</si>
  <si>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</si>
  <si>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</si>
  <si>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</si>
  <si>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</si>
  <si>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</si>
  <si>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</si>
  <si>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</si>
  <si>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</si>
  <si>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</si>
  <si>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</si>
  <si>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</si>
  <si>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</si>
  <si>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</si>
  <si>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</si>
  <si>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</si>
  <si>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</si>
  <si>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</si>
  <si>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</si>
  <si>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</si>
  <si>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</si>
  <si>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</si>
  <si>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</si>
  <si>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</si>
  <si>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</si>
  <si>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</si>
  <si>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</si>
  <si>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</si>
  <si>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</si>
  <si>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</si>
  <si>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</si>
  <si>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</si>
  <si>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</si>
  <si>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</si>
  <si>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</si>
  <si>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</si>
  <si>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</si>
  <si>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</si>
  <si>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</si>
  <si>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</si>
  <si>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</si>
  <si>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</si>
  <si>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</si>
  <si>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</si>
  <si>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</si>
  <si>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</si>
  <si>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</si>
  <si>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</si>
  <si>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</si>
  <si>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</si>
  <si>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</si>
  <si>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</si>
  <si>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</si>
  <si>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</si>
  <si>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</si>
  <si>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</si>
  <si>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</si>
  <si>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</si>
  <si>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</si>
  <si>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</si>
  <si>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</si>
  <si>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</si>
  <si>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</si>
  <si>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</si>
  <si>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</si>
  <si>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</si>
  <si>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</si>
  <si>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</si>
  <si>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</si>
  <si>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</si>
  <si>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</si>
  <si>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</si>
  <si>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</si>
  <si>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</si>
  <si>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</si>
  <si>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</si>
  <si>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</si>
  <si>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</si>
  <si>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</si>
  <si>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</si>
  <si>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</si>
  <si>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</si>
  <si>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</si>
  <si>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</si>
  <si>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</si>
  <si>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</si>
  <si>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</si>
  <si>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</si>
  <si>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</si>
  <si>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</si>
  <si>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</si>
  <si>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</si>
  <si>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</si>
  <si>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</si>
  <si>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</si>
  <si>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</si>
  <si>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</si>
  <si>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</si>
  <si>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</si>
  <si>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</si>
  <si>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</si>
  <si>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</si>
  <si>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</si>
  <si>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</si>
  <si>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</si>
  <si>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</si>
  <si>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</si>
  <si>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</si>
  <si>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</si>
  <si>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</si>
  <si>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</si>
  <si>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</si>
  <si>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</si>
  <si>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</si>
  <si>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</si>
  <si>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</si>
  <si>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</si>
  <si>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</si>
  <si>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</si>
  <si>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</si>
  <si>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</si>
  <si>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</si>
  <si>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</si>
  <si>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</si>
  <si>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</si>
  <si>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</si>
  <si>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</si>
  <si>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</si>
  <si>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</si>
  <si>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</si>
  <si>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</si>
  <si>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</si>
  <si>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</si>
  <si>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</si>
  <si>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</si>
  <si>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</si>
  <si>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</si>
  <si>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</si>
  <si>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</si>
  <si>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</si>
  <si>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</si>
  <si>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</si>
  <si>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</si>
  <si>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</si>
  <si>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</si>
  <si>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</si>
  <si>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</si>
  <si>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</si>
  <si>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</si>
  <si>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</si>
  <si>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</si>
  <si>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</si>
  <si>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</si>
  <si>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</si>
  <si>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</si>
  <si>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</si>
  <si>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</si>
  <si>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</si>
  <si>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</si>
  <si>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</si>
  <si>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</si>
  <si>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</si>
  <si>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</si>
  <si>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</si>
  <si>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</si>
  <si>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</si>
  <si>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</si>
  <si>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</si>
  <si>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</si>
  <si>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</si>
  <si>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</si>
  <si>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</si>
  <si>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</si>
  <si>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</si>
  <si>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</si>
  <si>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</si>
  <si>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</si>
  <si>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</si>
  <si>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</si>
  <si>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</si>
  <si>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</si>
  <si>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</si>
  <si>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</si>
  <si>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</si>
  <si>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</si>
  <si>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</si>
  <si>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</si>
  <si>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</si>
  <si>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</si>
  <si>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</si>
  <si>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</si>
  <si>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</si>
  <si>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</si>
  <si>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</si>
  <si>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</si>
  <si>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</si>
  <si>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</si>
  <si>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</si>
  <si>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</si>
  <si>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</si>
  <si>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</si>
  <si>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</si>
  <si>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</si>
  <si>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</si>
  <si>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</si>
  <si>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</si>
  <si>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</si>
  <si>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</si>
  <si>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</si>
  <si>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</si>
  <si>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</si>
  <si>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</si>
  <si>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</si>
  <si>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</si>
  <si>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</si>
  <si>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</si>
  <si>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</si>
  <si>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</si>
  <si>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</si>
  <si>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</si>
  <si>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</si>
  <si>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</si>
  <si>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</si>
  <si>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</si>
  <si>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</si>
  <si>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</si>
  <si>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</si>
  <si>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</si>
  <si>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</si>
  <si>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</si>
  <si>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</si>
  <si>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</si>
  <si>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</si>
  <si>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</si>
  <si>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</si>
  <si>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</si>
  <si>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</si>
  <si>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</si>
  <si>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</si>
  <si>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</si>
  <si>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</si>
  <si>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</si>
  <si>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</si>
  <si>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</si>
  <si>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</si>
  <si>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</si>
  <si>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</si>
  <si>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</si>
  <si>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</si>
  <si>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</si>
  <si>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</si>
  <si>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</si>
  <si>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</si>
  <si>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</si>
  <si>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</si>
  <si>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</si>
  <si>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</si>
  <si>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</si>
  <si>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</si>
  <si>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</si>
  <si>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</si>
  <si>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</si>
  <si>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</si>
  <si>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</si>
  <si>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</si>
  <si>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</si>
  <si>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</si>
  <si>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</si>
  <si>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</si>
  <si>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</si>
  <si>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</si>
  <si>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</si>
  <si>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</si>
  <si>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</si>
  <si>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</si>
  <si>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</si>
  <si>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</si>
  <si>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</si>
  <si>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</si>
  <si>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</si>
  <si>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</si>
  <si>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</si>
  <si>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</si>
  <si>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</si>
  <si>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</si>
  <si>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</si>
  <si>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</si>
  <si>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</si>
  <si>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</si>
  <si>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</si>
  <si>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</si>
  <si>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</si>
  <si>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</si>
  <si>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</si>
  <si>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</si>
  <si>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</si>
  <si>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</si>
  <si>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</si>
  <si>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</si>
  <si>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</si>
  <si>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</si>
  <si>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</si>
  <si>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</si>
  <si>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</si>
  <si>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</si>
  <si>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</si>
  <si>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</si>
  <si>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</si>
  <si>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</si>
  <si>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</si>
  <si>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</si>
  <si>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</si>
  <si>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</si>
  <si>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</si>
  <si>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</si>
  <si>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</si>
  <si>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</si>
  <si>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</si>
  <si>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</si>
  <si>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</si>
  <si>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</si>
  <si>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</si>
  <si>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</si>
  <si>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</si>
  <si>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</si>
  <si>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</si>
  <si>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</si>
  <si>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</si>
  <si>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</si>
  <si>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</si>
  <si>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</si>
  <si>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</si>
  <si>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</si>
  <si>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</si>
  <si>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</si>
  <si>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</si>
  <si>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</si>
  <si>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</si>
  <si>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</si>
  <si>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</si>
  <si>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</si>
  <si>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</si>
  <si>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</si>
  <si>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</si>
  <si>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</si>
  <si>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</si>
  <si>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</si>
  <si>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</si>
  <si>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</si>
  <si>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</si>
  <si>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</si>
  <si>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</si>
  <si>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</si>
  <si>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</si>
  <si>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</si>
  <si>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</si>
  <si>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</si>
  <si>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</si>
  <si>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</si>
  <si>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</si>
  <si>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</si>
  <si>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</si>
  <si>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</si>
  <si>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</si>
  <si>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</si>
  <si>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</si>
  <si>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</si>
  <si>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</si>
  <si>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</si>
  <si>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</si>
  <si>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</si>
  <si>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</si>
  <si>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</si>
  <si>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</si>
  <si>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</si>
  <si>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</si>
  <si>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</si>
  <si>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</si>
  <si>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</si>
  <si>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</si>
  <si>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</si>
  <si>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</si>
  <si>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</si>
  <si>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</si>
  <si>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</si>
  <si>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</si>
  <si>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</si>
  <si>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</si>
  <si>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</si>
  <si>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</si>
  <si>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</si>
  <si>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</si>
  <si>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</si>
  <si>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</si>
  <si>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</si>
  <si>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</si>
  <si>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</si>
  <si>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</si>
  <si>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</si>
  <si>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</si>
  <si>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</si>
  <si>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</si>
  <si>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</si>
  <si>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</si>
  <si>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</si>
  <si>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</si>
  <si>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</si>
  <si>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</si>
  <si>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</si>
  <si>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</si>
  <si>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</si>
  <si>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</si>
  <si>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</si>
  <si>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</si>
  <si>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</si>
  <si>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</si>
  <si>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</si>
  <si>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</si>
  <si>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</si>
  <si>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</si>
  <si>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</si>
  <si>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</si>
  <si>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</si>
  <si>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</si>
  <si>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</si>
  <si>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</si>
  <si>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</si>
  <si>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</si>
  <si>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</si>
  <si>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</si>
  <si>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</si>
  <si>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</si>
  <si>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</si>
  <si>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</si>
  <si>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</si>
  <si>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</si>
  <si>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</si>
  <si>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</si>
  <si>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</si>
  <si>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</si>
  <si>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</si>
  <si>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</si>
  <si>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</si>
  <si>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</si>
  <si>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</si>
  <si>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</si>
  <si>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</si>
  <si>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</si>
  <si>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</si>
  <si>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</si>
  <si>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</si>
  <si>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</si>
  <si>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</si>
  <si>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</si>
  <si>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</si>
  <si>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</si>
  <si>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</si>
  <si>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</si>
  <si>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</si>
  <si>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</si>
  <si>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</si>
  <si>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</si>
  <si>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</si>
  <si>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</si>
  <si>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</si>
  <si>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</si>
  <si>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</si>
  <si>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</si>
  <si>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</si>
  <si>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</si>
  <si>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</si>
  <si>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</si>
  <si>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</si>
  <si>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</si>
  <si>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</si>
  <si>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</si>
  <si>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</si>
  <si>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</si>
  <si>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</si>
  <si>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</si>
  <si>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</si>
  <si>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</si>
  <si>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</si>
  <si>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</si>
  <si>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</si>
  <si>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</si>
  <si>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</si>
  <si>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</si>
  <si>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</si>
  <si>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</si>
  <si>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</si>
  <si>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</si>
  <si>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</si>
  <si>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</si>
  <si>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</si>
  <si>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</si>
  <si>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</si>
  <si>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</si>
  <si>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</si>
  <si>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</si>
  <si>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</si>
  <si>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</si>
  <si>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</si>
  <si>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</si>
  <si>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</si>
  <si>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</si>
  <si>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</si>
  <si>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</si>
  <si>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</si>
  <si>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</si>
  <si>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</si>
  <si>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</si>
  <si>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</si>
  <si>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</si>
  <si>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</si>
  <si>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</si>
  <si>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</si>
  <si>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</si>
  <si>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</si>
  <si>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</si>
  <si>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</si>
  <si>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</si>
  <si>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</si>
  <si>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</si>
  <si>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</si>
  <si>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</si>
  <si>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</si>
  <si>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</si>
  <si>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</si>
  <si>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</si>
  <si>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</si>
  <si>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</si>
  <si>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</si>
  <si>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</si>
  <si>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</si>
  <si>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</si>
  <si>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</si>
  <si>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</si>
  <si>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</si>
  <si>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</si>
  <si>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</si>
  <si>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</si>
  <si>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</si>
  <si>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</si>
  <si>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</si>
  <si>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</si>
  <si>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</si>
  <si>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</si>
  <si>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</si>
  <si>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</si>
  <si>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</si>
  <si>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</si>
  <si>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</si>
  <si>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</si>
  <si>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</si>
  <si>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</si>
  <si>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</si>
  <si>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</si>
  <si>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</si>
  <si>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</si>
  <si>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</si>
  <si>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</si>
  <si>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</si>
  <si>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</si>
  <si>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</si>
  <si>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</si>
  <si>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</si>
  <si>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</si>
  <si>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</si>
  <si>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</si>
  <si>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</si>
  <si>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</si>
  <si>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</si>
  <si>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</si>
  <si>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</si>
  <si>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</si>
  <si>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</si>
  <si>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</si>
  <si>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</si>
  <si>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</si>
  <si>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</si>
  <si>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</si>
  <si>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</si>
  <si>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</si>
  <si>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</si>
  <si>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</si>
  <si>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</si>
  <si>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</si>
  <si>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</si>
  <si>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</si>
  <si>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</si>
  <si>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</si>
  <si>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</si>
  <si>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</si>
  <si>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</si>
  <si>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</si>
  <si>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</si>
  <si>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</si>
  <si>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</si>
  <si>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</si>
  <si>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</si>
  <si>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</si>
  <si>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</si>
  <si>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</si>
  <si>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</si>
  <si>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</si>
  <si>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</si>
  <si>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</si>
  <si>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</si>
  <si>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</si>
  <si>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</si>
  <si>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</si>
  <si>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</si>
  <si>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</si>
  <si>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</si>
  <si>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</si>
  <si>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</si>
  <si>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</si>
  <si>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</si>
  <si>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</si>
  <si>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</si>
  <si>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</si>
  <si>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</si>
  <si>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</si>
  <si>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</si>
  <si>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</si>
  <si>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</si>
  <si>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</si>
  <si>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</si>
  <si>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</si>
  <si>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</si>
  <si>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</si>
  <si>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</si>
  <si>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</si>
  <si>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</si>
  <si>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</si>
  <si>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</si>
  <si>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</si>
  <si>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</si>
  <si>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</si>
  <si>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</si>
  <si>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</si>
  <si>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</si>
  <si>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</si>
  <si>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</si>
  <si>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</si>
  <si>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</si>
  <si>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</si>
  <si>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</si>
  <si>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</si>
  <si>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</si>
  <si>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</si>
  <si>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</si>
  <si>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</si>
  <si>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</si>
  <si>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</si>
  <si>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</si>
  <si>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</si>
  <si>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</si>
  <si>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</si>
  <si>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</si>
  <si>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</si>
  <si>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</si>
  <si>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</si>
  <si>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</si>
  <si>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</si>
  <si>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</si>
  <si>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</si>
  <si>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</si>
  <si>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</si>
  <si>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</si>
  <si>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</si>
  <si>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</si>
  <si>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</si>
  <si>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</si>
  <si>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</si>
  <si>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</si>
  <si>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</si>
  <si>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</si>
  <si>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</si>
  <si>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</si>
  <si>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</si>
  <si>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</si>
  <si>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</si>
  <si>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</si>
  <si>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</si>
  <si>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</si>
  <si>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</si>
  <si>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</si>
  <si>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</si>
  <si>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</si>
  <si>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</si>
  <si>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</si>
  <si>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</si>
  <si>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</si>
  <si>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</si>
  <si>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</si>
  <si>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</si>
  <si>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</si>
  <si>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</si>
  <si>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</si>
  <si>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</si>
  <si>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</si>
  <si>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</si>
  <si>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</si>
  <si>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</si>
  <si>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</si>
  <si>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</si>
  <si>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</si>
  <si>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</si>
  <si>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</si>
  <si>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</si>
  <si>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</si>
  <si>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</si>
  <si>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</si>
  <si>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</si>
  <si>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</si>
  <si>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</si>
  <si>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</si>
  <si>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</si>
  <si>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</si>
  <si>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</si>
  <si>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</si>
  <si>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</si>
  <si>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</si>
  <si>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</si>
  <si>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</si>
  <si>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</si>
  <si>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</si>
  <si>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</si>
  <si>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</si>
  <si>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</si>
  <si>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</si>
  <si>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</si>
  <si>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</si>
  <si>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</si>
  <si>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</si>
  <si>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</si>
  <si>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</si>
  <si>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</si>
  <si>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</si>
  <si>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</si>
  <si>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</si>
  <si>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</si>
  <si>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</si>
  <si>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</si>
  <si>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</si>
  <si>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</si>
  <si>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</si>
  <si>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</si>
  <si>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</si>
  <si>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</si>
  <si>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</si>
  <si>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</si>
  <si>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</si>
  <si>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</si>
  <si>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</si>
  <si>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</si>
  <si>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</si>
  <si>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</si>
  <si>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</si>
  <si>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</si>
  <si>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</si>
  <si>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</si>
  <si>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</si>
  <si>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</si>
  <si>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</si>
  <si>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</si>
  <si>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</si>
  <si>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</si>
  <si>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</si>
  <si>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</si>
  <si>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</si>
  <si>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</si>
  <si>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</si>
  <si>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</si>
  <si>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</si>
  <si>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</si>
  <si>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</si>
  <si>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</si>
  <si>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</si>
  <si>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</si>
  <si>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</si>
  <si>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</si>
  <si>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</si>
  <si>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</si>
  <si>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</si>
  <si>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</si>
  <si>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</si>
  <si>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</si>
  <si>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</si>
  <si>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</si>
  <si>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</si>
  <si>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</si>
  <si>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</si>
  <si>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</si>
  <si>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</si>
  <si>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</si>
  <si>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</si>
  <si>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</si>
  <si>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</si>
  <si>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</si>
  <si>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</si>
  <si>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</si>
  <si>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</si>
  <si>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</si>
  <si>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</si>
  <si>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</si>
  <si>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</si>
  <si>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</si>
  <si>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</si>
  <si>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</si>
  <si>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</si>
  <si>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</si>
  <si>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</si>
  <si>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</si>
  <si>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</si>
  <si>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</si>
  <si>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</si>
  <si>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</si>
  <si>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</si>
  <si>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</si>
  <si>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</si>
  <si>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</si>
  <si>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</si>
  <si>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</si>
  <si>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</si>
  <si>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</si>
  <si>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</si>
  <si>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</si>
  <si>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</si>
  <si>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</si>
  <si>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</si>
  <si>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</si>
  <si>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</si>
  <si>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</si>
  <si>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</si>
  <si>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</si>
  <si>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</si>
  <si>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</si>
  <si>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</si>
  <si>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</si>
  <si>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</si>
  <si>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</si>
  <si>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</si>
  <si>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</si>
  <si>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</si>
  <si>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</si>
  <si>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</si>
  <si>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</si>
  <si>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</si>
  <si>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</si>
  <si>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</si>
  <si>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</si>
  <si>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</si>
  <si>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</si>
  <si>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</si>
  <si>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</si>
  <si>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</si>
  <si>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</si>
  <si>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</si>
  <si>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</si>
  <si>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</si>
  <si>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</si>
  <si>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</si>
  <si>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</si>
  <si>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</si>
  <si>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</si>
  <si>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</si>
  <si>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</si>
  <si>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</si>
  <si>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</si>
  <si>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</si>
  <si>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</si>
  <si>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</si>
  <si>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</si>
  <si>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</si>
  <si>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</si>
  <si>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</si>
  <si>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</si>
  <si>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</si>
  <si>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</si>
  <si>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</si>
  <si>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</si>
  <si>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</si>
  <si>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</si>
  <si>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</si>
  <si>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</si>
  <si>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</si>
  <si>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</si>
  <si>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</si>
  <si>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</si>
  <si>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</si>
  <si>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</si>
  <si>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</si>
  <si>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</si>
  <si>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</si>
  <si>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</si>
  <si>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</si>
  <si>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</si>
  <si>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</si>
  <si>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</si>
  <si>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</si>
  <si>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</si>
  <si>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</si>
  <si>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</si>
  <si>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</si>
  <si>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</si>
  <si>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</si>
  <si>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</si>
  <si>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</si>
  <si>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</si>
  <si>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</si>
  <si>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</si>
  <si>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</si>
  <si>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</si>
  <si>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</si>
  <si>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</si>
  <si>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</si>
  <si>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</si>
  <si>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</si>
  <si>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</si>
  <si>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</si>
  <si>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</si>
  <si>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</si>
  <si>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</si>
  <si>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</si>
  <si>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</si>
  <si>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</si>
  <si>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</si>
  <si>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</si>
  <si>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</si>
  <si>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</si>
  <si>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</si>
  <si>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</si>
  <si>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</si>
  <si>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</si>
  <si>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</si>
  <si>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</si>
  <si>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</si>
  <si>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</si>
  <si>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</si>
  <si>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</si>
  <si>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</si>
  <si>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</si>
  <si>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</si>
  <si>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</si>
  <si>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</si>
  <si>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</si>
  <si>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</si>
  <si>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</si>
  <si>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</si>
  <si>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</si>
  <si>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</si>
  <si>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</si>
  <si>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</si>
  <si>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</si>
  <si>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</si>
  <si>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</si>
  <si>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</si>
  <si>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</si>
  <si>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</si>
  <si>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</si>
  <si>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</si>
  <si>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</si>
  <si>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</si>
  <si>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</si>
  <si>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</si>
  <si>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</si>
  <si>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</si>
  <si>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</si>
  <si>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</si>
  <si>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</si>
  <si>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</si>
  <si>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</si>
  <si>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</si>
  <si>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</si>
  <si>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</si>
  <si>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</si>
  <si>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</si>
  <si>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</si>
  <si>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</si>
  <si>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</si>
  <si>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</si>
  <si>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</si>
  <si>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</si>
  <si>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</si>
  <si>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</si>
  <si>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</si>
  <si>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</si>
  <si>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</si>
  <si>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</si>
  <si>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</si>
  <si>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</si>
  <si>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</si>
  <si>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</si>
  <si>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</si>
  <si>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</si>
  <si>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</si>
  <si>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</si>
  <si>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</si>
  <si>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</si>
  <si>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</si>
  <si>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</si>
  <si>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</si>
  <si>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</si>
  <si>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</si>
  <si>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</si>
  <si>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</si>
  <si>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</si>
  <si>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</si>
  <si>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</si>
  <si>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</si>
  <si>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</si>
  <si>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</si>
  <si>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</si>
  <si>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</si>
  <si>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</si>
  <si>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</si>
  <si>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</si>
  <si>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</si>
  <si>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</si>
  <si>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</si>
  <si>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</si>
  <si>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</si>
  <si>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</si>
  <si>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</si>
  <si>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</si>
  <si>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</si>
  <si>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</si>
  <si>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</si>
  <si>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</si>
  <si>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</si>
  <si>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</si>
  <si>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</si>
  <si>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</si>
  <si>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</si>
  <si>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</si>
  <si>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</si>
  <si>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</si>
  <si>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</si>
  <si>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</si>
  <si>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</si>
  <si>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</si>
  <si>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</si>
  <si>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</si>
  <si>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</si>
  <si>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</si>
  <si>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</si>
  <si>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</si>
  <si>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</si>
  <si>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</si>
  <si>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</si>
  <si>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</si>
  <si>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</si>
  <si>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</si>
  <si>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</si>
  <si>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</si>
  <si>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</si>
  <si>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</si>
  <si>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</si>
  <si>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</si>
  <si>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</si>
  <si>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</si>
  <si>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</si>
  <si>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</si>
  <si>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</si>
  <si>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</si>
  <si>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</si>
  <si>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</si>
  <si>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</si>
  <si>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</si>
  <si>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</si>
  <si>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</si>
  <si>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</si>
  <si>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</si>
  <si>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</si>
  <si>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</si>
  <si>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</si>
  <si>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</si>
  <si>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</si>
  <si>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</si>
  <si>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</si>
  <si>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</si>
  <si>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</si>
  <si>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</si>
  <si>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</si>
  <si>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</si>
  <si>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</si>
  <si>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</si>
  <si>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</si>
  <si>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</si>
  <si>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</si>
  <si>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</si>
  <si>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</si>
  <si>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</si>
  <si>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</si>
  <si>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</si>
  <si>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</si>
  <si>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</si>
  <si>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</si>
  <si>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</si>
  <si>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</si>
  <si>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</si>
  <si>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</si>
  <si>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</si>
  <si>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</si>
  <si>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</si>
  <si>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</si>
  <si>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</si>
  <si>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</si>
  <si>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</si>
  <si>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</si>
  <si>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</si>
  <si>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</si>
  <si>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</si>
  <si>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</si>
  <si>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</si>
  <si>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</si>
  <si>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</si>
  <si>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</si>
  <si>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</si>
  <si>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</si>
  <si>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</si>
  <si>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</si>
  <si>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</si>
  <si>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</si>
  <si>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</si>
  <si>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</si>
  <si>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</si>
  <si>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</si>
  <si>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</si>
  <si>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</si>
  <si>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</si>
  <si>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</si>
  <si>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</si>
  <si>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</si>
  <si>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</si>
  <si>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</si>
  <si>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</si>
  <si>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</si>
  <si>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</si>
  <si>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</si>
  <si>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</si>
  <si>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</si>
  <si>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</si>
  <si>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</si>
  <si>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</si>
  <si>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</si>
  <si>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</si>
  <si>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</si>
  <si>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</si>
  <si>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</si>
  <si>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</si>
  <si>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</si>
  <si>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</si>
  <si>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</si>
  <si>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</si>
  <si>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</si>
  <si>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</si>
  <si>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</si>
  <si>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</si>
  <si>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</si>
  <si>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</si>
  <si>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</si>
  <si>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</si>
  <si>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</si>
  <si>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</si>
  <si>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</si>
  <si>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</si>
  <si>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</si>
  <si>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</si>
  <si>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</si>
  <si>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</si>
  <si>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</si>
  <si>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</si>
  <si>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</si>
  <si>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</si>
  <si>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</si>
  <si>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</si>
  <si>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</si>
  <si>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</si>
  <si>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</si>
  <si>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</si>
  <si>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</si>
  <si>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</si>
  <si>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</si>
  <si>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</si>
  <si>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</si>
  <si>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</si>
  <si>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</si>
  <si>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</si>
  <si>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</si>
  <si>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</si>
  <si>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</si>
  <si>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</si>
  <si>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</si>
  <si>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</si>
  <si>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</si>
  <si>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</si>
  <si>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</si>
  <si>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</si>
  <si>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</si>
  <si>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</si>
  <si>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</si>
  <si>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</si>
  <si>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</si>
  <si>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</si>
  <si>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</si>
  <si>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</si>
  <si>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</si>
  <si>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</si>
  <si>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</si>
  <si>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</si>
  <si>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</si>
  <si>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</si>
  <si>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</si>
  <si>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</si>
  <si>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</si>
  <si>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</si>
  <si>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</si>
  <si>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</si>
  <si>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</si>
  <si>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</si>
  <si>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</si>
  <si>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</si>
  <si>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</si>
  <si>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</si>
  <si>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</si>
  <si>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</si>
  <si>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</si>
  <si>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</si>
  <si>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</si>
  <si>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</si>
  <si>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</si>
  <si>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</si>
  <si>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</si>
  <si>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</si>
  <si>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</si>
  <si>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</si>
  <si>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</si>
  <si>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</si>
  <si>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</si>
  <si>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</si>
  <si>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</si>
  <si>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</si>
  <si>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</si>
  <si>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</si>
  <si>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</si>
  <si>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</si>
  <si>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</si>
  <si>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</si>
  <si>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</si>
  <si>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</si>
  <si>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</si>
  <si>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</si>
  <si>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</si>
  <si>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</si>
  <si>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</si>
  <si>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</si>
  <si>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</si>
  <si>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</si>
  <si>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</si>
  <si>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</si>
  <si>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</si>
  <si>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</si>
  <si>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</si>
  <si>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</si>
  <si>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</si>
  <si>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</si>
  <si>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</si>
  <si>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</si>
  <si>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</si>
  <si>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</si>
  <si>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</si>
  <si>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</si>
  <si>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</si>
  <si>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</si>
  <si>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</si>
  <si>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</si>
  <si>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</si>
  <si>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</si>
  <si>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</si>
  <si>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</si>
  <si>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</si>
  <si>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</si>
  <si>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</si>
  <si>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</si>
  <si>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</si>
  <si>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</si>
  <si>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</si>
  <si>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</si>
  <si>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</si>
  <si>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</si>
  <si>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</si>
  <si>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</si>
  <si>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</si>
  <si>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</si>
  <si>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</si>
  <si>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</si>
  <si>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</si>
  <si>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</si>
  <si>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</si>
  <si>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</si>
  <si>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</si>
  <si>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</si>
  <si>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</si>
  <si>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</si>
  <si>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</si>
  <si>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</si>
  <si>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</si>
  <si>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</si>
  <si>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</si>
  <si>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</si>
  <si>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</si>
  <si>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</si>
  <si>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</si>
  <si>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</si>
  <si>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</si>
  <si>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</si>
  <si>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</si>
  <si>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</si>
  <si>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</si>
  <si>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</si>
  <si>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</si>
  <si>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</si>
  <si>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</si>
  <si>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</si>
  <si>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</si>
  <si>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</si>
  <si>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</si>
  <si>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</si>
  <si>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</si>
  <si>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</si>
  <si>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</si>
  <si>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</si>
  <si>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</si>
  <si>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</si>
  <si>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</si>
  <si>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</si>
  <si>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</si>
  <si>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</si>
  <si>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</si>
  <si>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</si>
  <si>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</si>
  <si>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</si>
  <si>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</si>
  <si>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</si>
  <si>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</si>
  <si>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</si>
  <si>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</si>
  <si>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</si>
  <si>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</si>
  <si>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</si>
  <si>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</si>
  <si>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</si>
  <si>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</si>
  <si>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</si>
  <si>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</si>
  <si>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</si>
  <si>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</si>
  <si>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</si>
  <si>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</si>
  <si>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</si>
  <si>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</si>
  <si>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</si>
  <si>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</si>
  <si>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</si>
  <si>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</si>
  <si>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</si>
  <si>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</si>
  <si>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</si>
  <si>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</si>
  <si>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</si>
  <si>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</si>
  <si>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</si>
  <si>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</si>
  <si>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</si>
  <si>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</si>
  <si>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</si>
  <si>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</si>
  <si>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</si>
  <si>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</si>
  <si>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</si>
  <si>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</si>
  <si>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</si>
  <si>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</si>
  <si>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</si>
  <si>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</si>
  <si>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</si>
  <si>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</si>
  <si>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</si>
  <si>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</si>
  <si>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</si>
  <si>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</si>
  <si>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</si>
  <si>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</si>
  <si>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</si>
  <si>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</si>
  <si>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</si>
  <si>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</si>
  <si>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</si>
  <si>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</si>
  <si>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</si>
  <si>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</si>
  <si>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</si>
  <si>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</si>
  <si>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</si>
  <si>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</si>
  <si>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</si>
  <si>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</si>
  <si>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</si>
  <si>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</si>
  <si>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</si>
  <si>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</si>
  <si>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</si>
  <si>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</si>
  <si>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</si>
  <si>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</si>
  <si>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</si>
  <si>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</si>
  <si>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</si>
  <si>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</si>
  <si>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</si>
  <si>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</si>
  <si>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</si>
  <si>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</si>
  <si>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</si>
  <si>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</si>
  <si>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</si>
  <si>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</si>
  <si>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</si>
  <si>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</si>
  <si>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</si>
  <si>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</si>
  <si>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</si>
  <si>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</si>
  <si>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</si>
  <si>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</si>
  <si>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</si>
  <si>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</si>
  <si>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</si>
  <si>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</si>
  <si>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</si>
  <si>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</si>
  <si>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</si>
  <si>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</si>
  <si>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</si>
  <si>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</si>
  <si>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</si>
  <si>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</si>
  <si>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</si>
  <si>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</si>
  <si>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</si>
  <si>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</si>
  <si>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</si>
  <si>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</si>
  <si>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</si>
  <si>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</si>
  <si>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</si>
  <si>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</si>
  <si>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</si>
  <si>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</si>
  <si>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</si>
  <si>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</si>
  <si>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</si>
  <si>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</si>
  <si>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</si>
  <si>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</si>
  <si>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</si>
  <si>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</si>
  <si>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</si>
  <si>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</si>
  <si>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</si>
  <si>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</si>
  <si>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</si>
  <si>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</si>
  <si>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</si>
  <si>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</si>
  <si>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</si>
  <si>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</si>
  <si>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</si>
  <si>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</si>
  <si>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</si>
  <si>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</si>
  <si>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</si>
  <si>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</si>
  <si>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</si>
  <si>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</si>
  <si>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</si>
  <si>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</si>
  <si>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</si>
  <si>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</si>
  <si>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</si>
  <si>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</si>
  <si>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</si>
  <si>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</si>
  <si>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</si>
  <si>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</si>
  <si>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</si>
  <si>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</si>
  <si>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</si>
  <si>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</si>
  <si>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</si>
  <si>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</si>
  <si>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</si>
  <si>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</si>
  <si>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</si>
  <si>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</si>
  <si>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</si>
  <si>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</si>
  <si>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</si>
  <si>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</si>
  <si>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</si>
  <si>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</si>
  <si>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</si>
  <si>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</si>
  <si>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</si>
  <si>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</si>
  <si>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</si>
  <si>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</si>
  <si>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</si>
  <si>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</si>
  <si>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</si>
  <si>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</si>
  <si>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</si>
  <si>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</si>
  <si>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</si>
  <si>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</si>
  <si>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</si>
  <si>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</si>
  <si>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</si>
  <si>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</si>
  <si>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</si>
  <si>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</si>
  <si>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</si>
  <si>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</si>
  <si>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</si>
  <si>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</si>
  <si>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</si>
  <si>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</si>
  <si>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</si>
  <si>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</si>
  <si>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</si>
  <si>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</si>
  <si>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</si>
  <si>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</si>
  <si>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</si>
  <si>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</si>
  <si>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</si>
  <si>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</si>
  <si>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</si>
  <si>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</si>
  <si>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</si>
  <si>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</si>
  <si>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</si>
  <si>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</si>
  <si>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</si>
  <si>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</si>
  <si>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</si>
  <si>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</si>
  <si>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</si>
  <si>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</si>
  <si>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</si>
  <si>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</si>
  <si>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</si>
  <si>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</si>
  <si>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</si>
  <si>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</si>
  <si>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</si>
  <si>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</si>
  <si>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</si>
  <si>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</si>
  <si>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</si>
  <si>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</si>
  <si>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</si>
  <si>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</si>
  <si>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</si>
  <si>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</si>
  <si>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</si>
  <si>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</si>
  <si>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</si>
  <si>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</si>
  <si>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</si>
  <si>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</si>
  <si>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</si>
  <si>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</si>
  <si>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</si>
  <si>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</si>
  <si>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</si>
  <si>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</si>
  <si>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</si>
  <si>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</si>
  <si>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</si>
  <si>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</si>
  <si>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</si>
  <si>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</si>
  <si>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</si>
  <si>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</si>
  <si>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</si>
  <si>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</si>
  <si>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</si>
  <si>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</si>
  <si>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</si>
  <si>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</si>
  <si>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</si>
  <si>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</si>
  <si>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</si>
  <si>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</si>
  <si>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</si>
  <si>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</si>
  <si>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</si>
  <si>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</si>
  <si>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</si>
  <si>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</si>
  <si>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</si>
  <si>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</si>
  <si>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</si>
  <si>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</si>
  <si>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</si>
  <si>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</si>
  <si>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</si>
  <si>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</si>
  <si>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</si>
  <si>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</si>
  <si>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</si>
  <si>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</si>
  <si>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</si>
  <si>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</si>
  <si>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</si>
  <si>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</si>
  <si>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</si>
  <si>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</si>
  <si>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</si>
  <si>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</si>
  <si>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</si>
  <si>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</si>
  <si>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</si>
  <si>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</si>
  <si>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</si>
  <si>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</si>
  <si>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</si>
  <si>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</si>
  <si>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</si>
  <si>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</si>
  <si>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</si>
  <si>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</si>
  <si>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</si>
  <si>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</si>
  <si>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</si>
  <si>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</si>
  <si>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</si>
  <si>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</si>
  <si>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</si>
  <si>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</si>
  <si>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</si>
  <si>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</si>
  <si>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</si>
  <si>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</si>
  <si>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</si>
  <si>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</si>
  <si>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</si>
  <si>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</si>
  <si>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</si>
  <si>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</si>
  <si>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</si>
  <si>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</si>
  <si>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</si>
  <si>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</si>
  <si>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</si>
  <si>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</si>
  <si>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</si>
  <si>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</si>
  <si>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</si>
  <si>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</si>
  <si>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</si>
  <si>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</si>
  <si>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</si>
  <si>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</si>
  <si>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</si>
  <si>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</si>
  <si>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</si>
  <si>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</si>
  <si>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</si>
  <si>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</si>
  <si>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</si>
  <si>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</si>
  <si>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</si>
  <si>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</si>
  <si>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</si>
  <si>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</si>
  <si>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</si>
  <si>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</si>
  <si>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</si>
  <si>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</si>
  <si>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</si>
  <si>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</si>
  <si>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</si>
  <si>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</si>
  <si>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</si>
  <si>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</si>
  <si>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</si>
  <si>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</si>
  <si>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</si>
  <si>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</si>
  <si>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</si>
  <si>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</si>
  <si>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</si>
  <si>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</si>
  <si>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</si>
  <si>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</si>
  <si>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</si>
  <si>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</si>
  <si>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</si>
  <si>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</si>
  <si>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</si>
  <si>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</si>
  <si>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</si>
  <si>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</si>
  <si>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</si>
  <si>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</si>
  <si>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</si>
  <si>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</si>
  <si>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</si>
  <si>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</si>
  <si>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</si>
  <si>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</si>
  <si>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</si>
  <si>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</si>
  <si>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</si>
  <si>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</si>
  <si>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</si>
  <si>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</si>
  <si>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</si>
  <si>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</si>
  <si>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</si>
  <si>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</si>
  <si>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</si>
  <si>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</si>
  <si>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</si>
  <si>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</si>
  <si>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</si>
  <si>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</si>
  <si>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</si>
  <si>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</si>
  <si>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</si>
  <si>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</si>
  <si>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</si>
  <si>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</si>
  <si>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</si>
  <si>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</si>
  <si>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</si>
  <si>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</si>
  <si>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</si>
  <si>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</si>
  <si>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</si>
  <si>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</si>
  <si>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</si>
  <si>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</si>
  <si>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</si>
  <si>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</si>
  <si>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</si>
  <si>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</si>
  <si>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</si>
  <si>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</si>
  <si>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</si>
  <si>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</si>
  <si>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</si>
  <si>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</si>
  <si>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</si>
  <si>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</si>
  <si>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</si>
  <si>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</si>
  <si>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</si>
  <si>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</si>
  <si>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</si>
  <si>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</si>
  <si>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</si>
  <si>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</si>
  <si>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</si>
  <si>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</si>
  <si>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</si>
  <si>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</si>
  <si>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</si>
  <si>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</si>
  <si>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</si>
  <si>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</si>
  <si>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</si>
  <si>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</si>
  <si>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</si>
  <si>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</si>
  <si>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</si>
  <si>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</si>
  <si>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</si>
  <si>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</si>
  <si>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</si>
  <si>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</si>
  <si>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</si>
  <si>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</si>
  <si>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</si>
  <si>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</si>
  <si>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</si>
  <si>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</si>
  <si>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</si>
  <si>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</si>
  <si>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</si>
  <si>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</si>
  <si>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</si>
  <si>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</si>
  <si>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</si>
  <si>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</si>
  <si>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</si>
  <si>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</si>
  <si>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</si>
  <si>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</si>
  <si>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</si>
  <si>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</si>
  <si>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</si>
  <si>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</si>
  <si>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</si>
  <si>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</si>
  <si>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</si>
  <si>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</si>
  <si>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</si>
  <si>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</si>
  <si>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</si>
  <si>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</si>
  <si>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</si>
  <si>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</si>
  <si>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</si>
  <si>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</si>
  <si>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</si>
  <si>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</si>
  <si>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</si>
  <si>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</si>
  <si>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</si>
  <si>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</si>
  <si>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</si>
  <si>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</si>
  <si>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</si>
  <si>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</si>
  <si>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</si>
  <si>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</si>
  <si>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</si>
  <si>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</si>
  <si>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</si>
  <si>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</si>
  <si>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</si>
  <si>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</si>
  <si>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</si>
  <si>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</si>
  <si>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</si>
  <si>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</si>
  <si>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</si>
  <si>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</si>
  <si>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</si>
  <si>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</si>
  <si>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</si>
  <si>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</si>
  <si>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</si>
  <si>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</si>
  <si>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</si>
  <si>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</si>
  <si>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</si>
  <si>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</si>
  <si>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</si>
  <si>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</si>
  <si>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</si>
  <si>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</si>
  <si>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</si>
  <si>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</si>
  <si>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</si>
  <si>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</si>
  <si>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</si>
  <si>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</si>
  <si>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</si>
  <si>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</si>
  <si>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</si>
  <si>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</si>
  <si>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</si>
  <si>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</si>
  <si>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</si>
  <si>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</si>
  <si>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</si>
  <si>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</si>
  <si>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</si>
  <si>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</si>
  <si>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</si>
  <si>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</si>
  <si>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</si>
  <si>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</si>
  <si>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</si>
  <si>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</si>
  <si>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</si>
  <si>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</si>
  <si>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</si>
  <si>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</si>
  <si>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</si>
  <si>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</si>
  <si>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</si>
  <si>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</si>
  <si>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</si>
  <si>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</si>
  <si>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</si>
  <si>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</si>
  <si>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</si>
  <si>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</si>
  <si>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</si>
  <si>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</si>
  <si>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</si>
  <si>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</si>
  <si>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</si>
  <si>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</si>
  <si>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</si>
  <si>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</si>
  <si>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</si>
  <si>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</si>
  <si>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</si>
  <si>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</si>
  <si>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</si>
  <si>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</si>
  <si>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</si>
  <si>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</si>
  <si>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</si>
  <si>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</si>
  <si>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</si>
  <si>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</si>
  <si>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</si>
  <si>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</si>
  <si>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</si>
  <si>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</si>
  <si>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</si>
  <si>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</si>
  <si>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</si>
  <si>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</si>
  <si>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</si>
  <si>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</si>
  <si>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</si>
  <si>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</si>
  <si>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</si>
  <si>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</si>
  <si>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</si>
  <si>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</si>
  <si>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</si>
  <si>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</si>
  <si>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</si>
  <si>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</si>
  <si>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</si>
  <si>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</si>
  <si>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</si>
  <si>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</si>
  <si>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</si>
  <si>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</si>
  <si>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</si>
  <si>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</si>
  <si>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</si>
  <si>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</si>
  <si>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</si>
  <si>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</si>
  <si>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</si>
  <si>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</si>
  <si>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</si>
  <si>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</si>
  <si>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</si>
  <si>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</si>
  <si>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</si>
  <si>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</si>
  <si>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</si>
  <si>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</si>
  <si>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</si>
  <si>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</si>
  <si>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</si>
  <si>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</si>
  <si>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</si>
  <si>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</si>
  <si>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</si>
  <si>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</si>
  <si>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</si>
  <si>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</si>
  <si>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</si>
  <si>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</si>
  <si>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</si>
  <si>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</si>
  <si>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</si>
  <si>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</si>
  <si>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</si>
  <si>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</si>
  <si>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</si>
  <si>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</si>
  <si>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</si>
  <si>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</si>
  <si>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</si>
  <si>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</si>
  <si>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</si>
  <si>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</si>
  <si>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</si>
  <si>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</si>
  <si>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</si>
  <si>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</si>
  <si>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</si>
  <si>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</si>
  <si>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</si>
  <si>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</si>
  <si>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</si>
  <si>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</si>
  <si>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</si>
  <si>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</si>
  <si>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</si>
  <si>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</si>
  <si>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</si>
  <si>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</si>
  <si>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</si>
  <si>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</si>
  <si>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</si>
  <si>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</si>
  <si>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</si>
  <si>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</si>
  <si>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</si>
  <si>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</si>
  <si>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</si>
  <si>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</si>
  <si>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</si>
  <si>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</si>
  <si>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</si>
  <si>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</si>
  <si>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</si>
  <si>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</si>
  <si>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</si>
  <si>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</si>
  <si>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</si>
  <si>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</si>
  <si>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</si>
  <si>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</si>
  <si>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</si>
  <si>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</si>
  <si>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</si>
  <si>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</si>
  <si>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</si>
  <si>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</si>
  <si>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</si>
  <si>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</si>
  <si>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</si>
  <si>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</si>
  <si>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</si>
  <si>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</si>
  <si>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</si>
  <si>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</si>
  <si>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</si>
  <si>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</si>
  <si>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</si>
  <si>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</si>
  <si>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</si>
  <si>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</si>
  <si>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</si>
  <si>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</si>
  <si>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</si>
  <si>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</si>
  <si>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</si>
  <si>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</si>
  <si>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</si>
  <si>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</si>
  <si>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</si>
  <si>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</si>
  <si>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</si>
  <si>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</si>
  <si>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</si>
  <si>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</si>
  <si>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</si>
  <si>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</si>
  <si>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</si>
  <si>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</si>
  <si>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</si>
  <si>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</si>
  <si>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</si>
  <si>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</si>
  <si>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</si>
  <si>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</si>
  <si>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</si>
  <si>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</si>
  <si>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</si>
  <si>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</si>
  <si>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</si>
  <si>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</si>
  <si>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</si>
  <si>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</si>
  <si>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</si>
  <si>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</si>
  <si>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</si>
  <si>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</si>
  <si>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</si>
  <si>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</si>
  <si>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</si>
  <si>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</si>
  <si>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</si>
  <si>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</si>
  <si>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</si>
  <si>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</si>
  <si>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</si>
  <si>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</si>
  <si>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</si>
  <si>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</si>
  <si>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</si>
  <si>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</si>
  <si>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</si>
  <si>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</si>
  <si>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</si>
  <si>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</si>
  <si>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</si>
  <si>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</si>
  <si>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</si>
  <si>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</si>
  <si>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</si>
  <si>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</si>
  <si>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</si>
  <si>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</si>
  <si>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</si>
  <si>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</si>
  <si>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</si>
  <si>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</si>
  <si>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</si>
  <si>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</si>
  <si>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</si>
  <si>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</si>
  <si>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</si>
  <si>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</si>
  <si>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</si>
  <si>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</si>
  <si>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</si>
  <si>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</si>
  <si>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</si>
  <si>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</si>
  <si>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</si>
  <si>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</si>
  <si>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</si>
  <si>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</si>
  <si>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</si>
  <si>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</si>
  <si>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</si>
  <si>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</si>
  <si>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</si>
  <si>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</si>
  <si>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</si>
  <si>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</si>
  <si>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</si>
  <si>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</si>
  <si>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</si>
  <si>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</si>
  <si>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</si>
  <si>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</si>
  <si>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</si>
  <si>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</si>
  <si>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</si>
  <si>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</si>
  <si>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</si>
  <si>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</si>
  <si>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</si>
  <si>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</si>
  <si>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</si>
  <si>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</si>
  <si>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</si>
  <si>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</si>
  <si>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</si>
  <si>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</si>
  <si>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</si>
  <si>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</si>
  <si>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</si>
  <si>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</si>
  <si>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</si>
  <si>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</si>
  <si>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</si>
  <si>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</si>
  <si>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</si>
  <si>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</si>
  <si>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</si>
  <si>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</si>
  <si>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</si>
  <si>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</si>
  <si>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</si>
  <si>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</si>
  <si>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</si>
  <si>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</si>
  <si>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</si>
  <si>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</si>
  <si>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</si>
  <si>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</si>
  <si>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</si>
  <si>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</si>
  <si>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</si>
  <si>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</si>
  <si>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</si>
  <si>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</si>
  <si>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</si>
  <si>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</si>
  <si>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</si>
  <si>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</si>
  <si>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</si>
  <si>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</si>
  <si>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</si>
  <si>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</si>
  <si>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</si>
  <si>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</si>
  <si>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</si>
  <si>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</si>
  <si>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</si>
  <si>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</si>
  <si>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</si>
  <si>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</si>
  <si>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</si>
  <si>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</si>
  <si>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</si>
  <si>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</si>
  <si>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</si>
  <si>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</si>
  <si>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</si>
  <si>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</si>
  <si>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</si>
  <si>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</si>
  <si>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</si>
  <si>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</si>
  <si>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</si>
  <si>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</si>
  <si>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</si>
  <si>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</si>
  <si>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</si>
  <si>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</si>
  <si>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</si>
  <si>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</si>
  <si>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</si>
  <si>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</si>
  <si>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</si>
  <si>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</si>
  <si>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</si>
  <si>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</si>
  <si>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</si>
  <si>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</si>
  <si>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</si>
  <si>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</si>
  <si>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</si>
  <si>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</si>
  <si>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</si>
  <si>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</si>
  <si>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</si>
  <si>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</si>
  <si>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</si>
  <si>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</si>
  <si>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</si>
  <si>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</si>
  <si>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</si>
  <si>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</si>
  <si>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</si>
  <si>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</si>
  <si>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</si>
  <si>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</si>
  <si>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</si>
  <si>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</si>
  <si>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</si>
  <si>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</si>
  <si>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</si>
  <si>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</si>
  <si>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</si>
  <si>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</si>
  <si>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</si>
  <si>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</si>
  <si>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</si>
  <si>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</si>
  <si>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</si>
  <si>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</si>
  <si>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</si>
  <si>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</si>
  <si>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</si>
  <si>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</si>
  <si>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</si>
  <si>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</si>
  <si>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</si>
  <si>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</si>
  <si>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</si>
  <si>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</si>
  <si>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</si>
  <si>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</si>
  <si>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</si>
  <si>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</si>
  <si>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</si>
  <si>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</si>
  <si>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</si>
  <si>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</si>
  <si>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</si>
  <si>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</si>
  <si>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</si>
  <si>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</si>
  <si>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</si>
  <si>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</si>
  <si>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</si>
  <si>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</si>
  <si>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</si>
  <si>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</si>
  <si>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</si>
  <si>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</si>
  <si>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</si>
  <si>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</si>
  <si>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</si>
  <si>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</si>
  <si>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</si>
  <si>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</si>
  <si>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</si>
  <si>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</si>
  <si>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</si>
  <si>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</si>
  <si>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</si>
  <si>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</si>
  <si>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</si>
  <si>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</si>
  <si>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</si>
  <si>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</si>
  <si>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</si>
  <si>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</si>
  <si>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</si>
  <si>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</si>
  <si>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</si>
  <si>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</si>
  <si>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</si>
  <si>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</si>
  <si>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</si>
  <si>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</si>
  <si>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</si>
  <si>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</si>
  <si>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</si>
  <si>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</si>
  <si>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</si>
  <si>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</si>
  <si>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</si>
  <si>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</si>
  <si>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</si>
  <si>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</si>
  <si>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</si>
  <si>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</si>
  <si>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</si>
  <si>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</si>
  <si>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</si>
  <si>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</si>
  <si>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</si>
  <si>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</si>
  <si>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</si>
  <si>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</si>
  <si>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</si>
  <si>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</si>
  <si>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</si>
  <si>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</si>
  <si>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</si>
  <si>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</si>
  <si>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</si>
  <si>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</si>
  <si>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</si>
  <si>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</si>
  <si>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</si>
  <si>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</si>
  <si>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</si>
  <si>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</si>
  <si>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</si>
  <si>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</si>
  <si>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</si>
  <si>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</si>
  <si>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</si>
  <si>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</si>
  <si>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</si>
  <si>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</si>
  <si>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</si>
  <si>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</si>
  <si>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</si>
  <si>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</si>
  <si>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</si>
  <si>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</si>
  <si>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</si>
  <si>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</si>
  <si>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</si>
  <si>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</si>
  <si>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</si>
  <si>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</si>
  <si>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</si>
  <si>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</si>
  <si>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</si>
  <si>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</si>
  <si>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</si>
  <si>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</si>
  <si>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</si>
  <si>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</si>
  <si>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</si>
  <si>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</si>
  <si>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</si>
  <si>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</si>
  <si>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</si>
  <si>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</si>
  <si>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</si>
  <si>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</si>
  <si>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</si>
  <si>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</si>
  <si>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</si>
  <si>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</si>
  <si>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</si>
  <si>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</si>
  <si>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</si>
  <si>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</si>
  <si>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</si>
  <si>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</si>
  <si>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</si>
  <si>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</si>
  <si>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</si>
  <si>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</si>
  <si>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</si>
  <si>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</si>
  <si>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</si>
  <si>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</si>
  <si>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</si>
  <si>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</si>
  <si>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</si>
  <si>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</si>
  <si>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</si>
  <si>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</si>
  <si>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</si>
  <si>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</si>
  <si>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</si>
  <si>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</si>
  <si>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</si>
  <si>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</si>
  <si>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</si>
  <si>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</si>
  <si>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</si>
  <si>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</si>
  <si>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</si>
  <si>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</si>
  <si>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</si>
  <si>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</si>
  <si>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</si>
  <si>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</si>
  <si>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</si>
  <si>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</si>
  <si>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</si>
  <si>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</si>
  <si>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</si>
  <si>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</si>
  <si>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</si>
  <si>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</si>
  <si>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</si>
  <si>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</si>
  <si>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</si>
  <si>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</si>
  <si>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</si>
  <si>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</si>
  <si>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</si>
  <si>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</si>
  <si>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</si>
  <si>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</si>
  <si>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</si>
  <si>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</si>
  <si>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</si>
  <si>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</si>
  <si>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</si>
  <si>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</si>
  <si>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</si>
  <si>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</si>
  <si>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</si>
  <si>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</si>
  <si>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</si>
  <si>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</si>
  <si>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</si>
  <si>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</si>
  <si>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</si>
  <si>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</si>
  <si>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</si>
  <si>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</si>
  <si>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</si>
  <si>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</si>
  <si>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</si>
  <si>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</si>
  <si>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</si>
  <si>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</si>
  <si>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</si>
  <si>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</si>
  <si>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</si>
  <si>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</si>
  <si>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</si>
  <si>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</si>
  <si>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</si>
  <si>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</si>
  <si>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</si>
  <si>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</si>
  <si>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</si>
  <si>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</si>
  <si>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</si>
  <si>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</si>
  <si>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</si>
  <si>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</si>
  <si>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</si>
  <si>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</si>
  <si>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</si>
  <si>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</si>
  <si>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</si>
  <si>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</si>
  <si>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</si>
  <si>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</si>
  <si>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</si>
  <si>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</si>
  <si>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</si>
  <si>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</si>
  <si>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</si>
  <si>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</si>
  <si>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</si>
  <si>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</si>
  <si>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</si>
  <si>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</si>
  <si>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</si>
  <si>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</si>
  <si>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</si>
  <si>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</si>
  <si>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</si>
  <si>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</si>
  <si>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</si>
  <si>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</si>
  <si>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</si>
  <si>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</si>
  <si>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</si>
  <si>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</si>
  <si>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</si>
  <si>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</si>
  <si>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</si>
  <si>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</si>
  <si>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</si>
  <si>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</si>
  <si>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</si>
  <si>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</si>
  <si>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</si>
  <si>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</si>
  <si>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</si>
  <si>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</si>
  <si>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</si>
  <si>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</si>
  <si>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</si>
  <si>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</si>
  <si>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</si>
  <si>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</si>
  <si>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</si>
  <si>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</si>
  <si>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</si>
  <si>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</si>
  <si>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</si>
  <si>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</si>
  <si>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</si>
  <si>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</si>
  <si>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</si>
  <si>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</si>
  <si>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</si>
  <si>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</si>
  <si>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</si>
  <si>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</si>
  <si>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</si>
  <si>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</si>
  <si>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</si>
  <si>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</si>
  <si>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</si>
  <si>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</si>
  <si>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</si>
  <si>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</si>
  <si>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</si>
  <si>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</si>
  <si>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</si>
  <si>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</si>
  <si>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</si>
  <si>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</si>
  <si>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</si>
  <si>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</si>
  <si>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</si>
  <si>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</si>
  <si>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</si>
  <si>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</si>
  <si>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</si>
  <si>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</si>
  <si>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</si>
  <si>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</si>
  <si>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</si>
  <si>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</si>
  <si>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</si>
  <si>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</si>
  <si>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</si>
  <si>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</si>
  <si>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</si>
  <si>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</si>
  <si>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</si>
  <si>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</si>
  <si>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</si>
  <si>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</si>
  <si>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</si>
  <si>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</si>
  <si>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</si>
  <si>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</si>
  <si>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</si>
  <si>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</si>
  <si>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</si>
  <si>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</si>
  <si>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</si>
  <si>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</si>
  <si>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</si>
  <si>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</si>
  <si>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</si>
  <si>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</si>
  <si>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</si>
  <si>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</si>
  <si>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</si>
  <si>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</si>
  <si>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</si>
  <si>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</si>
  <si>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</si>
  <si>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</si>
  <si>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</si>
  <si>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</si>
  <si>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</si>
  <si>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</si>
  <si>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</si>
  <si>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</si>
  <si>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</si>
  <si>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</si>
  <si>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</si>
  <si>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</si>
  <si>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</si>
  <si>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</si>
  <si>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</si>
  <si>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</si>
  <si>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</si>
  <si>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</si>
  <si>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</si>
  <si>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</si>
  <si>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</si>
  <si>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</si>
  <si>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</si>
  <si>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</si>
  <si>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</si>
  <si>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</si>
  <si>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</si>
  <si>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</si>
  <si>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</si>
  <si>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</si>
  <si>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</si>
  <si>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</si>
  <si>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</si>
  <si>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</si>
  <si>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</si>
  <si>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</si>
  <si>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</si>
  <si>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</si>
  <si>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</si>
  <si>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</si>
  <si>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</si>
  <si>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</si>
  <si>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</si>
  <si>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</si>
  <si>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</si>
  <si>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</si>
  <si>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</si>
  <si>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</si>
  <si>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</si>
  <si>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</si>
  <si>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</si>
  <si>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</si>
  <si>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</si>
  <si>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</si>
  <si>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</si>
  <si>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</si>
  <si>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</si>
  <si>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</si>
  <si>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</si>
  <si>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</si>
  <si>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</si>
  <si>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</si>
  <si>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</si>
  <si>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</si>
  <si>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</si>
  <si>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</si>
  <si>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</si>
  <si>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</si>
  <si>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</si>
  <si>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</si>
  <si>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</si>
  <si>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</si>
  <si>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</si>
  <si>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</si>
  <si>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</si>
  <si>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</si>
  <si>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</si>
  <si>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</si>
  <si>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</si>
  <si>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</si>
  <si>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</si>
  <si>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</si>
  <si>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</si>
  <si>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</si>
  <si>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</si>
  <si>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</si>
  <si>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</si>
  <si>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</si>
  <si>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</si>
  <si>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</si>
  <si>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</si>
  <si>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</si>
  <si>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</si>
  <si>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</si>
  <si>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</si>
  <si>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</si>
  <si>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</si>
  <si>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</si>
  <si>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</si>
  <si>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</si>
  <si>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</si>
  <si>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</si>
  <si>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</si>
  <si>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</si>
  <si>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</si>
  <si>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</si>
  <si>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</si>
  <si>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</si>
  <si>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</si>
  <si>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</si>
  <si>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</si>
  <si>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</si>
  <si>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</si>
  <si>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</si>
  <si>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</si>
  <si>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</si>
  <si>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</si>
  <si>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</si>
  <si>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</si>
  <si>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</si>
  <si>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</si>
  <si>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</si>
  <si>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</si>
  <si>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</si>
  <si>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</si>
  <si>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</si>
  <si>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</si>
  <si>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</si>
  <si>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</si>
  <si>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</si>
  <si>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</si>
  <si>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</si>
  <si>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</si>
  <si>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</si>
  <si>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</si>
  <si>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</si>
  <si>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</si>
  <si>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</si>
  <si>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</si>
  <si>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</si>
  <si>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</si>
  <si>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</si>
  <si>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</si>
  <si>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</si>
  <si>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</si>
  <si>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</si>
  <si>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</si>
  <si>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</si>
  <si>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</si>
  <si>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</si>
  <si>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</si>
  <si>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</si>
  <si>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</si>
  <si>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</si>
  <si>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</si>
  <si>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</si>
  <si>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</si>
  <si>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</si>
  <si>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</si>
  <si>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</si>
  <si>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</si>
  <si>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</si>
  <si>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</si>
  <si>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</si>
  <si>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</si>
  <si>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</si>
  <si>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</si>
  <si>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</si>
  <si>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</si>
  <si>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</si>
  <si>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</si>
  <si>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</si>
  <si>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</si>
  <si>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</si>
  <si>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</si>
  <si>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</si>
  <si>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</si>
  <si>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</si>
  <si>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</si>
  <si>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</si>
  <si>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</si>
  <si>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</si>
  <si>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</si>
  <si>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</si>
  <si>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</si>
  <si>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</si>
  <si>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</si>
  <si>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</si>
  <si>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</si>
  <si>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</si>
  <si>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</si>
  <si>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</si>
  <si>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</si>
  <si>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</si>
  <si>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</si>
  <si>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</si>
  <si>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</si>
  <si>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</si>
  <si>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</si>
  <si>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</si>
  <si>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</si>
  <si>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</si>
  <si>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</si>
  <si>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</si>
  <si>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</si>
  <si>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</si>
  <si>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</si>
  <si>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</si>
  <si>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</si>
  <si>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</si>
  <si>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</si>
  <si>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</si>
  <si>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</si>
  <si>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</si>
  <si>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</si>
  <si>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</si>
  <si>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</si>
  <si>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</si>
  <si>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</si>
  <si>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</si>
  <si>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</si>
  <si>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</si>
  <si>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</si>
  <si>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</si>
  <si>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</si>
  <si>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</si>
  <si>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</si>
  <si>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</si>
  <si>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</si>
  <si>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</si>
  <si>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</si>
  <si>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</si>
  <si>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</si>
  <si>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</si>
  <si>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</si>
  <si>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</si>
  <si>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</si>
  <si>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</si>
  <si>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</si>
  <si>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</si>
  <si>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</si>
  <si>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</si>
  <si>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</si>
  <si>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</si>
  <si>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</si>
  <si>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</si>
  <si>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</si>
  <si>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</si>
  <si>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</si>
  <si>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</si>
  <si>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</si>
  <si>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</si>
  <si>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</si>
  <si>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</si>
  <si>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</si>
  <si>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</si>
  <si>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</si>
  <si>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</si>
  <si>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</si>
  <si>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</si>
  <si>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</si>
  <si>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</si>
  <si>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</si>
  <si>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</si>
  <si>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</si>
  <si>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</si>
  <si>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</si>
  <si>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</si>
  <si>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</si>
  <si>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</si>
  <si>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</si>
  <si>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</si>
  <si>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</si>
  <si>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</si>
  <si>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</si>
  <si>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</si>
  <si>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</si>
  <si>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</si>
  <si>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</si>
  <si>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</si>
  <si>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</si>
  <si>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</si>
  <si>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</si>
  <si>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</si>
  <si>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</si>
  <si>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</si>
  <si>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</si>
  <si>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</si>
  <si>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</si>
  <si>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</si>
  <si>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</si>
  <si>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</si>
  <si>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</si>
  <si>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</si>
  <si>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</si>
  <si>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</si>
  <si>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</si>
  <si>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</si>
  <si>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</si>
  <si>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</si>
  <si>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</si>
  <si>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</si>
  <si>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</si>
  <si>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</si>
  <si>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</si>
  <si>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</si>
  <si>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</si>
  <si>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</si>
  <si>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</si>
  <si>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</si>
  <si>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</si>
  <si>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</si>
  <si>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</si>
  <si>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</si>
  <si>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</si>
  <si>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</si>
  <si>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</si>
  <si>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</si>
  <si>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</si>
  <si>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</si>
  <si>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</si>
  <si>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</si>
  <si>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</si>
  <si>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</si>
  <si>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</si>
  <si>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</si>
  <si>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</si>
  <si>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</si>
  <si>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</si>
  <si>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</si>
  <si>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</si>
  <si>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</si>
  <si>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</si>
  <si>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</si>
  <si>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</si>
  <si>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</si>
  <si>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</si>
  <si>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</si>
  <si>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</si>
  <si>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</si>
  <si>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</si>
  <si>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</si>
  <si>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</si>
  <si>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</si>
  <si>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</si>
  <si>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</si>
  <si>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</si>
  <si>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</si>
  <si>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</si>
  <si>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</si>
  <si>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</si>
  <si>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</si>
  <si>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</si>
  <si>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</si>
  <si>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</si>
  <si>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</si>
  <si>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</si>
  <si>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</si>
  <si>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</si>
  <si>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</si>
  <si>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</si>
  <si>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</si>
  <si>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</si>
  <si>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</si>
  <si>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</si>
  <si>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</si>
  <si>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</si>
  <si>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</si>
  <si>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</si>
  <si>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</si>
  <si>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</si>
  <si>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</si>
  <si>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</si>
  <si>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</si>
  <si>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</si>
  <si>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</si>
  <si>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</si>
  <si>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</si>
  <si>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</si>
  <si>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</si>
  <si>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</si>
  <si>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</si>
  <si>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</si>
  <si>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</si>
  <si>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</si>
  <si>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</si>
  <si>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</si>
  <si>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</si>
  <si>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</si>
  <si>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</si>
  <si>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</si>
  <si>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</si>
  <si>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</si>
  <si>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</si>
  <si>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</si>
  <si>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</si>
  <si>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</si>
  <si>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</si>
  <si>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</si>
  <si>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</si>
  <si>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</si>
  <si>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</si>
  <si>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</si>
  <si>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</si>
  <si>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</si>
  <si>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</si>
  <si>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</si>
  <si>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</si>
  <si>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</si>
  <si>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</si>
  <si>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</si>
  <si>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</si>
  <si>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</si>
  <si>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</si>
  <si>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</si>
  <si>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</si>
  <si>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</si>
  <si>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</si>
  <si>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</si>
  <si>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</si>
  <si>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</si>
  <si>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</si>
  <si>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</si>
  <si>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</si>
  <si>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</si>
  <si>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</si>
  <si>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</si>
  <si>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</si>
  <si>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</si>
  <si>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</si>
  <si>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</si>
  <si>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</si>
  <si>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</si>
  <si>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</si>
  <si>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</si>
  <si>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</si>
  <si>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</si>
  <si>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</si>
  <si>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</si>
  <si>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</si>
  <si>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</si>
  <si>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</si>
  <si>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</si>
  <si>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</si>
  <si>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</si>
  <si>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</si>
  <si>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</si>
  <si>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</si>
  <si>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</si>
  <si>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</si>
  <si>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</si>
  <si>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</si>
  <si>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</si>
  <si>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</si>
  <si>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</si>
  <si>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</si>
  <si>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</si>
  <si>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</si>
  <si>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</si>
  <si>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</si>
  <si>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</si>
  <si>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</si>
  <si>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</si>
  <si>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</si>
  <si>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</si>
  <si>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</si>
  <si>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</si>
  <si>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</si>
  <si>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</si>
  <si>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</si>
  <si>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</si>
  <si>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</si>
  <si>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</si>
  <si>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</si>
  <si>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</si>
  <si>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</si>
  <si>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</si>
  <si>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</si>
  <si>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</si>
  <si>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</si>
  <si>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</si>
  <si>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</si>
  <si>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</si>
  <si>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</si>
  <si>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</si>
  <si>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</si>
  <si>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</si>
  <si>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</si>
  <si>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</si>
  <si>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</si>
  <si>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</si>
  <si>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</si>
  <si>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</si>
  <si>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</si>
  <si>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</si>
  <si>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</si>
  <si>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</si>
  <si>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</si>
  <si>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</si>
  <si>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</si>
  <si>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</si>
  <si>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</si>
  <si>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</si>
  <si>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</si>
  <si>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</si>
  <si>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</si>
  <si>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</si>
  <si>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</si>
  <si>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</si>
  <si>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</si>
  <si>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</si>
  <si>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</si>
  <si>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</si>
  <si>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</si>
  <si>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</si>
  <si>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</si>
  <si>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</si>
  <si>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</si>
  <si>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</si>
  <si>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</si>
  <si>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</si>
  <si>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</si>
  <si>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</si>
  <si>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</si>
  <si>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</si>
  <si>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</si>
  <si>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</si>
  <si>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</si>
  <si>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</si>
  <si>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</si>
  <si>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</si>
  <si>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</si>
  <si>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</si>
  <si>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</si>
  <si>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</si>
  <si>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</si>
  <si>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</si>
  <si>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</si>
  <si>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</si>
  <si>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</si>
  <si>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</si>
  <si>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</si>
  <si>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</si>
  <si>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</si>
  <si>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</si>
  <si>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</si>
  <si>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</si>
  <si>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</si>
  <si>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</si>
  <si>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</si>
  <si>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</si>
  <si>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</si>
  <si>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</si>
  <si>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</si>
  <si>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</si>
  <si>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</si>
  <si>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</si>
  <si>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</si>
  <si>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</si>
  <si>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</si>
  <si>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</si>
  <si>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</si>
  <si>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</si>
  <si>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</si>
  <si>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</si>
  <si>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</si>
  <si>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</si>
  <si>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</si>
  <si>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</si>
  <si>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</si>
  <si>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</si>
  <si>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</si>
  <si>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</si>
  <si>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</si>
  <si>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</si>
  <si>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</si>
  <si>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</si>
  <si>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</si>
  <si>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</si>
  <si>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</si>
  <si>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</si>
  <si>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</si>
  <si>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</si>
  <si>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</si>
  <si>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</si>
  <si>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</si>
  <si>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</si>
  <si>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</si>
  <si>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</si>
  <si>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</si>
  <si>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</si>
  <si>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</si>
  <si>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</si>
  <si>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</si>
  <si>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</si>
  <si>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</si>
  <si>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</si>
  <si>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</si>
  <si>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</si>
  <si>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</si>
  <si>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</si>
  <si>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</si>
  <si>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</si>
  <si>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</si>
  <si>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</si>
  <si>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</si>
  <si>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</si>
  <si>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</si>
  <si>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</si>
  <si>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</si>
  <si>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</si>
  <si>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</si>
  <si>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</si>
  <si>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</si>
  <si>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</si>
  <si>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</si>
  <si>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</si>
  <si>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</si>
  <si>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</si>
  <si>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</si>
  <si>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</si>
  <si>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</si>
  <si>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</si>
  <si>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</si>
  <si>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</si>
  <si>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</si>
  <si>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</si>
  <si>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</si>
  <si>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</si>
  <si>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</si>
  <si>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</si>
  <si>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</si>
  <si>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</si>
  <si>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</si>
  <si>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</si>
  <si>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</si>
  <si>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</si>
  <si>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</si>
  <si>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</si>
  <si>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</si>
  <si>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</si>
  <si>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</si>
  <si>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</si>
  <si>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</si>
  <si>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</si>
  <si>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</si>
  <si>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</si>
  <si>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</si>
  <si>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</si>
  <si>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</si>
  <si>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</si>
  <si>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</si>
  <si>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</si>
  <si>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</si>
  <si>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</si>
  <si>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</si>
  <si>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</si>
  <si>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</si>
  <si>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</si>
  <si>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</si>
  <si>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</si>
  <si>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</si>
  <si>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</si>
  <si>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</si>
  <si>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</si>
  <si>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</si>
  <si>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</si>
  <si>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</si>
  <si>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</si>
  <si>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</si>
  <si>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</si>
  <si>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</si>
  <si>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</si>
  <si>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</si>
  <si>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</si>
  <si>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</si>
  <si>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</si>
  <si>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</si>
  <si>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</si>
  <si>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</si>
  <si>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</si>
  <si>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</si>
  <si>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</si>
  <si>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</si>
  <si>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</si>
  <si>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</si>
  <si>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</si>
  <si>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</si>
  <si>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</si>
  <si>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</si>
  <si>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</si>
  <si>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</si>
  <si>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</si>
  <si>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</si>
  <si>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</si>
  <si>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</si>
  <si>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</si>
  <si>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</si>
  <si>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</si>
  <si>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</si>
  <si>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</si>
  <si>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</si>
  <si>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</si>
  <si>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</si>
  <si>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</si>
  <si>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</si>
  <si>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</si>
  <si>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</si>
  <si>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</si>
  <si>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</si>
  <si>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</si>
  <si>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</si>
  <si>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</si>
  <si>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</si>
  <si>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</si>
  <si>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</si>
  <si>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</si>
  <si>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</si>
  <si>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</si>
  <si>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</si>
  <si>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</si>
  <si>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</si>
  <si>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</si>
  <si>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</si>
  <si>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</si>
  <si>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</si>
  <si>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</si>
  <si>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</si>
  <si>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</si>
  <si>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</si>
  <si>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</si>
  <si>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</si>
  <si>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</si>
  <si>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</si>
  <si>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</si>
  <si>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</si>
  <si>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</si>
  <si>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</si>
  <si>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</si>
  <si>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</si>
  <si>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</si>
  <si>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</si>
  <si>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</si>
  <si>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</si>
  <si>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</si>
  <si>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</si>
  <si>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</si>
  <si>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</si>
  <si>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</si>
  <si>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</si>
  <si>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</si>
  <si>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</si>
  <si>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</si>
  <si>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</si>
  <si>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</si>
  <si>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</si>
  <si>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</si>
  <si>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</si>
  <si>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</si>
  <si>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</si>
  <si>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</si>
  <si>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</si>
  <si>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</si>
  <si>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</si>
  <si>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</si>
  <si>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</si>
  <si>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</si>
  <si>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</si>
  <si>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</si>
  <si>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</si>
  <si>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</si>
  <si>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</si>
  <si>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</si>
  <si>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</si>
  <si>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</si>
  <si>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</si>
  <si>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</si>
  <si>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</si>
  <si>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</si>
  <si>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</si>
  <si>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</si>
  <si>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</si>
  <si>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</si>
  <si>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</si>
  <si>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</si>
  <si>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</si>
  <si>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</si>
  <si>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</si>
  <si>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</si>
  <si>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</si>
  <si>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</si>
  <si>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</si>
  <si>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</si>
  <si>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</si>
  <si>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</si>
  <si>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</si>
  <si>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</si>
  <si>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</si>
  <si>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</si>
  <si>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</si>
  <si>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</si>
  <si>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</si>
  <si>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</si>
  <si>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</si>
  <si>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</si>
  <si>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</si>
  <si>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</si>
  <si>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</si>
  <si>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</si>
  <si>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</si>
  <si>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</si>
  <si>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</si>
  <si>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</si>
  <si>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</si>
  <si>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</si>
  <si>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</si>
  <si>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</si>
  <si>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</si>
  <si>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</si>
  <si>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</si>
  <si>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</si>
  <si>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</si>
  <si>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</si>
  <si>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</si>
  <si>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</si>
  <si>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</si>
  <si>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</si>
  <si>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</si>
  <si>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</si>
  <si>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</si>
  <si>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</si>
  <si>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</si>
  <si>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</si>
  <si>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</si>
  <si>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</si>
  <si>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</si>
  <si>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</si>
  <si>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</si>
  <si>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</si>
  <si>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</si>
  <si>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</si>
  <si>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</si>
  <si>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</si>
  <si>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</si>
  <si>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</si>
  <si>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</si>
  <si>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</si>
  <si>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</si>
  <si>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</si>
  <si>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</si>
  <si>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</si>
  <si>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</si>
  <si>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</si>
  <si>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</si>
  <si>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</si>
  <si>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</si>
  <si>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</si>
  <si>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</si>
  <si>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</si>
  <si>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</si>
  <si>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</si>
  <si>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</si>
  <si>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</si>
  <si>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</si>
  <si>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</si>
  <si>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</si>
  <si>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</si>
  <si>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</si>
  <si>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</si>
  <si>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</si>
  <si>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</si>
  <si>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</si>
  <si>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</si>
  <si>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</si>
  <si>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</si>
  <si>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</si>
  <si>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</si>
  <si>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</si>
  <si>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</si>
  <si>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</si>
  <si>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</si>
  <si>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</si>
  <si>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</si>
  <si>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</si>
  <si>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</si>
  <si>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</si>
  <si>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</si>
  <si>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</si>
  <si>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</si>
  <si>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</si>
  <si>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</si>
  <si>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</si>
  <si>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</si>
  <si>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</si>
  <si>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</si>
  <si>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</si>
  <si>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</si>
  <si>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</si>
  <si>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</si>
  <si>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</si>
  <si>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</si>
  <si>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</si>
  <si>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</si>
  <si>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</si>
  <si>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</si>
  <si>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</si>
  <si>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</si>
  <si>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</si>
  <si>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</si>
  <si>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</si>
  <si>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</si>
  <si>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</si>
  <si>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</si>
  <si>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</si>
  <si>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</si>
  <si>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</si>
  <si>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</si>
  <si>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</si>
  <si>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</si>
  <si>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</si>
  <si>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</si>
  <si>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</si>
  <si>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</si>
  <si>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</si>
  <si>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</si>
  <si>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</si>
  <si>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</si>
  <si>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</si>
  <si>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</si>
  <si>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</si>
  <si>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</si>
  <si>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</si>
  <si>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</si>
  <si>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</si>
  <si>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</si>
  <si>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</si>
  <si>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</si>
  <si>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</si>
  <si>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</si>
  <si>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</si>
  <si>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</si>
  <si>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</si>
  <si>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</si>
  <si>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</si>
  <si>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</si>
  <si>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</si>
  <si>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</si>
  <si>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</si>
  <si>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</si>
  <si>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</si>
  <si>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</si>
  <si>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</si>
  <si>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</si>
  <si>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</si>
  <si>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</si>
  <si>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</si>
  <si>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</si>
  <si>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</si>
  <si>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</si>
  <si>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</si>
  <si>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</si>
  <si>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</si>
  <si>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</si>
  <si>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</si>
  <si>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</si>
  <si>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</si>
  <si>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</si>
  <si>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</si>
  <si>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</si>
  <si>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</si>
  <si>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</si>
  <si>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</si>
  <si>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</si>
  <si>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</si>
  <si>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</si>
  <si>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</si>
  <si>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</si>
  <si>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</si>
  <si>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</si>
  <si>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</si>
  <si>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</si>
  <si>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</si>
  <si>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</si>
  <si>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</si>
  <si>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</si>
  <si>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</si>
  <si>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</si>
  <si>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</si>
  <si>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</si>
  <si>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</si>
  <si>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</si>
  <si>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</si>
  <si>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</si>
  <si>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</si>
  <si>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</si>
  <si>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</si>
  <si>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</si>
  <si>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</si>
  <si>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</si>
  <si>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</si>
  <si>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</si>
  <si>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</si>
  <si>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</si>
  <si>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</si>
  <si>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</si>
  <si>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</si>
  <si>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</si>
  <si>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</si>
  <si>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</si>
  <si>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</si>
  <si>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</si>
  <si>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</si>
  <si>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</si>
  <si>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</si>
  <si>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</si>
  <si>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</si>
  <si>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</si>
  <si>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</si>
  <si>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</si>
  <si>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</si>
  <si>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</si>
  <si>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</si>
  <si>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</si>
  <si>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</si>
  <si>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</si>
  <si>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</si>
  <si>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</si>
  <si>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</si>
  <si>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</si>
  <si>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</si>
  <si>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</si>
  <si>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</si>
  <si>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</si>
  <si>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</si>
  <si>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</si>
  <si>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</si>
  <si>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</si>
  <si>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</si>
  <si>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</si>
  <si>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</si>
  <si>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</si>
  <si>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</si>
  <si>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</si>
  <si>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</si>
  <si>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</si>
  <si>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</si>
  <si>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</si>
  <si>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</si>
  <si>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</si>
  <si>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</si>
  <si>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</si>
  <si>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</si>
  <si>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</si>
  <si>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</si>
  <si>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</si>
  <si>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</si>
  <si>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</si>
  <si>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</si>
  <si>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</si>
  <si>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</si>
  <si>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</si>
  <si>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</si>
  <si>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</si>
  <si>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</si>
  <si>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</si>
  <si>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</si>
  <si>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</si>
  <si>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</si>
  <si>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</si>
  <si>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</si>
  <si>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</si>
  <si>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</si>
  <si>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</si>
  <si>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</si>
  <si>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</si>
  <si>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</si>
  <si>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</si>
  <si>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</si>
  <si>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</si>
  <si>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</si>
  <si>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</si>
  <si>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</si>
  <si>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</si>
  <si>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</si>
  <si>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</si>
  <si>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</si>
  <si>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</si>
  <si>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</si>
  <si>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</si>
  <si>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</si>
  <si>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</si>
  <si>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</si>
  <si>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</si>
  <si>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</si>
  <si>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</si>
  <si>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</si>
  <si>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</si>
  <si>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</si>
  <si>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</si>
  <si>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</si>
  <si>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</si>
  <si>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</si>
  <si>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</si>
  <si>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</si>
  <si>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</si>
  <si>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</si>
  <si>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</si>
  <si>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</si>
  <si>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</si>
  <si>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</si>
  <si>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</si>
  <si>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</si>
  <si>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</si>
  <si>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</si>
  <si>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</si>
  <si>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</si>
  <si>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</si>
  <si>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</si>
  <si>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</si>
  <si>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</si>
  <si>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</si>
  <si>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</si>
  <si>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</si>
  <si>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</si>
  <si>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</si>
  <si>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</si>
  <si>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</si>
  <si>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</si>
  <si>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</si>
  <si>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</si>
  <si>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</si>
  <si>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</si>
  <si>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</si>
  <si>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</si>
  <si>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</si>
  <si>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</si>
  <si>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</si>
  <si>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</si>
  <si>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</si>
  <si>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</si>
  <si>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</si>
  <si>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</si>
  <si>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</si>
  <si>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</si>
  <si>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</si>
  <si>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</si>
  <si>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</si>
  <si>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</si>
  <si>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</si>
  <si>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</si>
  <si>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</si>
  <si>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</si>
  <si>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</si>
  <si>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</si>
  <si>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</si>
  <si>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</si>
  <si>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</si>
  <si>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</si>
  <si>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</si>
  <si>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</si>
  <si>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</si>
  <si>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</si>
  <si>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</si>
  <si>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</si>
  <si>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</si>
  <si>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</si>
  <si>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</si>
  <si>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</si>
  <si>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</si>
  <si>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</si>
  <si>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</si>
  <si>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</si>
  <si>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</si>
  <si>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</si>
  <si>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</si>
  <si>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</si>
  <si>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</si>
  <si>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</si>
  <si>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</si>
  <si>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</si>
  <si>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</si>
  <si>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</si>
  <si>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</si>
  <si>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</si>
  <si>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</si>
  <si>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</si>
  <si>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</si>
  <si>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</si>
  <si>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</si>
  <si>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</si>
  <si>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</si>
  <si>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</si>
  <si>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</si>
  <si>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</si>
  <si>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</si>
  <si>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</si>
  <si>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</si>
  <si>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</si>
  <si>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</si>
  <si>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</si>
  <si>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</si>
  <si>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</si>
  <si>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</si>
  <si>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</si>
  <si>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</si>
  <si>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</si>
  <si>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</si>
  <si>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</si>
  <si>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</si>
  <si>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</si>
  <si>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</si>
  <si>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</si>
  <si>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</si>
  <si>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</si>
  <si>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</si>
  <si>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</si>
  <si>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</si>
  <si>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</si>
  <si>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</si>
  <si>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</si>
  <si>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</si>
  <si>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</si>
  <si>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</si>
  <si>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</si>
  <si>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</si>
  <si>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</si>
  <si>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</si>
  <si>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</si>
  <si>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</si>
  <si>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</si>
  <si>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</si>
  <si>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</si>
  <si>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</si>
  <si>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</si>
  <si>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</si>
  <si>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</si>
  <si>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</si>
  <si>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</si>
  <si>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</si>
  <si>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</si>
  <si>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</si>
  <si>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</si>
  <si>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</si>
  <si>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</si>
  <si>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</si>
  <si>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</si>
  <si>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</si>
  <si>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</si>
  <si>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</si>
  <si>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</si>
  <si>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</si>
  <si>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</si>
  <si>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</si>
  <si>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</si>
  <si>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</si>
  <si>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</si>
  <si>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</si>
  <si>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</si>
  <si>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</si>
  <si>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</si>
  <si>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</si>
  <si>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</si>
  <si>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</si>
  <si>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</si>
  <si>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</si>
  <si>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</si>
  <si>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</si>
  <si>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</si>
  <si>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</si>
  <si>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</si>
  <si>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</si>
  <si>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</si>
  <si>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</si>
  <si>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</si>
  <si>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</si>
  <si>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</si>
  <si>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</si>
  <si>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</si>
  <si>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</si>
  <si>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</si>
  <si>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</si>
  <si>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</si>
  <si>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</si>
  <si>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</si>
  <si>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</si>
  <si>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</si>
  <si>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</si>
  <si>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</si>
  <si>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</si>
  <si>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</si>
  <si>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</si>
  <si>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</si>
  <si>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</si>
  <si>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</si>
  <si>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</si>
  <si>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</si>
  <si>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</si>
  <si>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</si>
  <si>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</si>
  <si>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</si>
  <si>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</si>
  <si>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</si>
  <si>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</si>
  <si>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</si>
  <si>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</si>
  <si>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</si>
  <si>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</si>
  <si>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</si>
  <si>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</si>
  <si>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</si>
  <si>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</si>
  <si>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</si>
  <si>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</si>
  <si>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</si>
  <si>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</si>
  <si>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</si>
  <si>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</si>
  <si>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</si>
  <si>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</si>
  <si>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</si>
  <si>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</si>
  <si>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</si>
  <si>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</si>
  <si>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</si>
  <si>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</si>
  <si>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</si>
  <si>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</si>
  <si>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</si>
  <si>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</si>
  <si>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</si>
  <si>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</si>
  <si>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</si>
  <si>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</si>
  <si>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</si>
  <si>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</si>
  <si>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</si>
  <si>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</si>
  <si>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</si>
  <si>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</si>
  <si>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</si>
  <si>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</si>
  <si>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</si>
  <si>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</si>
  <si>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</si>
  <si>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</si>
  <si>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</si>
  <si>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</si>
  <si>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</si>
  <si>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</si>
  <si>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</si>
  <si>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</si>
  <si>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</si>
  <si>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</si>
  <si>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</si>
  <si>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</si>
  <si>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</si>
  <si>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</si>
  <si>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</si>
  <si>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</si>
  <si>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</si>
  <si>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</si>
  <si>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</si>
  <si>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</si>
  <si>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</si>
  <si>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</si>
  <si>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</si>
  <si>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</si>
  <si>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</si>
  <si>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</si>
  <si>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</si>
  <si>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</si>
  <si>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</si>
  <si>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</si>
  <si>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</si>
  <si>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</si>
  <si>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</si>
  <si>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</si>
  <si>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</si>
  <si>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</si>
  <si>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</si>
  <si>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</si>
  <si>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</si>
  <si>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</si>
  <si>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</si>
  <si>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</si>
  <si>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</si>
  <si>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</si>
  <si>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</si>
  <si>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</si>
  <si>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</si>
  <si>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</si>
  <si>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</si>
  <si>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</si>
  <si>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</si>
  <si>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</si>
  <si>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</si>
  <si>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</si>
  <si>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</si>
  <si>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</si>
  <si>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</si>
  <si>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</si>
  <si>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</si>
  <si>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</si>
  <si>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</si>
  <si>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</si>
  <si>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</si>
  <si>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</si>
  <si>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</si>
  <si>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</si>
  <si>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</si>
  <si>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</si>
  <si>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</si>
  <si>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</si>
  <si>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</si>
  <si>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</si>
  <si>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</si>
  <si>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</si>
  <si>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</si>
  <si>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</si>
  <si>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</si>
  <si>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</si>
  <si>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</si>
  <si>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</si>
  <si>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</si>
  <si>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</si>
  <si>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</si>
  <si>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</si>
  <si>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</si>
  <si>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</si>
  <si>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</si>
  <si>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</si>
  <si>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</si>
  <si>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</si>
  <si>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</si>
  <si>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</si>
  <si>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</si>
  <si>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</si>
  <si>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</si>
  <si>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</si>
  <si>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</si>
  <si>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</si>
  <si>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</si>
  <si>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</si>
  <si>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</si>
  <si>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</si>
  <si>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</si>
  <si>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</si>
  <si>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</si>
  <si>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</si>
  <si>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</si>
  <si>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</si>
  <si>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</si>
  <si>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</si>
  <si>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</si>
  <si>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</si>
  <si>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</si>
  <si>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</si>
  <si>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</si>
  <si>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</si>
  <si>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</si>
  <si>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</si>
  <si>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</si>
  <si>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</si>
  <si>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</si>
  <si>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</si>
  <si>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</si>
  <si>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</si>
  <si>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</si>
  <si>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</si>
  <si>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</si>
  <si>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</si>
  <si>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</si>
  <si>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</si>
  <si>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</si>
  <si>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</si>
  <si>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</si>
  <si>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</si>
  <si>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</si>
  <si>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</si>
  <si>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</si>
  <si>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</si>
  <si>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</si>
  <si>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</si>
  <si>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</si>
  <si>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</si>
  <si>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</si>
  <si>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</si>
  <si>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</si>
  <si>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</si>
  <si>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</si>
  <si>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</si>
  <si>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</si>
  <si>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</si>
  <si>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</si>
  <si>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</si>
  <si>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</si>
  <si>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</si>
  <si>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</si>
  <si>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</si>
  <si>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</si>
  <si>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</si>
  <si>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</si>
  <si>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</si>
  <si>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</si>
  <si>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</si>
  <si>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</si>
  <si>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</si>
  <si>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</si>
  <si>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</si>
  <si>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</si>
  <si>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</si>
  <si>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</si>
  <si>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</si>
  <si>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</si>
  <si>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</si>
  <si>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</si>
  <si>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</si>
  <si>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</si>
  <si>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</si>
  <si>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</si>
  <si>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</si>
  <si>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</si>
  <si>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</si>
  <si>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</si>
  <si>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</si>
  <si>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</si>
  <si>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</si>
  <si>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</si>
  <si>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</si>
  <si>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</si>
  <si>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</si>
  <si>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</si>
  <si>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</si>
  <si>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</si>
  <si>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</si>
  <si>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</si>
  <si>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</si>
  <si>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</si>
  <si>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</si>
  <si>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</si>
  <si>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</si>
  <si>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</si>
  <si>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</si>
  <si>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</si>
  <si>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</si>
  <si>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</si>
  <si>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</si>
  <si>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</si>
  <si>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</si>
  <si>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</si>
  <si>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</si>
  <si>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</si>
  <si>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</si>
  <si>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</si>
  <si>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</si>
  <si>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</si>
  <si>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</si>
  <si>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</si>
  <si>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</si>
  <si>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</si>
  <si>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</si>
  <si>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</si>
  <si>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</si>
  <si>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</si>
  <si>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</si>
  <si>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</si>
  <si>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</si>
  <si>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</si>
  <si>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</si>
  <si>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</si>
  <si>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</si>
  <si>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</si>
  <si>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</si>
  <si>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</si>
  <si>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</si>
  <si>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</si>
  <si>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</si>
  <si>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</si>
  <si>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</si>
  <si>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</si>
  <si>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</si>
  <si>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</si>
  <si>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</si>
  <si>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</si>
  <si>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</si>
  <si>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</si>
  <si>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</si>
  <si>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</si>
  <si>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</si>
  <si>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</si>
  <si>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</si>
  <si>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</si>
  <si>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</si>
  <si>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</si>
  <si>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</si>
  <si>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</si>
  <si>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</si>
  <si>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</si>
  <si>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</si>
  <si>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</si>
  <si>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</si>
  <si>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</si>
  <si>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</si>
  <si>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</si>
  <si>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</si>
  <si>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</si>
  <si>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</si>
  <si>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</si>
  <si>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</si>
  <si>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</si>
  <si>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</si>
  <si>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</si>
  <si>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</si>
  <si>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</si>
  <si>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</si>
  <si>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</si>
  <si>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</si>
  <si>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</si>
  <si>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</si>
  <si>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</si>
  <si>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</si>
  <si>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</si>
  <si>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</si>
  <si>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</si>
  <si>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</si>
  <si>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</si>
  <si>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</si>
  <si>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</si>
  <si>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</si>
  <si>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</si>
  <si>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</si>
  <si>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</si>
  <si>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</si>
  <si>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</si>
  <si>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</si>
  <si>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</si>
  <si>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</si>
  <si>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</si>
  <si>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</si>
  <si>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</si>
  <si>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</si>
  <si>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</si>
  <si>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</si>
  <si>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</si>
  <si>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</si>
  <si>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</si>
  <si>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</si>
  <si>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</si>
  <si>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</si>
  <si>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</si>
  <si>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</si>
  <si>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</si>
  <si>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</si>
  <si>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</si>
  <si>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</si>
  <si>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</si>
  <si>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</si>
  <si>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</si>
  <si>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</si>
  <si>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</si>
  <si>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</si>
  <si>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</si>
  <si>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</si>
  <si>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</si>
  <si>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</si>
  <si>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</si>
  <si>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</si>
  <si>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</si>
  <si>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</si>
  <si>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</si>
  <si>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</si>
  <si>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</si>
  <si>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</si>
  <si>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</si>
  <si>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</si>
  <si>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</si>
  <si>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</si>
  <si>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</si>
  <si>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</si>
  <si>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</si>
  <si>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</si>
  <si>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</si>
  <si>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</si>
  <si>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</si>
  <si>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</si>
  <si>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</si>
  <si>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</si>
  <si>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</si>
  <si>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</si>
  <si>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</si>
  <si>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</si>
  <si>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</si>
  <si>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</si>
  <si>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</si>
  <si>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</si>
  <si>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</si>
  <si>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</si>
  <si>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</si>
  <si>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</si>
  <si>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</si>
  <si>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</si>
  <si>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</si>
  <si>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</si>
  <si>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</si>
  <si>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</si>
  <si>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</si>
  <si>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</si>
  <si>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</si>
  <si>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</si>
  <si>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</si>
  <si>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</si>
  <si>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</si>
  <si>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</si>
  <si>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</si>
  <si>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</si>
  <si>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</si>
  <si>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</si>
  <si>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</si>
  <si>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</si>
  <si>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</si>
  <si>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</si>
  <si>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</si>
  <si>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</si>
  <si>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</si>
  <si>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</si>
  <si>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</si>
  <si>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</si>
  <si>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</si>
  <si>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</si>
  <si>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</si>
  <si>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</si>
  <si>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</si>
  <si>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</si>
  <si>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</si>
  <si>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</si>
  <si>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</si>
  <si>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</si>
  <si>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</si>
  <si>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</si>
  <si>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</si>
  <si>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</si>
  <si>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</si>
  <si>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</si>
  <si>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</si>
  <si>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</si>
  <si>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</si>
  <si>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</si>
  <si>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</si>
  <si>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</si>
  <si>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</si>
  <si>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</si>
  <si>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</si>
  <si>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</si>
  <si>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</si>
  <si>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</si>
  <si>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</si>
  <si>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</si>
  <si>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</si>
  <si>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</si>
  <si>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</si>
  <si>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</si>
  <si>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</si>
  <si>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</si>
  <si>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</si>
  <si>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</si>
  <si>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</si>
  <si>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</si>
  <si>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</si>
  <si>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</si>
  <si>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</si>
  <si>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</si>
  <si>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</si>
  <si>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</si>
  <si>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</si>
  <si>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</si>
  <si>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</si>
  <si>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</si>
  <si>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</si>
  <si>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</si>
  <si>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</si>
  <si>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</si>
  <si>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</si>
  <si>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</si>
  <si>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</si>
  <si>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</si>
  <si>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</si>
  <si>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</si>
  <si>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</si>
  <si>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</si>
  <si>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</si>
  <si>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</si>
  <si>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</si>
  <si>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</si>
  <si>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</si>
  <si>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</si>
  <si>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</si>
  <si>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</si>
  <si>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</si>
  <si>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</si>
  <si>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</si>
  <si>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</si>
  <si>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</si>
  <si>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</si>
  <si>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</si>
  <si>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</si>
  <si>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</si>
  <si>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</si>
  <si>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</si>
  <si>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</si>
  <si>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</si>
  <si>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</si>
  <si>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</si>
  <si>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</si>
  <si>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</si>
  <si>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</si>
  <si>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</si>
  <si>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</si>
  <si>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</si>
  <si>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</si>
  <si>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</si>
  <si>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</si>
  <si>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</si>
  <si>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</si>
  <si>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</si>
  <si>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</si>
  <si>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</si>
  <si>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</si>
  <si>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</si>
  <si>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</si>
  <si>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</si>
  <si>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</si>
  <si>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</si>
  <si>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</si>
  <si>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</si>
  <si>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</si>
  <si>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</si>
  <si>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</si>
  <si>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</si>
  <si>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</si>
  <si>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</si>
  <si>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</si>
  <si>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</si>
  <si>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</si>
  <si>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</si>
  <si>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</si>
  <si>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</si>
  <si>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</si>
  <si>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</si>
  <si>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</si>
  <si>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</si>
  <si>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</si>
  <si>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</si>
  <si>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</si>
  <si>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</si>
  <si>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</si>
  <si>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</si>
  <si>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</si>
  <si>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</si>
  <si>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</si>
  <si>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</si>
  <si>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</si>
  <si>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</si>
  <si>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</si>
  <si>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</si>
  <si>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</si>
  <si>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</si>
  <si>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</si>
  <si>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</si>
  <si>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</si>
  <si>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</si>
  <si>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</si>
  <si>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</si>
  <si>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</si>
  <si>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</si>
  <si>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</si>
  <si>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</si>
  <si>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</si>
  <si>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</si>
  <si>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</si>
  <si>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</si>
  <si>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</si>
  <si>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</si>
  <si>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</si>
  <si>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</si>
  <si>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</si>
  <si>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</si>
  <si>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</si>
  <si>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</si>
  <si>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</si>
  <si>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</si>
  <si>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</si>
  <si>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</si>
  <si>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</si>
  <si>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</si>
  <si>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</si>
  <si>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</si>
  <si>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</si>
  <si>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</si>
  <si>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</si>
  <si>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</si>
  <si>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</si>
  <si>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</si>
  <si>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</si>
  <si>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</si>
  <si>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</si>
  <si>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</si>
  <si>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</si>
  <si>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</si>
  <si>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</si>
  <si>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</si>
  <si>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</si>
  <si>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</si>
  <si>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</si>
  <si>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</si>
  <si>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</si>
  <si>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</si>
  <si>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</si>
  <si>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</si>
  <si>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</si>
  <si>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</si>
  <si>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</si>
  <si>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</si>
  <si>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</si>
  <si>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</si>
  <si>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</si>
  <si>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</si>
  <si>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</si>
  <si>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</si>
  <si>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</si>
  <si>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</si>
  <si>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</si>
  <si>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</si>
  <si>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</si>
  <si>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</si>
  <si>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</si>
  <si>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</si>
  <si>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</si>
  <si>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</si>
  <si>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</si>
  <si>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</si>
  <si>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</si>
  <si>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</si>
  <si>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</si>
  <si>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</si>
  <si>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</si>
  <si>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</si>
  <si>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</si>
  <si>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</si>
  <si>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</si>
  <si>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</si>
  <si>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</si>
  <si>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</si>
  <si>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</si>
  <si>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</si>
  <si>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</si>
  <si>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</si>
  <si>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</si>
  <si>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</si>
  <si>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</si>
  <si>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</si>
  <si>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</si>
  <si>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</si>
  <si>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</si>
  <si>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</si>
  <si>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</si>
  <si>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</si>
  <si>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</si>
  <si>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</si>
  <si>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</si>
  <si>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</si>
  <si>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</si>
  <si>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</si>
  <si>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</si>
  <si>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</si>
  <si>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</si>
  <si>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</si>
  <si>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</si>
  <si>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</si>
  <si>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</si>
  <si>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</si>
  <si>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</si>
  <si>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</si>
  <si>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</si>
  <si>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</si>
  <si>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</si>
  <si>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</si>
  <si>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</si>
  <si>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</si>
  <si>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</si>
  <si>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</si>
  <si>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</si>
  <si>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</si>
  <si>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</si>
  <si>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</si>
  <si>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</si>
  <si>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</si>
  <si>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</si>
  <si>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</si>
  <si>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</si>
  <si>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</si>
  <si>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</si>
  <si>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</si>
  <si>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</si>
  <si>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</si>
  <si>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</si>
  <si>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</si>
  <si>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</si>
  <si>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</si>
  <si>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</si>
  <si>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</si>
  <si>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</si>
  <si>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</si>
  <si>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</si>
  <si>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</si>
  <si>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</si>
  <si>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</si>
  <si>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</si>
  <si>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</si>
  <si>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</si>
  <si>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</si>
  <si>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</si>
  <si>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</si>
  <si>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</si>
  <si>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</si>
  <si>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</si>
  <si>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</si>
  <si>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</si>
  <si>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</si>
  <si>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</si>
  <si>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</si>
  <si>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</si>
  <si>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</si>
  <si>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</si>
  <si>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</si>
  <si>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</si>
  <si>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</si>
  <si>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</si>
  <si>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</si>
  <si>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</si>
  <si>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</si>
  <si>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</si>
  <si>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</si>
  <si>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</si>
  <si>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</si>
  <si>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</si>
  <si>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</si>
  <si>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</si>
  <si>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</si>
  <si>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</si>
  <si>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</si>
  <si>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</si>
  <si>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</si>
  <si>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</si>
  <si>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</si>
  <si>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</si>
  <si>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</si>
  <si>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</si>
  <si>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</si>
  <si>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</si>
  <si>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</si>
  <si>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</si>
  <si>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</si>
  <si>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</si>
  <si>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</si>
  <si>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</si>
  <si>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</si>
  <si>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</si>
  <si>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</si>
  <si>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</si>
  <si>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</si>
  <si>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</si>
  <si>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</si>
  <si>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</si>
  <si>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</si>
  <si>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</si>
  <si>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</si>
  <si>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</si>
  <si>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</si>
  <si>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</si>
  <si>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</si>
  <si>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</si>
  <si>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</si>
  <si>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</si>
  <si>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</si>
  <si>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</si>
  <si>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</si>
  <si>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</si>
  <si>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</si>
  <si>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</si>
  <si>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</si>
  <si>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</si>
  <si>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</si>
  <si>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</si>
  <si>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</si>
  <si>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</si>
  <si>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</si>
  <si>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</si>
  <si>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</si>
  <si>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</si>
  <si>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</si>
  <si>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</si>
  <si>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</si>
  <si>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</si>
  <si>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</si>
  <si>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</si>
  <si>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</si>
  <si>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</si>
  <si>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</si>
  <si>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</si>
  <si>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</si>
  <si>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</si>
  <si>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</si>
  <si>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</si>
  <si>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</si>
  <si>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</si>
  <si>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</si>
  <si>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</si>
  <si>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</si>
  <si>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</si>
  <si>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</si>
  <si>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</si>
  <si>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</si>
  <si>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</si>
  <si>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</si>
  <si>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</si>
  <si>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</si>
  <si>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</si>
  <si>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</si>
  <si>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</si>
  <si>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</si>
  <si>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</si>
  <si>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</si>
  <si>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</si>
  <si>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</si>
  <si>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</si>
  <si>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</si>
  <si>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</si>
  <si>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</si>
  <si>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</si>
  <si>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</si>
  <si>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</si>
  <si>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</si>
  <si>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</si>
  <si>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</si>
  <si>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</si>
  <si>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</si>
  <si>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</si>
  <si>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</si>
  <si>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</si>
  <si>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</si>
  <si>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</si>
  <si>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</si>
  <si>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</si>
  <si>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</si>
  <si>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</si>
  <si>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</si>
  <si>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</si>
  <si>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</si>
  <si>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</si>
  <si>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</si>
  <si>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</si>
  <si>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</si>
  <si>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</si>
  <si>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</si>
  <si>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</si>
  <si>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</si>
  <si>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</si>
  <si>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</si>
  <si>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</si>
  <si>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</si>
  <si>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</si>
  <si>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</si>
  <si>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</si>
  <si>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</si>
  <si>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</si>
  <si>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</si>
  <si>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</si>
  <si>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</si>
  <si>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</si>
  <si>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</si>
  <si>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</si>
  <si>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</si>
  <si>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</si>
  <si>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</si>
  <si>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</si>
  <si>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</si>
  <si>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</si>
  <si>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</si>
  <si>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</si>
  <si>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</si>
  <si>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</si>
  <si>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</si>
  <si>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</si>
  <si>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</si>
  <si>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</si>
  <si>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</si>
  <si>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</si>
  <si>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</si>
  <si>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</si>
  <si>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</si>
  <si>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</si>
  <si>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</si>
  <si>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</si>
  <si>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</si>
  <si>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</si>
  <si>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</si>
  <si>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</si>
  <si>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</si>
  <si>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</si>
  <si>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</si>
  <si>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</si>
  <si>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</si>
  <si>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</si>
  <si>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</si>
  <si>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</si>
  <si>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</si>
  <si>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</si>
  <si>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</si>
  <si>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</si>
  <si>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</si>
  <si>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</si>
  <si>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</si>
  <si>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</si>
  <si>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</si>
  <si>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</si>
  <si>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</si>
  <si>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</si>
  <si>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</si>
  <si>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</si>
  <si>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</si>
  <si>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</si>
  <si>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</si>
  <si>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</si>
  <si>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</si>
  <si>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</si>
  <si>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</si>
  <si>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</si>
  <si>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</si>
  <si>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</si>
  <si>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</si>
  <si>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</si>
  <si>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</si>
  <si>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</si>
  <si>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</si>
  <si>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</si>
  <si>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</si>
  <si>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</si>
  <si>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</si>
  <si>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</si>
  <si>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</si>
  <si>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</si>
  <si>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</si>
  <si>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</si>
  <si>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</si>
  <si>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</si>
  <si>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</si>
  <si>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</si>
  <si>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</si>
  <si>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</si>
  <si>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</si>
  <si>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</si>
  <si>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</si>
  <si>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</si>
  <si>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</si>
  <si>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</si>
  <si>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</si>
  <si>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</si>
  <si>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</si>
  <si>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</si>
  <si>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</si>
  <si>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</si>
  <si>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</si>
  <si>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</si>
  <si>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</si>
  <si>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</si>
  <si>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</si>
  <si>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</si>
  <si>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</si>
  <si>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</si>
  <si>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</si>
  <si>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</si>
  <si>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</si>
  <si>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</si>
  <si>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</si>
  <si>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</si>
  <si>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</si>
  <si>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</si>
  <si>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</si>
  <si>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</si>
  <si>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</si>
  <si>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</si>
  <si>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</si>
  <si>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</si>
  <si>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</si>
  <si>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</si>
  <si>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</si>
  <si>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</si>
  <si>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</si>
  <si>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</si>
  <si>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</si>
  <si>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</si>
  <si>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</si>
  <si>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</si>
  <si>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</si>
  <si>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</si>
  <si>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</si>
  <si>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</si>
  <si>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</si>
  <si>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</si>
  <si>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</si>
  <si>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</si>
  <si>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</si>
  <si>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</si>
  <si>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</si>
  <si>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</si>
  <si>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</si>
  <si>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</si>
  <si>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</si>
  <si>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</si>
  <si>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</si>
  <si>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</si>
  <si>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</si>
  <si>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</si>
  <si>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</si>
  <si>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</si>
  <si>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</si>
  <si>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</si>
  <si>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</si>
  <si>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</si>
  <si>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</si>
  <si>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</si>
  <si>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</si>
  <si>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</si>
  <si>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</si>
  <si>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</si>
  <si>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</si>
  <si>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</si>
  <si>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</si>
  <si>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</si>
  <si>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</si>
  <si>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</si>
  <si>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</si>
  <si>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</si>
  <si>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</si>
  <si>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</si>
  <si>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</si>
  <si>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</si>
  <si>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</si>
  <si>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</si>
  <si>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</si>
  <si>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</si>
  <si>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</si>
  <si>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</si>
  <si>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</si>
  <si>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</si>
  <si>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</si>
  <si>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</si>
  <si>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</si>
  <si>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</si>
  <si>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</si>
  <si>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</si>
  <si>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</si>
  <si>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</si>
  <si>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</si>
  <si>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</si>
  <si>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</si>
  <si>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</si>
  <si>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</si>
  <si>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</si>
  <si>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</si>
  <si>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</si>
  <si>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</si>
  <si>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</si>
  <si>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</si>
  <si>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</si>
  <si>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</si>
  <si>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</si>
  <si>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</si>
  <si>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</si>
  <si>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</si>
  <si>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</si>
  <si>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</si>
  <si>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</si>
  <si>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</si>
  <si>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</si>
  <si>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</si>
  <si>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</si>
  <si>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</si>
  <si>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</si>
  <si>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</si>
  <si>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</si>
  <si>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</si>
  <si>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</si>
  <si>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</si>
  <si>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</si>
  <si>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</si>
  <si>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</si>
  <si>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</si>
  <si>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</si>
  <si>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</si>
  <si>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</si>
  <si>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</si>
  <si>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</si>
  <si>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</si>
  <si>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</si>
  <si>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</si>
  <si>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</si>
  <si>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</si>
  <si>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</si>
  <si>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</si>
  <si>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</si>
  <si>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</si>
  <si>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</si>
  <si>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</si>
  <si>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</si>
  <si>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</si>
  <si>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</si>
  <si>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</si>
  <si>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</si>
  <si>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</si>
  <si>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</si>
  <si>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</si>
  <si>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</si>
  <si>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</si>
  <si>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</si>
  <si>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</si>
  <si>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</si>
  <si>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</si>
  <si>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</si>
  <si>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</si>
  <si>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</si>
  <si>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</si>
  <si>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</si>
  <si>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</si>
  <si>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</si>
  <si>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</si>
  <si>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</si>
  <si>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</si>
  <si>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</si>
  <si>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</si>
  <si>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</si>
  <si>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</si>
  <si>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</si>
  <si>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</si>
  <si>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</si>
  <si>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</si>
  <si>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</si>
  <si>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</si>
  <si>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</si>
  <si>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</si>
  <si>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</si>
  <si>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</si>
  <si>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</si>
  <si>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</si>
  <si>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</si>
  <si>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</si>
  <si>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</si>
  <si>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</si>
  <si>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</si>
  <si>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</si>
  <si>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</si>
  <si>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</si>
  <si>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</si>
  <si>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</si>
  <si>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</si>
  <si>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</si>
  <si>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</si>
  <si>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</si>
  <si>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</si>
  <si>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</si>
  <si>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</si>
  <si>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</si>
  <si>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</si>
  <si>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</si>
  <si>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</si>
  <si>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</si>
  <si>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</si>
  <si>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</si>
  <si>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</si>
  <si>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</si>
  <si>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</si>
  <si>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</si>
  <si>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</si>
  <si>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</si>
  <si>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</si>
  <si>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</si>
  <si>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</si>
  <si>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</si>
  <si>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</si>
  <si>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</si>
  <si>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</si>
  <si>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</si>
  <si>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</si>
  <si>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</si>
  <si>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</si>
  <si>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</si>
  <si>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</si>
  <si>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</si>
  <si>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</si>
  <si>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</si>
  <si>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</si>
  <si>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</si>
  <si>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</si>
  <si>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</si>
  <si>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</si>
  <si>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</si>
  <si>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</si>
  <si>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</si>
  <si>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</si>
  <si>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</si>
  <si>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</si>
  <si>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</si>
  <si>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</si>
  <si>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</si>
  <si>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</si>
  <si>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</si>
  <si>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</si>
  <si>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</si>
  <si>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</si>
  <si>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</si>
  <si>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</si>
  <si>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</si>
  <si>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</si>
  <si>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</si>
  <si>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</si>
  <si>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</si>
  <si>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</si>
  <si>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</si>
  <si>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</si>
  <si>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</si>
  <si>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</si>
  <si>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</si>
  <si>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</si>
  <si>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</si>
  <si>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</si>
  <si>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</si>
  <si>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</si>
  <si>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</si>
  <si>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</si>
  <si>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</si>
  <si>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</si>
  <si>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</si>
  <si>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</si>
  <si>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</si>
  <si>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</si>
  <si>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</si>
  <si>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</si>
  <si>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</si>
  <si>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</si>
  <si>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</si>
  <si>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</si>
  <si>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</si>
  <si>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</si>
  <si>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</si>
  <si>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</si>
  <si>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</si>
  <si>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</si>
  <si>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</si>
  <si>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</si>
  <si>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</si>
  <si>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</si>
  <si>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</si>
  <si>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</si>
  <si>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</si>
  <si>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</si>
  <si>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</si>
  <si>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</si>
  <si>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</si>
  <si>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</si>
  <si>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</si>
  <si>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</si>
  <si>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</si>
  <si>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</si>
  <si>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</si>
  <si>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</si>
  <si>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</si>
  <si>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</si>
  <si>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</si>
  <si>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</si>
  <si>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</si>
  <si>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</si>
  <si>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</si>
  <si>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</si>
  <si>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</si>
  <si>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</si>
  <si>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</si>
  <si>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</si>
  <si>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</si>
  <si>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</si>
  <si>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</si>
  <si>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</si>
  <si>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</si>
  <si>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</si>
  <si>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</si>
  <si>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</si>
  <si>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</si>
  <si>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</si>
  <si>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</si>
  <si>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</si>
  <si>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</si>
  <si>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</si>
  <si>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</si>
  <si>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</si>
  <si>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</si>
  <si>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</si>
  <si>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</si>
  <si>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</si>
  <si>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</si>
  <si>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</si>
  <si>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</si>
  <si>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</si>
  <si>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</si>
  <si>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</si>
  <si>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</si>
  <si>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</si>
  <si>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</si>
  <si>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</si>
  <si>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</si>
  <si>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</si>
  <si>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</si>
  <si>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</si>
  <si>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</si>
  <si>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</si>
  <si>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</si>
  <si>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</si>
  <si>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</si>
  <si>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</si>
  <si>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</si>
  <si>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</si>
  <si>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</si>
  <si>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</si>
  <si>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</si>
  <si>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</si>
  <si>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</si>
  <si>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</si>
  <si>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</si>
  <si>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</si>
  <si>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</si>
  <si>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</si>
  <si>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</si>
  <si>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</si>
  <si>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</si>
  <si>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</si>
  <si>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</si>
  <si>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</si>
  <si>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</si>
  <si>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</si>
  <si>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</si>
  <si>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</si>
  <si>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</si>
  <si>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</si>
  <si>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</si>
  <si>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</si>
  <si>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</si>
  <si>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</si>
  <si>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</si>
  <si>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</si>
  <si>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</si>
  <si>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</si>
  <si>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</si>
  <si>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</si>
  <si>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</si>
  <si>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</si>
  <si>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</si>
  <si>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</si>
  <si>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</si>
  <si>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</si>
  <si>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</si>
  <si>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</si>
  <si>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</si>
  <si>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</si>
  <si>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</si>
  <si>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</si>
  <si>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</si>
  <si>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</si>
  <si>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</si>
  <si>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</si>
  <si>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</si>
  <si>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</si>
  <si>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</si>
  <si>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</si>
  <si>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</si>
  <si>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</si>
  <si>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</si>
  <si>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</si>
  <si>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</si>
  <si>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</si>
  <si>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</si>
  <si>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</si>
  <si>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</si>
  <si>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</si>
  <si>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</si>
  <si>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</si>
  <si>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</si>
  <si>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</si>
  <si>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</si>
  <si>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</si>
  <si>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</si>
  <si>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</si>
  <si>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</si>
  <si>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</si>
  <si>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</si>
  <si>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</si>
  <si>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</si>
  <si>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</si>
  <si>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</si>
  <si>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</si>
  <si>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</si>
  <si>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</si>
  <si>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</si>
  <si>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</si>
  <si>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</si>
  <si>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</si>
  <si>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</si>
  <si>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</si>
  <si>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</si>
  <si>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</si>
  <si>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</si>
  <si>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</si>
  <si>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</si>
  <si>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</si>
  <si>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</si>
  <si>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</si>
  <si>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</si>
  <si>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</si>
  <si>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</si>
  <si>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</si>
  <si>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</si>
  <si>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</si>
  <si>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</si>
  <si>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</si>
  <si>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</si>
  <si>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</si>
  <si>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</si>
  <si>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</si>
  <si>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</si>
  <si>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</si>
  <si>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</si>
  <si>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</si>
  <si>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</si>
  <si>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</si>
  <si>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</si>
  <si>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</si>
  <si>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</si>
  <si>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</si>
  <si>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</si>
  <si>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</si>
  <si>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</si>
  <si>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</si>
  <si>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</si>
  <si>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</si>
  <si>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</si>
  <si>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</si>
  <si>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</si>
  <si>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</si>
  <si>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</si>
  <si>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</si>
  <si>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</si>
  <si>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</si>
  <si>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</si>
  <si>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</si>
  <si>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</si>
  <si>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</si>
  <si>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</si>
  <si>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</si>
  <si>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</si>
  <si>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</si>
  <si>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</si>
  <si>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</si>
  <si>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</si>
  <si>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</si>
  <si>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</si>
  <si>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</si>
  <si>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</si>
  <si>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</si>
  <si>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</si>
  <si>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</si>
  <si>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</si>
  <si>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</si>
  <si>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</si>
  <si>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</si>
  <si>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</si>
  <si>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</si>
  <si>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</si>
  <si>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</si>
  <si>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</si>
  <si>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</si>
  <si>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</si>
  <si>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</si>
  <si>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</si>
  <si>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</si>
  <si>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</si>
  <si>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</si>
  <si>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</si>
  <si>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</si>
  <si>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</si>
  <si>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</si>
  <si>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</si>
  <si>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</si>
  <si>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</si>
  <si>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</si>
  <si>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</si>
  <si>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</si>
  <si>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</si>
  <si>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</si>
  <si>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</si>
  <si>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</si>
  <si>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</si>
  <si>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</si>
  <si>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</si>
  <si>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</si>
  <si>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</si>
  <si>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</si>
  <si>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</si>
  <si>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</si>
  <si>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</si>
  <si>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</si>
  <si>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</si>
  <si>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</si>
  <si>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</si>
  <si>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</si>
  <si>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</si>
  <si>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</si>
  <si>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</si>
  <si>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</si>
  <si>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</si>
  <si>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</si>
  <si>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</si>
  <si>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</si>
  <si>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</si>
  <si>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</si>
  <si>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</si>
  <si>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</si>
  <si>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</si>
  <si>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</si>
  <si>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</si>
  <si>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</si>
  <si>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</si>
  <si>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</si>
  <si>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</si>
  <si>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</si>
  <si>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</si>
  <si>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</si>
  <si>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</si>
  <si>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</si>
  <si>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</si>
  <si>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</si>
  <si>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</si>
  <si>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</si>
  <si>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</si>
  <si>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</si>
  <si>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</si>
  <si>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</si>
  <si>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</si>
  <si>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</si>
  <si>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</si>
  <si>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</si>
  <si>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</si>
  <si>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</si>
  <si>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</si>
  <si>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</si>
  <si>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</si>
  <si>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</si>
  <si>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</si>
  <si>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</si>
  <si>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</si>
  <si>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</si>
  <si>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</si>
  <si>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</si>
  <si>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</si>
  <si>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</si>
  <si>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</si>
  <si>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</si>
  <si>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</si>
  <si>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</si>
  <si>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</si>
  <si>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</si>
  <si>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</si>
  <si>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</si>
  <si>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</si>
  <si>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</si>
  <si>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</si>
  <si>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</si>
  <si>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</si>
  <si>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</si>
  <si>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</si>
  <si>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</si>
  <si>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</si>
  <si>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</si>
  <si>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</si>
  <si>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</si>
  <si>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</si>
  <si>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</si>
  <si>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</si>
  <si>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</si>
  <si>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</si>
  <si>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</si>
  <si>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</si>
  <si>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</si>
  <si>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</si>
  <si>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</si>
  <si>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</si>
  <si>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</si>
  <si>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</si>
  <si>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</si>
  <si>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</si>
  <si>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</si>
  <si>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</si>
  <si>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</si>
  <si>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</si>
  <si>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</si>
  <si>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</si>
  <si>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</si>
  <si>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</si>
  <si>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</si>
  <si>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</si>
  <si>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</si>
  <si>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</si>
  <si>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</si>
  <si>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</si>
  <si>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</si>
  <si>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Count of Parent Category</t>
  </si>
  <si>
    <t>Row Labels</t>
  </si>
  <si>
    <t>Total Count of Parent Category</t>
  </si>
  <si>
    <t>Total Count of outcomes</t>
  </si>
  <si>
    <t>Total Count of country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</si>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</sst>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2B2B2B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1" fillId="0" borderId="0" xfId="0" applyNumberFormat="1" applyFont="1"/>
    <xf numFmtId="0" fontId="3" fillId="2" borderId="0" xfId="1"/>
    <xf numFmtId="44" fontId="3" fillId="2" borderId="0" xfId="1" applyNumberFormat="1"/>
    <xf numFmtId="164" fontId="3" fillId="2" borderId="0" xfId="1" applyNumberFormat="1"/>
    <xf numFmtId="0" fontId="4" fillId="3" borderId="0" xfId="2"/>
    <xf numFmtId="44" fontId="4" fillId="3" borderId="0" xfId="2" applyNumberFormat="1"/>
    <xf numFmtId="164" fontId="4" fillId="3" borderId="0" xfId="2" applyNumberFormat="1"/>
    <xf numFmtId="0" fontId="7" fillId="0" borderId="0" xfId="0" applyFont="1"/>
    <xf numFmtId="0" fontId="0" fillId="0" borderId="0" xfId="0" applyFont="1"/>
    <xf numFmtId="9" fontId="5" fillId="0" borderId="0" xfId="0" applyNumberFormat="1" applyFont="1"/>
  </cellXfs>
  <cellStyles count="3">
    <cellStyle name="Bad" xfId="2" builtinId="27"/>
    <cellStyle name="Good" xfId="1" builtinId="26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0.70711974110032361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4-DD40-8032-47B814DF757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0.29288025889967639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4-DD40-8032-47B814DF757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4-DD40-8032-47B814DF7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857376"/>
        <c:axId val="1124502544"/>
      </c:lineChart>
      <c:catAx>
        <c:axId val="10918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502544"/>
        <c:crosses val="autoZero"/>
        <c:auto val="1"/>
        <c:lblAlgn val="ctr"/>
        <c:lblOffset val="100"/>
        <c:noMultiLvlLbl val="0"/>
      </c:catAx>
      <c:valAx>
        <c:axId val="112450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8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35032463047383E-2"/>
          <c:y val="0.10416666666666667"/>
          <c:w val="0.84007702721370359"/>
          <c:h val="0.8268154761904762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8-5C44-A0C2-CF1BD199F53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8-5C44-A0C2-CF1BD199F53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8-5C44-A0C2-CF1BD199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7151136"/>
        <c:axId val="981189840"/>
      </c:lineChart>
      <c:catAx>
        <c:axId val="214715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89840"/>
        <c:crosses val="autoZero"/>
        <c:auto val="1"/>
        <c:lblAlgn val="ctr"/>
        <c:lblOffset val="100"/>
        <c:noMultiLvlLbl val="0"/>
      </c:catAx>
      <c:valAx>
        <c:axId val="98118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5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9-C444-A99E-4CD922E459C7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9-C444-A99E-4CD922E459C7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9-C444-A99E-4CD922E459C7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E9-C444-A99E-4CD922E459C7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E9-C444-A99E-4CD922E459C7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E9-C444-A99E-4CD922E459C7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E9-C444-A99E-4CD922E459C7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E9-C444-A99E-4CD922E459C7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Statistics'!$J$6:$J$7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E9-C444-A99E-4CD922E459C7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Statistics'!$K$6:$K$7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E9-C444-A99E-4CD922E459C7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Statistics'!$L$6:$L$7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E9-C444-A99E-4CD922E459C7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Statistics'!$M$6:$M$7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E9-C444-A99E-4CD922E45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7738800"/>
        <c:axId val="2137594496"/>
      </c:barChart>
      <c:catAx>
        <c:axId val="21377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4496"/>
        <c:crosses val="autoZero"/>
        <c:auto val="1"/>
        <c:lblAlgn val="ctr"/>
        <c:lblOffset val="100"/>
        <c:noMultiLvlLbl val="0"/>
      </c:catAx>
      <c:valAx>
        <c:axId val="21375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3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9-D241-8763-7A7232407EFC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9-D241-8763-7A7232407EFC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D9-D241-8763-7A7232407EFC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D9-D241-8763-7A7232407EFC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3D9-D241-8763-7A7232407EFC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3D9-D241-8763-7A7232407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343520"/>
        <c:axId val="823810672"/>
      </c:barChart>
      <c:catAx>
        <c:axId val="9813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10672"/>
        <c:crosses val="autoZero"/>
        <c:auto val="1"/>
        <c:lblAlgn val="ctr"/>
        <c:lblOffset val="100"/>
        <c:noMultiLvlLbl val="0"/>
      </c:catAx>
      <c:valAx>
        <c:axId val="82381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892518537223666E-2"/>
          <c:y val="7.407407407407407E-2"/>
          <c:w val="0.69563898900392551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3-5D44-AFD8-8291665A21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83-5D44-AFD8-8291665A21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83-5D44-AFD8-8291665A21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83-5D44-AFD8-8291665A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385040"/>
        <c:axId val="1063373856"/>
      </c:lineChart>
      <c:catAx>
        <c:axId val="10633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73856"/>
        <c:crosses val="autoZero"/>
        <c:auto val="1"/>
        <c:lblAlgn val="ctr"/>
        <c:lblOffset val="100"/>
        <c:noMultiLvlLbl val="0"/>
      </c:catAx>
      <c:valAx>
        <c:axId val="10633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Outliers</a:t>
          </a:r>
        </a:p>
      </cx:txPr>
    </cx:title>
    <cx:plotArea>
      <cx:plotAreaRegion>
        <cx:series layoutId="boxWhisker" uniqueId="{AE9E74FB-D0B6-A34B-822C-DA58EB8C282D}" formatIdx="0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87B609DD-F617-5442-AA89-CBE25B176B66}" formatIdx="1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586B0E-E7B2-3742-8DB2-C3CEC16A68D2}">
  <sheetPr codeName="Chart4"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18</xdr:row>
      <xdr:rowOff>19050</xdr:rowOff>
    </xdr:from>
    <xdr:to>
      <xdr:col>8</xdr:col>
      <xdr:colOff>279400</xdr:colOff>
      <xdr:row>37</xdr:row>
      <xdr:rowOff>228600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BA1340-1876-0142-8D8C-F33D6529E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19</xdr:row>
      <xdr:rowOff>152400</xdr:rowOff>
    </xdr:from>
    <xdr:to>
      <xdr:col>11</xdr:col>
      <xdr:colOff>279400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7B1C6-5E8B-C64C-88EA-ADA5CD29F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0.30807</cdr:x>
      <cdr:y>0.02083</cdr:y>
    </cdr:from>
    <cdr:to>
      <cdr:x>0.67158</cdr:x>
      <cdr:y>0.09821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C07B58-B876-B94A-B673-3FF095E3B95C}"/>
            </a:ext>
          </a:extLst>
        </cdr:cNvPr>
        <cdr:cNvSpPr txBox="1"/>
      </cdr:nvSpPr>
      <cdr:spPr>
        <a:xfrm xmlns:a="http://schemas.openxmlformats.org/drawingml/2006/main">
          <a:off x="2787650" y="88900"/>
          <a:ext cx="32893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Theatre Outcomes Based</a:t>
          </a:r>
          <a:r>
            <a:rPr lang="en-US" sz="1400" baseline="0"/>
            <a:t> on Launch Date</a:t>
          </a:r>
          <a:endParaRPr lang="en-US" sz="14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56E8E6-A17F-C140-938A-BA946AB4D90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A3B5FF-AF6D-D441-BEAE-610CC207F47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17</xdr:row>
      <xdr:rowOff>25400</xdr:rowOff>
    </xdr:from>
    <xdr:to>
      <xdr:col>13</xdr:col>
      <xdr:colOff>723900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77757-E6A4-4241-9437-B06729D62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51</xdr:row>
      <xdr:rowOff>25400</xdr:rowOff>
    </xdr:from>
    <xdr:to>
      <xdr:col>6</xdr:col>
      <xdr:colOff>1066800</xdr:colOff>
      <xdr:row>71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DAA5F-6A67-E24A-A7BD-9309461B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20</xdr:row>
      <xdr:rowOff>0</xdr:rowOff>
    </xdr:from>
    <xdr:to>
      <xdr:col>7</xdr:col>
      <xdr:colOff>825500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2C18D-2CC0-A04E-8842-E7C576A46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1.996496527776" createdVersion="7" refreshedVersion="7" minRefreshableVersion="3" recordCount="4114" xr:uid="{A573C55D-4C7E-F54C-9739-824525516F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2.543770949072" createdVersion="7" refreshedVersion="7" minRefreshableVersion="3" recordCount="4114" xr:uid="{4CF5F839-F704-8340-97EC-AE7B30548E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0.86221608796" createdVersion="7" refreshedVersion="7" minRefreshableVersion="3" recordCount="4114" xr:uid="{F22C1B2E-00A1-8749-9211-9C499C0BAD7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C103B-15E2-E045-A60A-FF434176AE67}" name="PivotTable6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299D5-EF39-2046-8CE3-9DAFD43FACB2}" name="PivotTable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P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Parent Category" fld="16" subtotal="count" baseField="0" baseItem="0"/>
    <dataField name="Count of outcomes" fld="5" subtotal="count" baseField="0" baseItem="0"/>
    <dataField name="Count of country" fld="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864A5-00B5-7241-8530-4650478890E0}" name="PivotTable2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I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5"/>
    <field x="-2"/>
  </colFields>
  <colItems count="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country" fld="6" subtotal="count" baseField="0" baseItem="0"/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BA44E-02BD-2043-9119-4808307B1B2E}" name="PivotTable3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R1" zoomScaleNormal="100" workbookViewId="0">
      <selection activeCell="U1" sqref="U1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18.33203125" customWidth="1"/>
    <col min="17" max="17" width="41.1640625" customWidth="1"/>
    <col min="18" max="18" width="10.83203125" customWidth="1"/>
    <col min="19" max="19" width="21.1640625" style="16" customWidth="1"/>
    <col min="20" max="20" width="18.33203125" customWidth="1"/>
    <col min="21" max="21" width="15.3320312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8370</v>
      </c>
      <c r="T1" s="1" t="s">
        <v>8371</v>
      </c>
      <c r="U1" s="1" t="s">
        <v>8384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ref="P130:P193" si="10">IFERROR(ROUND(E130/L130,2),0)</f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0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0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0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0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0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5">IFERROR(ROUND(E194/L194,2),0)</f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5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5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5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5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5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ref="P258:P321" si="20">IFERROR(ROUND(E258/L258,2),0)</f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0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0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0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0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0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ref="P322:P385" si="25">IFERROR(ROUND(E322/L322,2),0)</f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5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5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5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5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5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ref="P386:P449" si="30">IFERROR(ROUND(E386/L386,2),0)</f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0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0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0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0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0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ref="P450:P513" si="35">IFERROR(ROUND(E450/L450,2),0)</f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5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5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5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5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5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ref="P514:P577" si="40">IFERROR(ROUND(E514/L514,2),0)</f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0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0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0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0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0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ref="P578:P641" si="45">IFERROR(ROUND(E578/L578,2),0)</f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5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5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5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5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5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ref="P642:P705" si="50">IFERROR(ROUND(E642/L642,2),0)</f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0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0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0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0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0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ref="P706:P769" si="55">IFERROR(ROUND(E706/L706,2),0)</f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5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5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5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5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5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ref="P770:P833" si="60">IFERROR(ROUND(E770/L770,2),0)</f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0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0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0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0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0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ref="P834:P897" si="65">IFERROR(ROUND(E834/L834,2),0)</f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5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5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5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5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5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ref="P898:P961" si="70">IFERROR(ROUND(E898/L898,2),0)</f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0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0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0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0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0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ref="P962:P1025" si="75">IFERROR(ROUND(E962/L962,2),0)</f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5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5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5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5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5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ref="P1026:P1089" si="80">IFERROR(ROUND(E1026/L1026,2),0)</f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0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0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0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0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0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ref="P1090:P1153" si="85">IFERROR(ROUND(E1090/L1090,2),0)</f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5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5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5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5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5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ref="P1154:P1217" si="90">IFERROR(ROUND(E1154/L1154,2),0)</f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0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0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0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0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0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ref="P1218:P1281" si="95">IFERROR(ROUND(E1218/L1218,2),0)</f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5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5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5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5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5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ref="P1282:P1345" si="100">IFERROR(ROUND(E1282/L1282,2),0)</f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0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0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0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0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0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ref="P1346:P1409" si="105">IFERROR(ROUND(E1346/L1346,2),0)</f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5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5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5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5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5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ref="P1410:P1473" si="110">IFERROR(ROUND(E1410/L1410,2),0)</f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0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0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0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0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0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ref="P1474:P1537" si="115">IFERROR(ROUND(E1474/L1474,2),0)</f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5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5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5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5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5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ref="P1538:P1601" si="120">IFERROR(ROUND(E1538/L1538,2),0)</f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0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0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0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0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0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ref="P1602:P1665" si="125">IFERROR(ROUND(E1602/L1602,2),0)</f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5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5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5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5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5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ref="P1666:P1729" si="130">IFERROR(ROUND(E1666/L1666,2),0)</f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0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0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0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0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0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ref="P1730:P1793" si="135">IFERROR(ROUND(E1730/L1730,2),0)</f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5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5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5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5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5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ref="P1794:P1857" si="140">IFERROR(ROUND(E1794/L1794,2),0)</f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0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0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0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0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0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ref="P1858:P1921" si="145">IFERROR(ROUND(E1858/L1858,2),0)</f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5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5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5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5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5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ref="P1922:P1985" si="150">IFERROR(ROUND(E1922/L1922,2),0)</f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0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0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0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0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0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ref="P1986:P2049" si="155">IFERROR(ROUND(E1986/L1986,2),0)</f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5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5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5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5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5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ref="P2050:P2113" si="160">IFERROR(ROUND(E2050/L2050,2),0)</f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0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0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0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0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0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ref="P2114:P2177" si="165">IFERROR(ROUND(E2114/L2114,2),0)</f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5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5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5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5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5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ref="P2178:P2241" si="170">IFERROR(ROUND(E2178/L2178,2),0)</f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0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0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0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0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0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ref="P2242:P2305" si="175">IFERROR(ROUND(E2242/L2242,2),0)</f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5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5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5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5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5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ref="P2306:P2369" si="180">IFERROR(ROUND(E2306/L2306,2),0)</f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0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0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0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0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0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ref="P2370:P2433" si="185">IFERROR(ROUND(E2370/L2370,2),0)</f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5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5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5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5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5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ref="P2434:P2497" si="190">IFERROR(ROUND(E2434/L2434,2),0)</f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0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0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0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0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0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ref="P2498:P2561" si="195">IFERROR(ROUND(E2498/L2498,2),0)</f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5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5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5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5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5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ref="P2562:P2625" si="200">IFERROR(ROUND(E2562/L2562,2),0)</f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0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0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0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0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0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ref="P2626:P2689" si="205">IFERROR(ROUND(E2626/L2626,2),0)</f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5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5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5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5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5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ref="P2690:P2753" si="210">IFERROR(ROUND(E2690/L2690,2),0)</f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0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0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0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0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0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ref="P2754:P2817" si="215">IFERROR(ROUND(E2754/L2754,2),0)</f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5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5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5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5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5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ref="P2818:P2881" si="220">IFERROR(ROUND(E2818/L2818,2),0)</f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0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0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0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0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0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ref="P2882:P2945" si="225">IFERROR(ROUND(E2882/L2882,2),0)</f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5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5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5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5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5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ref="P2946:P3009" si="230">IFERROR(ROUND(E2946/L2946,2),0)</f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0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0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0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0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0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ref="P3010:P3073" si="235">IFERROR(ROUND(E3010/L3010,2),0)</f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5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5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5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5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5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ref="P3074:P3137" si="240">IFERROR(ROUND(E3074/L3074,2),0)</f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0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0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0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0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0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ref="P3138:P3201" si="245">IFERROR(ROUND(E3138/L3138,2),0)</f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5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5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5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5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5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ref="P3202:P3265" si="250">IFERROR(ROUND(E3202/L3202,2),0)</f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0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0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0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0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0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ref="P3266:P3329" si="255">IFERROR(ROUND(E3266/L3266,2),0)</f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5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5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5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5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5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ref="P3330:P3393" si="260">IFERROR(ROUND(E3330/L3330,2),0)</f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0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0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0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0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0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ref="P3394:P3457" si="265">IFERROR(ROUND(E3394/L3394,2),0)</f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5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5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5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5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5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ref="P3458:P3521" si="270">IFERROR(ROUND(E3458/L3458,2),0)</f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0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0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0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0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0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ref="P3522:P3585" si="275">IFERROR(ROUND(E3522/L3522,2),0)</f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5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5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5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5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5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ref="P3586:P3649" si="280">IFERROR(ROUND(E3586/L3586,2),0)</f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0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0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0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0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0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ref="P3650:P3713" si="285">IFERROR(ROUND(E3650/L3650,2),0)</f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5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5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5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5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5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ref="P3714:P3777" si="290">IFERROR(ROUND(E3714/L3714,2),0)</f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0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0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0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0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0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ref="P3778:P3841" si="295">IFERROR(ROUND(E3778/L3778,2),0)</f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5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5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5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5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5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ref="P3842:P3905" si="300">IFERROR(ROUND(E3842/L3842,2),0)</f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0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0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0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0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0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ref="P3906:P3969" si="305">IFERROR(ROUND(E3906/L3906,2),0)</f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5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5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5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5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5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ref="P3970:P4033" si="310">IFERROR(ROUND(E3970/L3970,2),0)</f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0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0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0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0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0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ref="P4034:P4097" si="315">IFERROR(ROUND(E4034/L4034,2),0)</f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5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5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5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5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5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ref="P4098:P4115" si="320">IFERROR(ROUND(E4098/L4098,2),0)</f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3" operator="equal">
      <formula>"cancelled"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ontainsText" dxfId="8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F0062-148F-BB47-A212-E2C7092B6457}">
  <sheetPr codeName="Sheet2"/>
  <dimension ref="A1:H16"/>
  <sheetViews>
    <sheetView workbookViewId="0">
      <selection activeCell="C17" sqref="C17"/>
    </sheetView>
  </sheetViews>
  <sheetFormatPr baseColWidth="10" defaultRowHeight="19" x14ac:dyDescent="0.25"/>
  <cols>
    <col min="1" max="1" width="17" style="18" customWidth="1"/>
    <col min="2" max="2" width="22.1640625" style="18" customWidth="1"/>
    <col min="3" max="3" width="16.5" style="18" customWidth="1"/>
    <col min="4" max="4" width="20.1640625" style="18" customWidth="1"/>
    <col min="5" max="5" width="15.6640625" style="18" customWidth="1"/>
    <col min="6" max="6" width="25.1640625" style="18" customWidth="1"/>
    <col min="7" max="7" width="20.1640625" style="18" customWidth="1"/>
    <col min="8" max="8" width="23.5" style="18" customWidth="1"/>
  </cols>
  <sheetData>
    <row r="1" spans="1:8" s="28" customFormat="1" ht="18" x14ac:dyDescent="0.2">
      <c r="A1" s="27" t="s">
        <v>8387</v>
      </c>
      <c r="B1" s="27" t="s">
        <v>8403</v>
      </c>
      <c r="C1" s="27" t="s">
        <v>8404</v>
      </c>
      <c r="D1" s="27" t="s">
        <v>8405</v>
      </c>
      <c r="E1" s="27" t="s">
        <v>8406</v>
      </c>
      <c r="F1" s="27" t="s">
        <v>8407</v>
      </c>
      <c r="G1" s="27" t="s">
        <v>8408</v>
      </c>
      <c r="H1" s="27" t="s">
        <v>8409</v>
      </c>
    </row>
    <row r="2" spans="1:8" x14ac:dyDescent="0.25">
      <c r="A2" s="18" t="s">
        <v>8410</v>
      </c>
      <c r="B2" s="18">
        <f>COUNTIFS(Kickstarter!$D:$D,"&lt;1000",Kickstarter!$F:$F, "successful",Kickstarter!$R:$R, "plays")</f>
        <v>141</v>
      </c>
      <c r="C2" s="18">
        <f>COUNTIFS(Kickstarter!$D:$D,"&lt;1000",Kickstarter!$F:$F, "failed",Kickstarter!$R:$R, "plays")</f>
        <v>45</v>
      </c>
      <c r="D2" s="18">
        <f>COUNTIFS(Kickstarter!$D:$D,"&lt;1000",Kickstarter!$F:$F, "canceled",Kickstarter!$R:$R, "plays")</f>
        <v>0</v>
      </c>
      <c r="E2" s="18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25">
      <c r="A3" s="18" t="s">
        <v>8412</v>
      </c>
      <c r="B3" s="18">
        <f>COUNTIFS(Kickstarter!$D:$D,"&gt;=1000",Kickstarter!$F:$F, "successful",Kickstarter!$D:$D,"&lt;=5000",Kickstarter!$R:$R, "plays")</f>
        <v>437</v>
      </c>
      <c r="C3" s="18">
        <f>COUNTIFS(Kickstarter!$D:$D,"&gt;=1000",Kickstarter!$F:$F, "failed",Kickstarter!$D:$D,"&lt;=5000",Kickstarter!$R:$R, "plays")</f>
        <v>181</v>
      </c>
      <c r="D3" s="18">
        <f>COUNTIFS(Kickstarter!$D:$D,"&gt;=1000",Kickstarter!$F:$F, "canceled",Kickstarter!$D:$D,"&lt;=5000",Kickstarter!$R:$R, "plays")</f>
        <v>0</v>
      </c>
      <c r="E3" s="18">
        <f t="shared" ref="E3:E13" si="0">SUM(B3:D3)</f>
        <v>618</v>
      </c>
      <c r="F3" s="29">
        <f t="shared" ref="F3:F13" si="1">B3/E3</f>
        <v>0.70711974110032361</v>
      </c>
      <c r="G3" s="29">
        <f t="shared" ref="G3:G13" si="2">C3/E3</f>
        <v>0.29288025889967639</v>
      </c>
      <c r="H3" s="29">
        <f t="shared" ref="H3:H13" si="3">D3/E3</f>
        <v>0</v>
      </c>
    </row>
    <row r="4" spans="1:8" x14ac:dyDescent="0.25">
      <c r="A4" s="18" t="s">
        <v>8411</v>
      </c>
      <c r="B4" s="18">
        <f>COUNTIFS(Kickstarter!$D:$D,"&gt;=5000",Kickstarter!$F:$F, "successful",Kickstarter!$D:$D,"&lt;=9999",Kickstarter!$R:$R, "plays")</f>
        <v>93</v>
      </c>
      <c r="C4" s="18">
        <f>COUNTIFS(Kickstarter!$D:$D,"&gt;=5000",Kickstarter!$F:$F, "failed",Kickstarter!$D:$D,"&lt;=9999",Kickstarter!$R:$R, "plays")</f>
        <v>76</v>
      </c>
      <c r="D4" s="18">
        <f>COUNTIFS(Kickstarter!$D:$D,"&gt;=5000",Kickstarter!$F:$F, "canceled",Kickstarter!$D:$D,"&lt;=9999",Kickstarter!$R:$R, "plays")</f>
        <v>0</v>
      </c>
      <c r="E4" s="18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25">
      <c r="A5" s="18" t="s">
        <v>8413</v>
      </c>
      <c r="B5" s="18">
        <f>COUNTIFS(Kickstarter!$D:$D,"&gt;=10000",Kickstarter!$F:$F, "successful",Kickstarter!$D:$D,"&lt;=14999",Kickstarter!$R:$R, "plays")</f>
        <v>39</v>
      </c>
      <c r="C5" s="18">
        <f>COUNTIFS(Kickstarter!$D:$D,"&gt;=10000",Kickstarter!$F:$F, "failed",Kickstarter!$D:$D,"&lt;=14999",Kickstarter!$R:$R, "plays")</f>
        <v>33</v>
      </c>
      <c r="D5" s="18">
        <f>COUNTIFS(Kickstarter!$D:$D,"&gt;=10000",Kickstarter!$F:$F, "canceled",Kickstarter!$D:$D,"&lt;=14999",Kickstarter!$R:$R, "plays")</f>
        <v>0</v>
      </c>
      <c r="E5" s="18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25">
      <c r="A6" s="18" t="s">
        <v>8414</v>
      </c>
      <c r="B6" s="18">
        <f>COUNTIFS(Kickstarter!$D:$D,"&gt;=15000",Kickstarter!$F:$F, "successful",Kickstarter!$D:$D,"&lt;=19999",Kickstarter!$R:$R, "plays")</f>
        <v>12</v>
      </c>
      <c r="C6" s="18">
        <f>COUNTIFS(Kickstarter!$D:$D,"&gt;=15000",Kickstarter!$F:$F, "failed",Kickstarter!$D:$D,"&lt;=19999",Kickstarter!$R:$R, "plays")</f>
        <v>12</v>
      </c>
      <c r="D6" s="18">
        <f>COUNTIFS(Kickstarter!$D:$D,"&gt;=15000",Kickstarter!$F:$F, "canceled",Kickstarter!$D:$D,"&lt;=19999",Kickstarter!$R:$R, "plays")</f>
        <v>0</v>
      </c>
      <c r="E6" s="18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25">
      <c r="A7" s="18" t="s">
        <v>8415</v>
      </c>
      <c r="B7" s="18">
        <f>COUNTIFS(Kickstarter!$D:$D,"&gt;=20000",Kickstarter!$F:$F, "successful",Kickstarter!$D:$D,"&lt;=24999",Kickstarter!$R:$R, "plays")</f>
        <v>9</v>
      </c>
      <c r="C7" s="18">
        <f>COUNTIFS(Kickstarter!$D:$D,"&gt;=20000",Kickstarter!$F:$F, "failed",Kickstarter!$D:$D,"&lt;=24999",Kickstarter!$R:$R, "plays")</f>
        <v>11</v>
      </c>
      <c r="D7" s="18">
        <f>COUNTIFS(Kickstarter!$D:$D,"&gt;=20000",Kickstarter!$F:$F, "canceled",Kickstarter!$D:$D,"&lt;=24999",Kickstarter!$R:$R, "plays")</f>
        <v>0</v>
      </c>
      <c r="E7" s="18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25">
      <c r="A8" s="18" t="s">
        <v>8416</v>
      </c>
      <c r="B8" s="18">
        <f>COUNTIFS(Kickstarter!$D:$D,"&gt;=25000",Kickstarter!$F:$F, "successful",Kickstarter!$D:$D,"&lt;=29999",Kickstarter!$R:$R, "plays")</f>
        <v>1</v>
      </c>
      <c r="C8" s="18">
        <f>COUNTIFS(Kickstarter!$D:$D,"&gt;=25000",Kickstarter!$F:$F, "failed",Kickstarter!$D:$D,"&lt;=29999",Kickstarter!$R:$R, "plays")</f>
        <v>4</v>
      </c>
      <c r="D8" s="18">
        <f>COUNTIFS(Kickstarter!$D:$D,"&gt;=25000",Kickstarter!$F:$F, "canceled",Kickstarter!$D:$D,"&lt;=29999",Kickstarter!$R:$R, "plays")</f>
        <v>0</v>
      </c>
      <c r="E8" s="1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25">
      <c r="A9" s="18" t="s">
        <v>8417</v>
      </c>
      <c r="B9" s="18">
        <f>COUNTIFS(Kickstarter!$D:$D,"&gt;=30000",Kickstarter!$F:$F, "successful",Kickstarter!$D:$D,"&lt;=34999",Kickstarter!$R:$R, "plays")</f>
        <v>3</v>
      </c>
      <c r="C9" s="18">
        <f>COUNTIFS(Kickstarter!$D:$D,"&gt;=30000",Kickstarter!$F:$F, "failed",Kickstarter!$D:$D,"&lt;=34999",Kickstarter!$R:$R, "plays")</f>
        <v>8</v>
      </c>
      <c r="D9" s="18">
        <f>COUNTIFS(Kickstarter!$D:$D,"&gt;=30000",Kickstarter!$F:$F, "canceled",Kickstarter!$D:$D,"&lt;=34999",Kickstarter!$R:$R, "plays")</f>
        <v>0</v>
      </c>
      <c r="E9" s="18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25">
      <c r="A10" s="18" t="s">
        <v>8418</v>
      </c>
      <c r="B10" s="18">
        <f>COUNTIFS(Kickstarter!$D:$D,"&gt;=35000",Kickstarter!$F:$F, "successful",Kickstarter!$D:$D,"&lt;=39999",Kickstarter!$R:$R, "plays")</f>
        <v>4</v>
      </c>
      <c r="C10" s="18">
        <f>COUNTIFS(Kickstarter!$D:$D,"&gt;=35000",Kickstarter!$F:$F, "failed",Kickstarter!$D:$D,"&lt;=39999",Kickstarter!$R:$R, "plays")</f>
        <v>2</v>
      </c>
      <c r="D10" s="18">
        <f>COUNTIFS(Kickstarter!$D:$D,"&gt;=35000",Kickstarter!$F:$F, "canceled",Kickstarter!$D:$D,"&lt;=39999",Kickstarter!$R:$R, "plays")</f>
        <v>0</v>
      </c>
      <c r="E10" s="18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25">
      <c r="A11" s="18" t="s">
        <v>8419</v>
      </c>
      <c r="B11" s="18">
        <f>COUNTIFS(Kickstarter!$D:$D,"&gt;=40000",Kickstarter!$F:$F, "successful",Kickstarter!$D:$D,"&lt;=44999",Kickstarter!$R:$R, "plays")</f>
        <v>2</v>
      </c>
      <c r="C11" s="18">
        <f>COUNTIFS(Kickstarter!$D:$D,"&gt;=40000",Kickstarter!$F:$F, "failed",Kickstarter!$D:$D,"&lt;=44999",Kickstarter!$R:$R, "plays")</f>
        <v>1</v>
      </c>
      <c r="D11" s="18">
        <f>COUNTIFS(Kickstarter!$D:$D,"&gt;=40000",Kickstarter!$F:$F, "canceled",Kickstarter!$D:$D,"&lt;=44999",Kickstarter!$R:$R, "plays")</f>
        <v>0</v>
      </c>
      <c r="E11" s="18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25">
      <c r="A12" s="18" t="s">
        <v>8420</v>
      </c>
      <c r="B12" s="18">
        <f>COUNTIFS(Kickstarter!$D:$D,"&gt;=45000",Kickstarter!$F:$F, "successful",Kickstarter!$D:$D,"&lt;=49999",Kickstarter!$R:$R, "plays")</f>
        <v>0</v>
      </c>
      <c r="C12" s="18">
        <f>COUNTIFS(Kickstarter!$D:$D,"&gt;=45000",Kickstarter!$F:$F, "failed",Kickstarter!$D:$D,"&lt;=49999",Kickstarter!$R:$R, "plays")</f>
        <v>1</v>
      </c>
      <c r="D12" s="18">
        <f>COUNTIFS(Kickstarter!$D:$D,"&gt;=45000",Kickstarter!$F:$F, "canceled",Kickstarter!$D:$D,"&lt;=49999",Kickstarter!$R:$R, "plays")</f>
        <v>0</v>
      </c>
      <c r="E12" s="18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25">
      <c r="A13" s="18" t="s">
        <v>8421</v>
      </c>
      <c r="B13" s="18">
        <f>COUNTIFS(Kickstarter!$D:$D,"&gt;50000",Kickstarter!$F:$F, "successful",Kickstarter!$R:$R, "plays")</f>
        <v>2</v>
      </c>
      <c r="C13" s="18">
        <f>COUNTIFS(Kickstarter!$D:$D,"&gt;50000",Kickstarter!$F:$F, "failed",Kickstarter!$R:$R, "plays")</f>
        <v>10</v>
      </c>
      <c r="D13" s="18">
        <f>COUNTIFS(Kickstarter!$D:$D,"&gt;50000",Kickstarter!$F:$F, "canceled",Kickstarter!$R:$R, "plays")</f>
        <v>0</v>
      </c>
      <c r="E13" s="18">
        <f t="shared" si="0"/>
        <v>12</v>
      </c>
      <c r="F13" s="29">
        <f t="shared" si="1"/>
        <v>0.16666666666666666</v>
      </c>
      <c r="G13" s="29">
        <f t="shared" si="2"/>
        <v>0.83333333333333337</v>
      </c>
      <c r="H13" s="29">
        <f t="shared" si="3"/>
        <v>0</v>
      </c>
    </row>
    <row r="16" spans="1:8" x14ac:dyDescent="0.25">
      <c r="B16" s="18" t="s">
        <v>8218</v>
      </c>
      <c r="C16" s="18" t="s">
        <v>8220</v>
      </c>
      <c r="D16" s="18" t="s">
        <v>8219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75691-3D43-EE43-B52E-1884DC05D10D}">
  <sheetPr codeName="Sheet3"/>
  <dimension ref="A1:E18"/>
  <sheetViews>
    <sheetView workbookViewId="0">
      <selection activeCell="G17" sqref="G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8384</v>
      </c>
      <c r="B2" t="s">
        <v>8369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8378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7" t="s">
        <v>8379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7" t="s">
        <v>8380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7" t="s">
        <v>8381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7" t="s">
        <v>8372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7" t="s">
        <v>8382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7" t="s">
        <v>8373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7" t="s">
        <v>8374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7" t="s">
        <v>8375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7" t="s">
        <v>8376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7" t="s">
        <v>8377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7" t="s">
        <v>8383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0A0BC-A6CD-FF4C-A0E2-F631640ED2FE}">
  <sheetPr codeName="Sheet5"/>
  <dimension ref="A1:T251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8370</v>
      </c>
      <c r="T1" s="1" t="s">
        <v>8371</v>
      </c>
    </row>
    <row r="2" spans="1:20" ht="22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"cancelled"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ontainsText" dxfId="4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EBFB-843C-4045-8E4E-1404A550B236}">
  <sheetPr codeName="Sheet6"/>
  <dimension ref="A1:C31"/>
  <sheetViews>
    <sheetView workbookViewId="0">
      <selection activeCell="B4" sqref="B4"/>
    </sheetView>
  </sheetViews>
  <sheetFormatPr baseColWidth="10" defaultRowHeight="15" x14ac:dyDescent="0.2"/>
  <cols>
    <col min="1" max="1" width="23.6640625" customWidth="1"/>
    <col min="2" max="3" width="11.83203125" customWidth="1"/>
  </cols>
  <sheetData>
    <row r="1" spans="1:3" ht="16" x14ac:dyDescent="0.2">
      <c r="B1" s="21" t="s">
        <v>8393</v>
      </c>
      <c r="C1" s="24" t="s">
        <v>8394</v>
      </c>
    </row>
    <row r="2" spans="1:3" ht="21" customHeight="1" x14ac:dyDescent="0.2">
      <c r="A2" t="s">
        <v>8389</v>
      </c>
      <c r="B2" s="22">
        <f>AVERAGE('Successful US Kickstarters'!D:D)</f>
        <v>5048.8786407766993</v>
      </c>
      <c r="C2" s="25">
        <f>AVERAGE('Failed US Kickstarters'!D:D)</f>
        <v>10554.212</v>
      </c>
    </row>
    <row r="3" spans="1:3" ht="21" customHeight="1" x14ac:dyDescent="0.2">
      <c r="A3" t="s">
        <v>8390</v>
      </c>
      <c r="B3" s="22">
        <f>MEDIAN('Successful US Kickstarters'!D:D)</f>
        <v>3000</v>
      </c>
      <c r="C3" s="25">
        <f>MEDIAN('Failed US Kickstarters'!D:D)</f>
        <v>5000</v>
      </c>
    </row>
    <row r="4" spans="1:3" ht="21" customHeight="1" x14ac:dyDescent="0.2">
      <c r="A4" t="s">
        <v>8395</v>
      </c>
      <c r="B4" s="22">
        <f>_xlfn.STDEV.P('Successful US Kickstarters'!D:D)</f>
        <v>7748.7537726373303</v>
      </c>
      <c r="C4" s="25">
        <f>_xlfn.STDEV.P('Failed US Kickstarters'!D:D)</f>
        <v>21967.731061515115</v>
      </c>
    </row>
    <row r="5" spans="1:3" ht="21" customHeight="1" x14ac:dyDescent="0.2">
      <c r="A5" t="s">
        <v>8396</v>
      </c>
      <c r="B5" s="22">
        <f>_xlfn.QUARTILE.EXC('Successful US Kickstarters'!D:D, 3)</f>
        <v>5000</v>
      </c>
      <c r="C5" s="25">
        <f>_xlfn.QUARTILE.EXC('Failed US Kickstarters'!D:D, 3)</f>
        <v>10000</v>
      </c>
    </row>
    <row r="6" spans="1:3" ht="21" customHeight="1" x14ac:dyDescent="0.2">
      <c r="A6" t="s">
        <v>8397</v>
      </c>
      <c r="B6" s="22">
        <f>_xlfn.QUARTILE.EXC('Successful US Kickstarters'!D:D, 1)</f>
        <v>1500</v>
      </c>
      <c r="C6" s="25">
        <f>_xlfn.QUARTILE.EXC('Failed US Kickstarters'!D:D, 1)</f>
        <v>2000</v>
      </c>
    </row>
    <row r="7" spans="1:3" ht="21" customHeight="1" x14ac:dyDescent="0.2">
      <c r="A7" t="s">
        <v>8398</v>
      </c>
      <c r="B7" s="22">
        <f>B5-B6</f>
        <v>3500</v>
      </c>
      <c r="C7" s="25">
        <f>C5-C6</f>
        <v>8000</v>
      </c>
    </row>
    <row r="8" spans="1:3" ht="21" customHeight="1" x14ac:dyDescent="0.2">
      <c r="B8" s="21"/>
      <c r="C8" s="24"/>
    </row>
    <row r="9" spans="1:3" ht="21" customHeight="1" x14ac:dyDescent="0.2">
      <c r="A9" t="s">
        <v>8391</v>
      </c>
      <c r="B9" s="23">
        <f>AVERAGE('Successful US Kickstarters'!E:E)</f>
        <v>5601.5458009708727</v>
      </c>
      <c r="C9" s="26">
        <f>AVERAGE('Failed US Kickstarters'!E:E)</f>
        <v>558.65484000000004</v>
      </c>
    </row>
    <row r="10" spans="1:3" ht="21" customHeight="1" x14ac:dyDescent="0.2">
      <c r="A10" t="s">
        <v>8392</v>
      </c>
      <c r="B10" s="23">
        <f>MEDIAN('Successful US Kickstarters'!E:E)</f>
        <v>3167.5</v>
      </c>
      <c r="C10" s="26">
        <f>MEDIAN('Failed US Kickstarters'!E:E)</f>
        <v>103</v>
      </c>
    </row>
    <row r="11" spans="1:3" ht="21" customHeight="1" x14ac:dyDescent="0.2">
      <c r="A11" t="s">
        <v>8399</v>
      </c>
      <c r="B11" s="23">
        <f>_xlfn.STDEV.P('Successful US Kickstarters'!E:E)</f>
        <v>8334.5731699164608</v>
      </c>
      <c r="C11" s="26">
        <f>_xlfn.STDEV.P('Failed US Kickstarters'!E:E)</f>
        <v>1330.5230280400915</v>
      </c>
    </row>
    <row r="12" spans="1:3" ht="21" customHeight="1" x14ac:dyDescent="0.2">
      <c r="A12" t="s">
        <v>8400</v>
      </c>
      <c r="B12" s="23">
        <f>_xlfn.QUARTILE.EXC('Successful US Kickstarters'!E:E, 3)</f>
        <v>5699</v>
      </c>
      <c r="C12" s="26">
        <f>_xlfn.QUARTILE.EXC('Failed US Kickstarters'!E:E, 3)</f>
        <v>501</v>
      </c>
    </row>
    <row r="13" spans="1:3" ht="21" customHeight="1" x14ac:dyDescent="0.2">
      <c r="A13" t="s">
        <v>8401</v>
      </c>
      <c r="B13" s="23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ht="21" customHeight="1" x14ac:dyDescent="0.2">
      <c r="A14" t="s">
        <v>8402</v>
      </c>
      <c r="B14" s="23">
        <f>B12-B13</f>
        <v>3982.4925000000003</v>
      </c>
      <c r="C14" s="26">
        <f>C12-C13</f>
        <v>491.75</v>
      </c>
    </row>
    <row r="15" spans="1:3" ht="21" customHeight="1" x14ac:dyDescent="0.2"/>
    <row r="16" spans="1:3" ht="21" customHeight="1" x14ac:dyDescent="0.2"/>
    <row r="17" ht="21" customHeight="1" x14ac:dyDescent="0.2"/>
    <row r="18" ht="21" customHeight="1" x14ac:dyDescent="0.2"/>
    <row r="19" ht="21" customHeight="1" x14ac:dyDescent="0.2"/>
    <row r="20" ht="21" customHeight="1" x14ac:dyDescent="0.2"/>
    <row r="21" ht="21" customHeight="1" x14ac:dyDescent="0.2"/>
    <row r="22" ht="21" customHeight="1" x14ac:dyDescent="0.2"/>
    <row r="23" ht="21" customHeight="1" x14ac:dyDescent="0.2"/>
    <row r="24" ht="21" customHeight="1" x14ac:dyDescent="0.2"/>
    <row r="25" ht="21" customHeight="1" x14ac:dyDescent="0.2"/>
    <row r="26" ht="21" customHeight="1" x14ac:dyDescent="0.2"/>
    <row r="27" ht="21" customHeight="1" x14ac:dyDescent="0.2"/>
    <row r="28" ht="21" customHeight="1" x14ac:dyDescent="0.2"/>
    <row r="29" ht="21" customHeight="1" x14ac:dyDescent="0.2"/>
    <row r="30" ht="21" customHeight="1" x14ac:dyDescent="0.2"/>
    <row r="31" ht="25" customHeight="1" x14ac:dyDescent="0.2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5B73-0815-1D42-99EA-ACB4DF2EC4F5}">
  <sheetPr codeName="Sheet7"/>
  <dimension ref="A1:T413"/>
  <sheetViews>
    <sheetView topLeftCell="B1" workbookViewId="0">
      <selection activeCell="J5" sqref="J5"/>
    </sheetView>
  </sheetViews>
  <sheetFormatPr baseColWidth="10" defaultRowHeight="15" x14ac:dyDescent="0.2"/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8370</v>
      </c>
      <c r="T1" s="1" t="s">
        <v>8371</v>
      </c>
    </row>
    <row r="2" spans="1:20" ht="224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8A6D-33E6-304F-BF00-EE2FC1ED3F87}">
  <sheetPr codeName="Sheet8"/>
  <dimension ref="A1:D6"/>
  <sheetViews>
    <sheetView workbookViewId="0">
      <selection activeCell="B10" sqref="B10"/>
    </sheetView>
  </sheetViews>
  <sheetFormatPr baseColWidth="10" defaultRowHeight="19" x14ac:dyDescent="0.25"/>
  <cols>
    <col min="1" max="1" width="35.33203125" style="18" customWidth="1"/>
    <col min="2" max="2" width="119.33203125" style="18" customWidth="1"/>
    <col min="3" max="3" width="14" style="18" customWidth="1"/>
    <col min="4" max="4" width="20.5" style="18" customWidth="1"/>
    <col min="5" max="16384" width="10.83203125" style="18"/>
  </cols>
  <sheetData>
    <row r="1" spans="1:4" ht="29" customHeight="1" x14ac:dyDescent="0.25">
      <c r="A1" s="19" t="s">
        <v>8386</v>
      </c>
      <c r="B1" s="19" t="s">
        <v>8385</v>
      </c>
      <c r="C1" s="18" t="s">
        <v>8387</v>
      </c>
      <c r="D1" s="18" t="s">
        <v>8388</v>
      </c>
    </row>
    <row r="2" spans="1:4" ht="80" customHeight="1" x14ac:dyDescent="0.25">
      <c r="A2" s="18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</row>
    <row r="3" spans="1:4" ht="80" customHeight="1" x14ac:dyDescent="0.25">
      <c r="A3" s="18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</row>
    <row r="4" spans="1:4" ht="80" customHeight="1" x14ac:dyDescent="0.25">
      <c r="A4" s="18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</row>
    <row r="5" spans="1:4" ht="80" customHeight="1" x14ac:dyDescent="0.25">
      <c r="A5" s="18" t="s">
        <v>3329</v>
      </c>
      <c r="B5" s="20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</row>
    <row r="6" spans="1:4" ht="80" customHeight="1" x14ac:dyDescent="0.25">
      <c r="A6" s="18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9A763-CFBE-314C-9E31-7BA029CE7787}">
  <sheetPr codeName="Sheet9"/>
  <dimension ref="A1:P7"/>
  <sheetViews>
    <sheetView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20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14" bestFit="1" customWidth="1"/>
    <col min="11" max="11" width="5.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0" bestFit="1" customWidth="1"/>
    <col min="16" max="16" width="18.33203125" bestFit="1" customWidth="1"/>
    <col min="17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3" max="25" width="10.832031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8" width="15.6640625" bestFit="1" customWidth="1"/>
    <col min="39" max="39" width="14.6640625" bestFit="1" customWidth="1"/>
    <col min="40" max="46" width="8.83203125" bestFit="1" customWidth="1"/>
    <col min="47" max="47" width="10.1640625" bestFit="1" customWidth="1"/>
    <col min="48" max="48" width="11" bestFit="1" customWidth="1"/>
    <col min="49" max="49" width="13.5" bestFit="1" customWidth="1"/>
    <col min="50" max="53" width="8.83203125" bestFit="1" customWidth="1"/>
    <col min="54" max="54" width="9.83203125" bestFit="1" customWidth="1"/>
    <col min="55" max="56" width="12.6640625" bestFit="1" customWidth="1"/>
    <col min="57" max="57" width="15.1640625" bestFit="1" customWidth="1"/>
    <col min="61" max="61" width="13.33203125" bestFit="1" customWidth="1"/>
    <col min="62" max="64" width="11.5" bestFit="1" customWidth="1"/>
    <col min="65" max="65" width="14" bestFit="1" customWidth="1"/>
    <col min="66" max="69" width="8.83203125" bestFit="1" customWidth="1"/>
    <col min="70" max="70" width="11.1640625" bestFit="1" customWidth="1"/>
    <col min="71" max="73" width="14" bestFit="1" customWidth="1"/>
    <col min="74" max="74" width="14.6640625" bestFit="1" customWidth="1"/>
    <col min="75" max="81" width="8.83203125" bestFit="1" customWidth="1"/>
    <col min="82" max="82" width="10.1640625" bestFit="1" customWidth="1"/>
    <col min="83" max="83" width="11" bestFit="1" customWidth="1"/>
    <col min="84" max="84" width="13.5" bestFit="1" customWidth="1"/>
    <col min="85" max="88" width="8.83203125" bestFit="1" customWidth="1"/>
    <col min="89" max="89" width="9.83203125" bestFit="1" customWidth="1"/>
    <col min="90" max="91" width="12.6640625" bestFit="1" customWidth="1"/>
    <col min="92" max="92" width="15.1640625" bestFit="1" customWidth="1"/>
    <col min="96" max="96" width="13.33203125" bestFit="1" customWidth="1"/>
    <col min="97" max="99" width="11.5" bestFit="1" customWidth="1"/>
    <col min="100" max="100" width="14" bestFit="1" customWidth="1"/>
    <col min="101" max="104" width="8.83203125" bestFit="1" customWidth="1"/>
    <col min="105" max="105" width="11.1640625" bestFit="1" customWidth="1"/>
    <col min="106" max="106" width="24.83203125" bestFit="1" customWidth="1"/>
    <col min="107" max="107" width="20" bestFit="1" customWidth="1"/>
    <col min="108" max="108" width="18.33203125" bestFit="1" customWidth="1"/>
  </cols>
  <sheetData>
    <row r="1" spans="1:16" x14ac:dyDescent="0.2">
      <c r="A1" s="13" t="s">
        <v>8222</v>
      </c>
      <c r="B1" t="s">
        <v>8369</v>
      </c>
    </row>
    <row r="3" spans="1:16" x14ac:dyDescent="0.2">
      <c r="B3" s="13" t="s">
        <v>8360</v>
      </c>
    </row>
    <row r="4" spans="1:16" x14ac:dyDescent="0.2">
      <c r="B4" t="s">
        <v>8363</v>
      </c>
      <c r="F4" t="s">
        <v>8362</v>
      </c>
      <c r="J4" t="s">
        <v>8368</v>
      </c>
      <c r="N4" t="s">
        <v>8365</v>
      </c>
      <c r="O4" t="s">
        <v>8366</v>
      </c>
      <c r="P4" t="s">
        <v>8367</v>
      </c>
    </row>
    <row r="5" spans="1:1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8219</v>
      </c>
      <c r="G5" t="s">
        <v>8220</v>
      </c>
      <c r="H5" t="s">
        <v>8221</v>
      </c>
      <c r="I5" t="s">
        <v>8218</v>
      </c>
      <c r="J5" t="s">
        <v>8219</v>
      </c>
      <c r="K5" t="s">
        <v>8220</v>
      </c>
      <c r="L5" t="s">
        <v>8221</v>
      </c>
      <c r="M5" t="s">
        <v>8218</v>
      </c>
    </row>
    <row r="6" spans="1:16" x14ac:dyDescent="0.2">
      <c r="A6" s="14" t="s">
        <v>8315</v>
      </c>
      <c r="B6" s="8">
        <v>37</v>
      </c>
      <c r="C6" s="8">
        <v>493</v>
      </c>
      <c r="D6" s="8">
        <v>24</v>
      </c>
      <c r="E6" s="8">
        <v>839</v>
      </c>
      <c r="F6" s="8">
        <v>37</v>
      </c>
      <c r="G6" s="8">
        <v>493</v>
      </c>
      <c r="H6" s="8">
        <v>24</v>
      </c>
      <c r="I6" s="8">
        <v>839</v>
      </c>
      <c r="J6" s="8">
        <v>37</v>
      </c>
      <c r="K6" s="8">
        <v>493</v>
      </c>
      <c r="L6" s="8">
        <v>24</v>
      </c>
      <c r="M6" s="8">
        <v>839</v>
      </c>
      <c r="N6" s="8">
        <v>1393</v>
      </c>
      <c r="O6" s="8">
        <v>1393</v>
      </c>
      <c r="P6" s="8">
        <v>1393</v>
      </c>
    </row>
    <row r="7" spans="1:16" x14ac:dyDescent="0.2">
      <c r="A7" s="14" t="s">
        <v>8361</v>
      </c>
      <c r="B7" s="8">
        <v>37</v>
      </c>
      <c r="C7" s="8">
        <v>493</v>
      </c>
      <c r="D7" s="8">
        <v>24</v>
      </c>
      <c r="E7" s="8">
        <v>839</v>
      </c>
      <c r="F7" s="8">
        <v>37</v>
      </c>
      <c r="G7" s="8">
        <v>493</v>
      </c>
      <c r="H7" s="8">
        <v>24</v>
      </c>
      <c r="I7" s="8">
        <v>839</v>
      </c>
      <c r="J7" s="8">
        <v>37</v>
      </c>
      <c r="K7" s="8">
        <v>493</v>
      </c>
      <c r="L7" s="8">
        <v>24</v>
      </c>
      <c r="M7" s="8">
        <v>839</v>
      </c>
      <c r="N7" s="8">
        <v>1393</v>
      </c>
      <c r="O7" s="8">
        <v>1393</v>
      </c>
      <c r="P7" s="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E8802-CD59-3D49-8F6F-8E2B213272AF}">
  <sheetPr codeName="Sheet10"/>
  <dimension ref="A1:I8"/>
  <sheetViews>
    <sheetView workbookViewId="0">
      <selection activeCell="A14" sqref="A1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15.6640625" bestFit="1" customWidth="1"/>
    <col min="4" max="4" width="14" bestFit="1" customWidth="1"/>
    <col min="5" max="5" width="15.6640625" bestFit="1" customWidth="1"/>
    <col min="6" max="6" width="14" bestFit="1" customWidth="1"/>
    <col min="7" max="7" width="15.6640625" bestFit="1" customWidth="1"/>
    <col min="8" max="8" width="18.33203125" bestFit="1" customWidth="1"/>
    <col min="9" max="9" width="20" bestFit="1" customWidth="1"/>
    <col min="10" max="10" width="18.33203125" bestFit="1" customWidth="1"/>
    <col min="11" max="11" width="20" bestFit="1" customWidth="1"/>
  </cols>
  <sheetData>
    <row r="1" spans="1:9" x14ac:dyDescent="0.2">
      <c r="A1" s="13" t="s">
        <v>8222</v>
      </c>
      <c r="B1" t="s">
        <v>8369</v>
      </c>
    </row>
    <row r="2" spans="1:9" x14ac:dyDescent="0.2">
      <c r="A2" s="13" t="s">
        <v>8358</v>
      </c>
      <c r="B2" t="s">
        <v>8369</v>
      </c>
    </row>
    <row r="4" spans="1:9" x14ac:dyDescent="0.2">
      <c r="B4" s="13" t="s">
        <v>8360</v>
      </c>
    </row>
    <row r="5" spans="1:9" x14ac:dyDescent="0.2">
      <c r="B5" t="s">
        <v>8220</v>
      </c>
      <c r="D5" t="s">
        <v>8221</v>
      </c>
      <c r="F5" t="s">
        <v>8218</v>
      </c>
      <c r="H5" t="s">
        <v>8367</v>
      </c>
      <c r="I5" t="s">
        <v>8366</v>
      </c>
    </row>
    <row r="6" spans="1:9" x14ac:dyDescent="0.2">
      <c r="A6" s="13" t="s">
        <v>8364</v>
      </c>
      <c r="B6" t="s">
        <v>8368</v>
      </c>
      <c r="C6" t="s">
        <v>8362</v>
      </c>
      <c r="D6" t="s">
        <v>8368</v>
      </c>
      <c r="E6" t="s">
        <v>8362</v>
      </c>
      <c r="F6" t="s">
        <v>8368</v>
      </c>
      <c r="G6" t="s">
        <v>8362</v>
      </c>
    </row>
    <row r="7" spans="1:9" x14ac:dyDescent="0.2">
      <c r="A7" s="14" t="s">
        <v>8316</v>
      </c>
      <c r="B7" s="8">
        <v>353</v>
      </c>
      <c r="C7" s="8">
        <v>353</v>
      </c>
      <c r="D7" s="8">
        <v>19</v>
      </c>
      <c r="E7" s="8">
        <v>19</v>
      </c>
      <c r="F7" s="8">
        <v>694</v>
      </c>
      <c r="G7" s="8">
        <v>694</v>
      </c>
      <c r="H7" s="8">
        <v>1066</v>
      </c>
      <c r="I7" s="8">
        <v>1066</v>
      </c>
    </row>
    <row r="8" spans="1:9" x14ac:dyDescent="0.2">
      <c r="A8" s="14" t="s">
        <v>8361</v>
      </c>
      <c r="B8" s="8">
        <v>353</v>
      </c>
      <c r="C8" s="8">
        <v>353</v>
      </c>
      <c r="D8" s="8">
        <v>19</v>
      </c>
      <c r="E8" s="8">
        <v>19</v>
      </c>
      <c r="F8" s="8">
        <v>694</v>
      </c>
      <c r="G8" s="8">
        <v>694</v>
      </c>
      <c r="H8" s="8">
        <v>1066</v>
      </c>
      <c r="I8" s="8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8A7E-D598-2142-984D-9880A46B5B0A}">
  <sheetPr codeName="Sheet11"/>
  <dimension ref="A1:F18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16.83203125" bestFit="1" customWidth="1"/>
    <col min="13" max="13" width="20.5" bestFit="1" customWidth="1"/>
    <col min="14" max="14" width="20" bestFit="1" customWidth="1"/>
    <col min="15" max="15" width="21" bestFit="1" customWidth="1"/>
    <col min="16" max="16" width="24.83203125" bestFit="1" customWidth="1"/>
    <col min="17" max="17" width="20.5" bestFit="1" customWidth="1"/>
    <col min="18" max="18" width="20" bestFit="1" customWidth="1"/>
    <col min="19" max="19" width="32" bestFit="1" customWidth="1"/>
    <col min="20" max="20" width="21" bestFit="1" customWidth="1"/>
    <col min="21" max="21" width="24.8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8384</v>
      </c>
      <c r="B2" t="s">
        <v>8369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8378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7" t="s">
        <v>8379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7" t="s">
        <v>8380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7" t="s">
        <v>8381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7" t="s">
        <v>8372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7" t="s">
        <v>8382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7" t="s">
        <v>8373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7" t="s">
        <v>8374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7" t="s">
        <v>8375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7" t="s">
        <v>8376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7" t="s">
        <v>8377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7" t="s">
        <v>8383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7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B217-AA4F-5045-9836-05382FE77A06}">
  <sheetPr codeName="Sheet12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Theatre Outcomes by Launch Date</vt:lpstr>
      <vt:lpstr>Failed US Kickstarters</vt:lpstr>
      <vt:lpstr>Descriptive Statistics</vt:lpstr>
      <vt:lpstr>Successful US Kickstarters</vt:lpstr>
      <vt:lpstr>Eidenburg Research</vt:lpstr>
      <vt:lpstr>Category Statistics</vt:lpstr>
      <vt:lpstr>Subcategory Statistics</vt:lpstr>
      <vt:lpstr>Outcomes Based on Launch Date</vt:lpstr>
      <vt:lpstr>Sheet2</vt:lpstr>
      <vt:lpstr>GB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2022-12-08T05:28:11Z</dcterms:modified>
</cp:coreProperties>
</file>