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Paulo\Python\Projetos\Driver\"/>
    </mc:Choice>
  </mc:AlternateContent>
  <xr:revisionPtr revIDLastSave="0" documentId="13_ncr:1_{8A6676C7-E59B-424A-B4BD-9F064EE0CB5A}" xr6:coauthVersionLast="47" xr6:coauthVersionMax="47" xr10:uidLastSave="{00000000-0000-0000-0000-000000000000}"/>
  <bookViews>
    <workbookView xWindow="-110" yWindow="-110" windowWidth="19420" windowHeight="10420" xr2:uid="{00000000-000D-0000-FFFF-FFFF00000000}"/>
  </bookViews>
  <sheets>
    <sheet name="Plan1" sheetId="1" r:id="rId1"/>
  </sheets>
  <definedNames>
    <definedName name="_xlnm._FilterDatabase" localSheetId="0" hidden="1">Plan1!$A$1:$P$1</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jCBNaYjE/GnC4nnRXwdxcZEBynpA=="/>
    </ext>
  </extLst>
</workbook>
</file>

<file path=xl/calcChain.xml><?xml version="1.0" encoding="utf-8"?>
<calcChain xmlns="http://schemas.openxmlformats.org/spreadsheetml/2006/main">
  <c r="N803" i="1" l="1"/>
  <c r="M803" i="1"/>
  <c r="L803" i="1"/>
  <c r="K803" i="1"/>
  <c r="J803" i="1"/>
  <c r="I803" i="1"/>
  <c r="B803" i="1"/>
  <c r="N795" i="1"/>
  <c r="M795" i="1"/>
  <c r="L795" i="1"/>
  <c r="K795" i="1"/>
  <c r="J795" i="1"/>
  <c r="I795" i="1"/>
  <c r="B795" i="1"/>
  <c r="O787" i="1"/>
  <c r="N787" i="1"/>
  <c r="M787" i="1"/>
  <c r="K787" i="1"/>
  <c r="J787" i="1"/>
  <c r="B782" i="1" s="1"/>
  <c r="B787" i="1" s="1"/>
  <c r="I787" i="1"/>
  <c r="L784" i="1"/>
  <c r="L783" i="1"/>
  <c r="L782" i="1"/>
  <c r="L780" i="1"/>
  <c r="O779" i="1"/>
  <c r="N779" i="1"/>
  <c r="M779" i="1"/>
  <c r="K779" i="1"/>
  <c r="J779" i="1"/>
  <c r="B775" i="1" s="1"/>
  <c r="B779" i="1" s="1"/>
  <c r="I779" i="1"/>
  <c r="L778" i="1"/>
  <c r="L776" i="1"/>
  <c r="L775" i="1"/>
  <c r="L773" i="1"/>
  <c r="L772" i="1"/>
  <c r="O771" i="1"/>
  <c r="N771" i="1"/>
  <c r="M771" i="1"/>
  <c r="K771" i="1"/>
  <c r="J771" i="1"/>
  <c r="B766" i="1" s="1"/>
  <c r="B771" i="1" s="1"/>
  <c r="I771" i="1"/>
  <c r="L768" i="1"/>
  <c r="L767" i="1"/>
  <c r="L766" i="1"/>
  <c r="L764" i="1"/>
  <c r="O763" i="1"/>
  <c r="N763" i="1"/>
  <c r="M763" i="1"/>
  <c r="K763" i="1"/>
  <c r="J763" i="1"/>
  <c r="B757" i="1" s="1"/>
  <c r="B763" i="1" s="1"/>
  <c r="I763" i="1"/>
  <c r="L762" i="1"/>
  <c r="L761" i="1"/>
  <c r="L760" i="1"/>
  <c r="L763" i="1" s="1"/>
  <c r="L759" i="1"/>
  <c r="L756" i="1"/>
  <c r="O755" i="1"/>
  <c r="N755" i="1"/>
  <c r="M755" i="1"/>
  <c r="K755" i="1"/>
  <c r="J755" i="1"/>
  <c r="B749" i="1" s="1"/>
  <c r="B755" i="1" s="1"/>
  <c r="I755" i="1"/>
  <c r="L754" i="1"/>
  <c r="L752" i="1"/>
  <c r="L751" i="1"/>
  <c r="L750" i="1"/>
  <c r="L748" i="1"/>
  <c r="O747" i="1"/>
  <c r="N747" i="1"/>
  <c r="M747" i="1"/>
  <c r="K747" i="1"/>
  <c r="J747" i="1"/>
  <c r="B742" i="1" s="1"/>
  <c r="B747" i="1" s="1"/>
  <c r="I747" i="1"/>
  <c r="L746" i="1"/>
  <c r="L745" i="1"/>
  <c r="L743" i="1"/>
  <c r="L741" i="1"/>
  <c r="L740" i="1"/>
  <c r="L747" i="1" s="1"/>
  <c r="O739" i="1"/>
  <c r="N739" i="1"/>
  <c r="M739" i="1"/>
  <c r="K739" i="1"/>
  <c r="J739" i="1"/>
  <c r="B734" i="1" s="1"/>
  <c r="B739" i="1" s="1"/>
  <c r="I739" i="1"/>
  <c r="L738" i="1"/>
  <c r="L736" i="1"/>
  <c r="L735" i="1"/>
  <c r="L734" i="1"/>
  <c r="L732" i="1"/>
  <c r="O731" i="1"/>
  <c r="N731" i="1"/>
  <c r="M731" i="1"/>
  <c r="K731" i="1"/>
  <c r="J731" i="1"/>
  <c r="B726" i="1" s="1"/>
  <c r="B731" i="1" s="1"/>
  <c r="I731" i="1"/>
  <c r="L730" i="1"/>
  <c r="L729" i="1"/>
  <c r="L727" i="1"/>
  <c r="L725" i="1"/>
  <c r="L724" i="1"/>
  <c r="O723" i="1"/>
  <c r="N723" i="1"/>
  <c r="M723" i="1"/>
  <c r="K723" i="1"/>
  <c r="B719" i="1" s="1"/>
  <c r="J723" i="1"/>
  <c r="B717" i="1" s="1"/>
  <c r="I723" i="1"/>
  <c r="L721" i="1"/>
  <c r="L720" i="1"/>
  <c r="L718" i="1"/>
  <c r="L717" i="1"/>
  <c r="L716" i="1"/>
  <c r="O715" i="1"/>
  <c r="N715" i="1"/>
  <c r="M715" i="1"/>
  <c r="K715" i="1"/>
  <c r="J715" i="1"/>
  <c r="B710" i="1" s="1"/>
  <c r="B715" i="1" s="1"/>
  <c r="I715" i="1"/>
  <c r="L712" i="1"/>
  <c r="L711" i="1"/>
  <c r="L709" i="1"/>
  <c r="L708" i="1"/>
  <c r="L715" i="1" s="1"/>
  <c r="O707" i="1"/>
  <c r="N707" i="1"/>
  <c r="M707" i="1"/>
  <c r="K707" i="1"/>
  <c r="J707" i="1"/>
  <c r="B702" i="1" s="1"/>
  <c r="B707" i="1" s="1"/>
  <c r="I707" i="1"/>
  <c r="L704" i="1"/>
  <c r="L703" i="1"/>
  <c r="L701" i="1"/>
  <c r="L700" i="1"/>
  <c r="O699" i="1"/>
  <c r="N699" i="1"/>
  <c r="M699" i="1"/>
  <c r="K699" i="1"/>
  <c r="J699" i="1"/>
  <c r="B694" i="1" s="1"/>
  <c r="B699" i="1" s="1"/>
  <c r="I699" i="1"/>
  <c r="L698" i="1"/>
  <c r="L696" i="1"/>
  <c r="L695" i="1"/>
  <c r="L693" i="1"/>
  <c r="L692" i="1"/>
  <c r="O691" i="1"/>
  <c r="N691" i="1"/>
  <c r="M691" i="1"/>
  <c r="K691" i="1"/>
  <c r="J691" i="1"/>
  <c r="B686" i="1" s="1"/>
  <c r="B691" i="1" s="1"/>
  <c r="I691" i="1"/>
  <c r="L690" i="1"/>
  <c r="L688" i="1"/>
  <c r="L687" i="1"/>
  <c r="L686" i="1"/>
  <c r="L685" i="1"/>
  <c r="L691" i="1" s="1"/>
  <c r="O683" i="1"/>
  <c r="N683" i="1"/>
  <c r="M683" i="1"/>
  <c r="K683" i="1"/>
  <c r="J683" i="1"/>
  <c r="B677" i="1" s="1"/>
  <c r="B683" i="1" s="1"/>
  <c r="I683" i="1"/>
  <c r="L682" i="1"/>
  <c r="L680" i="1"/>
  <c r="L679" i="1"/>
  <c r="L677" i="1"/>
  <c r="L676" i="1"/>
  <c r="L683" i="1" s="1"/>
  <c r="O675" i="1"/>
  <c r="N675" i="1"/>
  <c r="M675" i="1"/>
  <c r="K675" i="1"/>
  <c r="J675" i="1"/>
  <c r="B670" i="1" s="1"/>
  <c r="B675" i="1" s="1"/>
  <c r="I675" i="1"/>
  <c r="A675" i="1"/>
  <c r="A683" i="1" s="1"/>
  <c r="A691" i="1" s="1"/>
  <c r="A699" i="1" s="1"/>
  <c r="A707" i="1" s="1"/>
  <c r="A715" i="1" s="1"/>
  <c r="A723" i="1" s="1"/>
  <c r="A731" i="1" s="1"/>
  <c r="A739" i="1" s="1"/>
  <c r="A747" i="1" s="1"/>
  <c r="A755" i="1" s="1"/>
  <c r="A763" i="1" s="1"/>
  <c r="A771" i="1" s="1"/>
  <c r="A779" i="1" s="1"/>
  <c r="A787" i="1" s="1"/>
  <c r="A795" i="1" s="1"/>
  <c r="A803" i="1" s="1"/>
  <c r="L673" i="1"/>
  <c r="L672" i="1"/>
  <c r="L671" i="1"/>
  <c r="L669" i="1"/>
  <c r="L668" i="1"/>
  <c r="O667" i="1"/>
  <c r="N667" i="1"/>
  <c r="M667" i="1"/>
  <c r="K667" i="1"/>
  <c r="J667" i="1"/>
  <c r="B661" i="1" s="1"/>
  <c r="B667" i="1" s="1"/>
  <c r="I667" i="1"/>
  <c r="L666" i="1"/>
  <c r="L664" i="1"/>
  <c r="L663" i="1"/>
  <c r="L662" i="1"/>
  <c r="L661" i="1"/>
  <c r="O659" i="1"/>
  <c r="N659" i="1"/>
  <c r="M659" i="1"/>
  <c r="K659" i="1"/>
  <c r="J659" i="1"/>
  <c r="B654" i="1" s="1"/>
  <c r="B659" i="1" s="1"/>
  <c r="I659" i="1"/>
  <c r="L657" i="1"/>
  <c r="L656" i="1"/>
  <c r="L655" i="1"/>
  <c r="L659" i="1" s="1"/>
  <c r="L654" i="1"/>
  <c r="L653" i="1"/>
  <c r="O651" i="1"/>
  <c r="N651" i="1"/>
  <c r="M651" i="1"/>
  <c r="K651" i="1"/>
  <c r="J651" i="1"/>
  <c r="B646" i="1" s="1"/>
  <c r="I651" i="1"/>
  <c r="L649" i="1"/>
  <c r="L648" i="1"/>
  <c r="B648" i="1"/>
  <c r="L647" i="1"/>
  <c r="L645" i="1"/>
  <c r="L644" i="1"/>
  <c r="O643" i="1"/>
  <c r="N643" i="1"/>
  <c r="M643" i="1"/>
  <c r="K643" i="1"/>
  <c r="J643" i="1"/>
  <c r="B638" i="1" s="1"/>
  <c r="B643" i="1" s="1"/>
  <c r="I643" i="1"/>
  <c r="L642" i="1"/>
  <c r="L640" i="1"/>
  <c r="L639" i="1"/>
  <c r="L638" i="1"/>
  <c r="L636" i="1"/>
  <c r="O635" i="1"/>
  <c r="N635" i="1"/>
  <c r="M635" i="1"/>
  <c r="K635" i="1"/>
  <c r="J635" i="1"/>
  <c r="B630" i="1" s="1"/>
  <c r="B635" i="1" s="1"/>
  <c r="I635" i="1"/>
  <c r="L634" i="1"/>
  <c r="L632" i="1"/>
  <c r="L631" i="1"/>
  <c r="L629" i="1"/>
  <c r="L628" i="1"/>
  <c r="O627" i="1"/>
  <c r="N627" i="1"/>
  <c r="M627" i="1"/>
  <c r="K627" i="1"/>
  <c r="J627" i="1"/>
  <c r="B622" i="1" s="1"/>
  <c r="B627" i="1" s="1"/>
  <c r="I627" i="1"/>
  <c r="L625" i="1"/>
  <c r="L624" i="1"/>
  <c r="L622" i="1"/>
  <c r="L621" i="1"/>
  <c r="L620" i="1"/>
  <c r="O619" i="1"/>
  <c r="N619" i="1"/>
  <c r="M619" i="1"/>
  <c r="K619" i="1"/>
  <c r="J619" i="1"/>
  <c r="I619" i="1"/>
  <c r="L617" i="1"/>
  <c r="L616" i="1"/>
  <c r="B614" i="1"/>
  <c r="B619" i="1" s="1"/>
  <c r="L613" i="1"/>
  <c r="O611" i="1"/>
  <c r="N611" i="1"/>
  <c r="M611" i="1"/>
  <c r="K611" i="1"/>
  <c r="J611" i="1"/>
  <c r="I611" i="1"/>
  <c r="L610" i="1"/>
  <c r="L609" i="1"/>
  <c r="L607" i="1"/>
  <c r="L606" i="1"/>
  <c r="L605" i="1"/>
  <c r="O603" i="1"/>
  <c r="N603" i="1"/>
  <c r="M603" i="1"/>
  <c r="K603" i="1"/>
  <c r="J603" i="1"/>
  <c r="B598" i="1" s="1"/>
  <c r="B603" i="1" s="1"/>
  <c r="I603" i="1"/>
  <c r="L602" i="1"/>
  <c r="L601" i="1"/>
  <c r="L600" i="1"/>
  <c r="L599" i="1"/>
  <c r="L597" i="1"/>
  <c r="L596" i="1"/>
  <c r="L603" i="1" s="1"/>
  <c r="O595" i="1"/>
  <c r="N595" i="1"/>
  <c r="M595" i="1"/>
  <c r="K595" i="1"/>
  <c r="J595" i="1"/>
  <c r="I595" i="1"/>
  <c r="L594" i="1"/>
  <c r="L593" i="1"/>
  <c r="L590" i="1"/>
  <c r="L589" i="1"/>
  <c r="N587" i="1"/>
  <c r="M587" i="1"/>
  <c r="K587" i="1"/>
  <c r="J587" i="1"/>
  <c r="B582" i="1" s="1"/>
  <c r="B587" i="1" s="1"/>
  <c r="I587" i="1"/>
  <c r="O586" i="1"/>
  <c r="O587" i="1" s="1"/>
  <c r="L586" i="1"/>
  <c r="L585" i="1"/>
  <c r="L584" i="1"/>
  <c r="L581" i="1"/>
  <c r="L580" i="1"/>
  <c r="O579" i="1"/>
  <c r="N579" i="1"/>
  <c r="M579" i="1"/>
  <c r="K579" i="1"/>
  <c r="J579" i="1"/>
  <c r="B574" i="1" s="1"/>
  <c r="B579" i="1" s="1"/>
  <c r="I579" i="1"/>
  <c r="L577" i="1"/>
  <c r="L576" i="1"/>
  <c r="L575" i="1"/>
  <c r="L573" i="1"/>
  <c r="L572" i="1"/>
  <c r="O571" i="1"/>
  <c r="N571" i="1"/>
  <c r="M571" i="1"/>
  <c r="K571" i="1"/>
  <c r="J571" i="1"/>
  <c r="B566" i="1" s="1"/>
  <c r="B571" i="1" s="1"/>
  <c r="I571" i="1"/>
  <c r="L570" i="1"/>
  <c r="L569" i="1"/>
  <c r="L567" i="1"/>
  <c r="L566" i="1"/>
  <c r="L565" i="1"/>
  <c r="O563" i="1"/>
  <c r="N563" i="1"/>
  <c r="M563" i="1"/>
  <c r="K563" i="1"/>
  <c r="J563" i="1"/>
  <c r="B558" i="1" s="1"/>
  <c r="B563" i="1" s="1"/>
  <c r="I563" i="1"/>
  <c r="L561" i="1"/>
  <c r="L560" i="1"/>
  <c r="L558" i="1"/>
  <c r="L563" i="1" s="1"/>
  <c r="L557" i="1"/>
  <c r="L556" i="1"/>
  <c r="O555" i="1"/>
  <c r="N555" i="1"/>
  <c r="M555" i="1"/>
  <c r="K555" i="1"/>
  <c r="J555" i="1"/>
  <c r="B550" i="1" s="1"/>
  <c r="B555" i="1" s="1"/>
  <c r="I555" i="1"/>
  <c r="L554" i="1"/>
  <c r="L553" i="1"/>
  <c r="L552" i="1"/>
  <c r="L550" i="1"/>
  <c r="L549" i="1"/>
  <c r="N547" i="1"/>
  <c r="M547" i="1"/>
  <c r="K547" i="1"/>
  <c r="J547" i="1"/>
  <c r="B542" i="1" s="1"/>
  <c r="B547" i="1" s="1"/>
  <c r="I547" i="1"/>
  <c r="L546" i="1"/>
  <c r="L545" i="1"/>
  <c r="L544" i="1"/>
  <c r="L542" i="1"/>
  <c r="L541" i="1"/>
  <c r="L540" i="1"/>
  <c r="O539" i="1"/>
  <c r="N539" i="1"/>
  <c r="M539" i="1"/>
  <c r="K539" i="1"/>
  <c r="J539" i="1"/>
  <c r="B534" i="1" s="1"/>
  <c r="B539" i="1" s="1"/>
  <c r="I539" i="1"/>
  <c r="L538" i="1"/>
  <c r="L537" i="1"/>
  <c r="L536" i="1"/>
  <c r="L534" i="1"/>
  <c r="L533" i="1"/>
  <c r="O531" i="1"/>
  <c r="N531" i="1"/>
  <c r="M531" i="1"/>
  <c r="K531" i="1"/>
  <c r="J531" i="1"/>
  <c r="B526" i="1" s="1"/>
  <c r="B531" i="1" s="1"/>
  <c r="I531" i="1"/>
  <c r="L525" i="1"/>
  <c r="L524" i="1"/>
  <c r="L531" i="1" s="1"/>
  <c r="O523" i="1"/>
  <c r="N523" i="1"/>
  <c r="M523" i="1"/>
  <c r="K523" i="1"/>
  <c r="J523" i="1"/>
  <c r="B518" i="1" s="1"/>
  <c r="B523" i="1" s="1"/>
  <c r="I523" i="1"/>
  <c r="L520" i="1"/>
  <c r="L519" i="1"/>
  <c r="L518" i="1"/>
  <c r="L523" i="1" s="1"/>
  <c r="L517" i="1"/>
  <c r="L516" i="1"/>
  <c r="O515" i="1"/>
  <c r="N515" i="1"/>
  <c r="M515" i="1"/>
  <c r="K515" i="1"/>
  <c r="J515" i="1"/>
  <c r="I515" i="1"/>
  <c r="B515" i="1"/>
  <c r="L513" i="1"/>
  <c r="L510" i="1"/>
  <c r="L508" i="1"/>
  <c r="L515" i="1" s="1"/>
  <c r="O507" i="1"/>
  <c r="N507" i="1"/>
  <c r="M507" i="1"/>
  <c r="K507" i="1"/>
  <c r="J507" i="1"/>
  <c r="I507" i="1"/>
  <c r="B507" i="1"/>
  <c r="L506" i="1"/>
  <c r="L505" i="1"/>
  <c r="L504" i="1"/>
  <c r="L503" i="1"/>
  <c r="L502" i="1"/>
  <c r="L507" i="1" s="1"/>
  <c r="L501" i="1"/>
  <c r="O499" i="1"/>
  <c r="N499" i="1"/>
  <c r="M499" i="1"/>
  <c r="K499" i="1"/>
  <c r="J499" i="1"/>
  <c r="I499" i="1"/>
  <c r="L498" i="1"/>
  <c r="L497" i="1"/>
  <c r="L496" i="1"/>
  <c r="L495" i="1"/>
  <c r="L494" i="1"/>
  <c r="B493" i="1"/>
  <c r="B499" i="1" s="1"/>
  <c r="L492" i="1"/>
  <c r="O491" i="1"/>
  <c r="N491" i="1"/>
  <c r="M491" i="1"/>
  <c r="K491" i="1"/>
  <c r="J491" i="1"/>
  <c r="I491" i="1"/>
  <c r="L490" i="1"/>
  <c r="L489" i="1"/>
  <c r="L488" i="1"/>
  <c r="L486" i="1"/>
  <c r="L485" i="1"/>
  <c r="L484" i="1"/>
  <c r="O483" i="1"/>
  <c r="N483" i="1"/>
  <c r="M483" i="1"/>
  <c r="K483" i="1"/>
  <c r="J483" i="1"/>
  <c r="I483" i="1"/>
  <c r="L482" i="1"/>
  <c r="L479" i="1"/>
  <c r="B479" i="1"/>
  <c r="B483" i="1" s="1"/>
  <c r="L478" i="1"/>
  <c r="L477" i="1"/>
  <c r="L476" i="1"/>
  <c r="O475" i="1"/>
  <c r="N475" i="1"/>
  <c r="M475" i="1"/>
  <c r="K475" i="1"/>
  <c r="J475" i="1"/>
  <c r="I475" i="1"/>
  <c r="L474" i="1"/>
  <c r="L473" i="1"/>
  <c r="L472" i="1"/>
  <c r="L471" i="1"/>
  <c r="L475" i="1" s="1"/>
  <c r="L470" i="1"/>
  <c r="L469" i="1"/>
  <c r="L468" i="1"/>
  <c r="O467" i="1"/>
  <c r="N467" i="1"/>
  <c r="M467" i="1"/>
  <c r="K467" i="1"/>
  <c r="J467" i="1"/>
  <c r="B462" i="1" s="1"/>
  <c r="B467" i="1" s="1"/>
  <c r="I467" i="1"/>
  <c r="L466" i="1"/>
  <c r="L465" i="1"/>
  <c r="L464" i="1"/>
  <c r="L467" i="1" s="1"/>
  <c r="L463" i="1"/>
  <c r="L462" i="1"/>
  <c r="L461" i="1"/>
  <c r="O459" i="1"/>
  <c r="N459" i="1"/>
  <c r="M459" i="1"/>
  <c r="K459" i="1"/>
  <c r="L458" i="1"/>
  <c r="L457" i="1"/>
  <c r="L456" i="1"/>
  <c r="L455" i="1"/>
  <c r="J454" i="1"/>
  <c r="J459" i="1" s="1"/>
  <c r="B454" i="1" s="1"/>
  <c r="B459" i="1" s="1"/>
  <c r="L453" i="1"/>
  <c r="L452" i="1"/>
  <c r="O451" i="1"/>
  <c r="N451" i="1"/>
  <c r="M451" i="1"/>
  <c r="K451" i="1"/>
  <c r="J451" i="1"/>
  <c r="I451" i="1"/>
  <c r="L450" i="1"/>
  <c r="L449" i="1"/>
  <c r="L448" i="1"/>
  <c r="L446" i="1"/>
  <c r="B446" i="1"/>
  <c r="B451" i="1" s="1"/>
  <c r="L445" i="1"/>
  <c r="O443" i="1"/>
  <c r="N443" i="1"/>
  <c r="M443" i="1"/>
  <c r="K443" i="1"/>
  <c r="B443" i="1"/>
  <c r="J442" i="1"/>
  <c r="J443" i="1" s="1"/>
  <c r="L441" i="1"/>
  <c r="L440" i="1"/>
  <c r="L439" i="1"/>
  <c r="L437" i="1"/>
  <c r="L436" i="1"/>
  <c r="L435" i="1"/>
  <c r="L434" i="1"/>
  <c r="O433" i="1"/>
  <c r="N433" i="1"/>
  <c r="M433" i="1"/>
  <c r="J433" i="1"/>
  <c r="I433" i="1"/>
  <c r="B433" i="1"/>
  <c r="L432" i="1"/>
  <c r="L431" i="1"/>
  <c r="L430" i="1"/>
  <c r="L429" i="1"/>
  <c r="L428" i="1"/>
  <c r="K428" i="1"/>
  <c r="K433" i="1" s="1"/>
  <c r="L427" i="1"/>
  <c r="L426" i="1"/>
  <c r="O425" i="1"/>
  <c r="N425" i="1"/>
  <c r="M425" i="1"/>
  <c r="K425" i="1"/>
  <c r="J425" i="1"/>
  <c r="I425" i="1"/>
  <c r="B425" i="1"/>
  <c r="L424" i="1"/>
  <c r="L423" i="1"/>
  <c r="L422" i="1"/>
  <c r="L420" i="1"/>
  <c r="L419" i="1"/>
  <c r="L418" i="1"/>
  <c r="O417" i="1"/>
  <c r="N417" i="1"/>
  <c r="M417" i="1"/>
  <c r="K417" i="1"/>
  <c r="J417" i="1"/>
  <c r="I417" i="1"/>
  <c r="B417" i="1"/>
  <c r="L416" i="1"/>
  <c r="L415" i="1"/>
  <c r="L413" i="1"/>
  <c r="L412" i="1"/>
  <c r="L411" i="1"/>
  <c r="L410" i="1"/>
  <c r="L409" i="1"/>
  <c r="O408" i="1"/>
  <c r="N408" i="1"/>
  <c r="M408" i="1"/>
  <c r="J408" i="1"/>
  <c r="I408" i="1"/>
  <c r="B408" i="1"/>
  <c r="L407" i="1"/>
  <c r="K404" i="1"/>
  <c r="K408" i="1" s="1"/>
  <c r="L403" i="1"/>
  <c r="L402" i="1"/>
  <c r="L401" i="1"/>
  <c r="O400" i="1"/>
  <c r="N400" i="1"/>
  <c r="M400" i="1"/>
  <c r="J400" i="1"/>
  <c r="I400" i="1"/>
  <c r="B400" i="1"/>
  <c r="L398" i="1"/>
  <c r="K398" i="1"/>
  <c r="K400" i="1" s="1"/>
  <c r="L397" i="1"/>
  <c r="L395" i="1"/>
  <c r="L393" i="1"/>
  <c r="O392" i="1"/>
  <c r="N392" i="1"/>
  <c r="M392" i="1"/>
  <c r="K392" i="1"/>
  <c r="J392" i="1"/>
  <c r="I392" i="1"/>
  <c r="B392" i="1"/>
  <c r="A392" i="1"/>
  <c r="A400" i="1" s="1"/>
  <c r="A408" i="1" s="1"/>
  <c r="A417" i="1" s="1"/>
  <c r="A425" i="1" s="1"/>
  <c r="A433" i="1" s="1"/>
  <c r="A443" i="1" s="1"/>
  <c r="A451" i="1" s="1"/>
  <c r="A459" i="1" s="1"/>
  <c r="A467" i="1" s="1"/>
  <c r="A475" i="1" s="1"/>
  <c r="A483" i="1" s="1"/>
  <c r="A491" i="1" s="1"/>
  <c r="A499" i="1" s="1"/>
  <c r="A507" i="1" s="1"/>
  <c r="A515" i="1" s="1"/>
  <c r="A523" i="1" s="1"/>
  <c r="A531" i="1" s="1"/>
  <c r="A539" i="1" s="1"/>
  <c r="A547" i="1" s="1"/>
  <c r="A555" i="1" s="1"/>
  <c r="A563" i="1" s="1"/>
  <c r="A571" i="1" s="1"/>
  <c r="A579" i="1" s="1"/>
  <c r="A587" i="1" s="1"/>
  <c r="A595" i="1" s="1"/>
  <c r="A603" i="1" s="1"/>
  <c r="A611" i="1" s="1"/>
  <c r="A619" i="1" s="1"/>
  <c r="A627" i="1" s="1"/>
  <c r="A635" i="1" s="1"/>
  <c r="A643" i="1" s="1"/>
  <c r="A651" i="1" s="1"/>
  <c r="A659" i="1" s="1"/>
  <c r="L391" i="1"/>
  <c r="L388" i="1"/>
  <c r="L386" i="1"/>
  <c r="L392" i="1" s="1"/>
  <c r="O384" i="1"/>
  <c r="N384" i="1"/>
  <c r="M384" i="1"/>
  <c r="K384" i="1"/>
  <c r="J384" i="1"/>
  <c r="I384" i="1"/>
  <c r="B384" i="1"/>
  <c r="L382" i="1"/>
  <c r="L381" i="1"/>
  <c r="L380" i="1"/>
  <c r="L377" i="1"/>
  <c r="O376" i="1"/>
  <c r="N376" i="1"/>
  <c r="M376" i="1"/>
  <c r="K376" i="1"/>
  <c r="J376" i="1"/>
  <c r="I376" i="1"/>
  <c r="B376" i="1"/>
  <c r="L375" i="1"/>
  <c r="L373" i="1"/>
  <c r="L372" i="1"/>
  <c r="L371" i="1"/>
  <c r="L370" i="1"/>
  <c r="O368" i="1"/>
  <c r="N368" i="1"/>
  <c r="M368" i="1"/>
  <c r="K368" i="1"/>
  <c r="J368" i="1"/>
  <c r="I368" i="1"/>
  <c r="B368" i="1"/>
  <c r="L367" i="1"/>
  <c r="L366" i="1"/>
  <c r="L364" i="1"/>
  <c r="L363" i="1"/>
  <c r="L361" i="1"/>
  <c r="O360" i="1"/>
  <c r="N360" i="1"/>
  <c r="M360" i="1"/>
  <c r="K360" i="1"/>
  <c r="J360" i="1"/>
  <c r="I360" i="1"/>
  <c r="B360" i="1"/>
  <c r="L359" i="1"/>
  <c r="L358" i="1"/>
  <c r="O352" i="1"/>
  <c r="N352" i="1"/>
  <c r="M352" i="1"/>
  <c r="K352" i="1"/>
  <c r="J352" i="1"/>
  <c r="I352" i="1"/>
  <c r="B352" i="1"/>
  <c r="L351" i="1"/>
  <c r="L347" i="1"/>
  <c r="L345" i="1"/>
  <c r="O344" i="1"/>
  <c r="N344" i="1"/>
  <c r="M344" i="1"/>
  <c r="K344" i="1"/>
  <c r="J344" i="1"/>
  <c r="B344" i="1"/>
  <c r="L342" i="1"/>
  <c r="L341" i="1"/>
  <c r="L340" i="1"/>
  <c r="L339" i="1"/>
  <c r="L344" i="1" s="1"/>
  <c r="O336" i="1"/>
  <c r="N336" i="1"/>
  <c r="M336" i="1"/>
  <c r="K336" i="1"/>
  <c r="J336" i="1"/>
  <c r="B336" i="1"/>
  <c r="L334" i="1"/>
  <c r="L333" i="1"/>
  <c r="L331" i="1"/>
  <c r="L330" i="1"/>
  <c r="L329" i="1"/>
  <c r="O328" i="1"/>
  <c r="N328" i="1"/>
  <c r="M328" i="1"/>
  <c r="J328" i="1"/>
  <c r="B328" i="1"/>
  <c r="L324" i="1"/>
  <c r="K324" i="1"/>
  <c r="K328" i="1" s="1"/>
  <c r="L323" i="1"/>
  <c r="L322" i="1"/>
  <c r="L321" i="1"/>
  <c r="O320" i="1"/>
  <c r="N320" i="1"/>
  <c r="M320" i="1"/>
  <c r="K320" i="1"/>
  <c r="J320" i="1"/>
  <c r="B320" i="1"/>
  <c r="L318" i="1"/>
  <c r="L317" i="1"/>
  <c r="L316" i="1"/>
  <c r="L315" i="1"/>
  <c r="L313" i="1"/>
  <c r="L320" i="1" s="1"/>
  <c r="O312" i="1"/>
  <c r="N312" i="1"/>
  <c r="M312" i="1"/>
  <c r="K312" i="1"/>
  <c r="J312" i="1"/>
  <c r="B312" i="1"/>
  <c r="L311" i="1"/>
  <c r="L310" i="1"/>
  <c r="L309" i="1"/>
  <c r="L308" i="1"/>
  <c r="L306" i="1"/>
  <c r="L305" i="1"/>
  <c r="O304" i="1"/>
  <c r="N304" i="1"/>
  <c r="M304" i="1"/>
  <c r="B304" i="1"/>
  <c r="L303" i="1"/>
  <c r="J301" i="1"/>
  <c r="J304" i="1" s="1"/>
  <c r="L300" i="1"/>
  <c r="L299" i="1"/>
  <c r="L297" i="1"/>
  <c r="K297" i="1"/>
  <c r="K304" i="1" s="1"/>
  <c r="N296" i="1"/>
  <c r="M296" i="1"/>
  <c r="K296" i="1"/>
  <c r="J296" i="1"/>
  <c r="B296" i="1"/>
  <c r="L295" i="1"/>
  <c r="L293" i="1"/>
  <c r="L291" i="1"/>
  <c r="L290" i="1"/>
  <c r="O289" i="1"/>
  <c r="O296" i="1" s="1"/>
  <c r="L289" i="1"/>
  <c r="O288" i="1"/>
  <c r="N288" i="1"/>
  <c r="M288" i="1"/>
  <c r="K288" i="1"/>
  <c r="J288" i="1"/>
  <c r="B288" i="1"/>
  <c r="L286" i="1"/>
  <c r="L284" i="1"/>
  <c r="L283" i="1"/>
  <c r="L282" i="1"/>
  <c r="L281" i="1"/>
  <c r="O280" i="1"/>
  <c r="N280" i="1"/>
  <c r="M280" i="1"/>
  <c r="L280" i="1"/>
  <c r="K280" i="1"/>
  <c r="J280" i="1"/>
  <c r="B280" i="1"/>
  <c r="L279" i="1"/>
  <c r="L277" i="1"/>
  <c r="L275" i="1"/>
  <c r="L273" i="1"/>
  <c r="O272" i="1"/>
  <c r="N272" i="1"/>
  <c r="M272" i="1"/>
  <c r="K272" i="1"/>
  <c r="J272" i="1"/>
  <c r="B272" i="1"/>
  <c r="L270" i="1"/>
  <c r="L269" i="1"/>
  <c r="L267" i="1"/>
  <c r="L272" i="1" s="1"/>
  <c r="O264" i="1"/>
  <c r="N264" i="1"/>
  <c r="M264" i="1"/>
  <c r="K264" i="1"/>
  <c r="B264" i="1"/>
  <c r="L261" i="1"/>
  <c r="J260" i="1"/>
  <c r="J264" i="1" s="1"/>
  <c r="L259" i="1"/>
  <c r="L257" i="1"/>
  <c r="O256" i="1"/>
  <c r="N256" i="1"/>
  <c r="M256" i="1"/>
  <c r="K256" i="1"/>
  <c r="J256" i="1"/>
  <c r="B256" i="1"/>
  <c r="L255" i="1"/>
  <c r="L254" i="1"/>
  <c r="L253" i="1"/>
  <c r="L251" i="1"/>
  <c r="L250" i="1"/>
  <c r="N248" i="1"/>
  <c r="M248" i="1"/>
  <c r="K248" i="1"/>
  <c r="J248" i="1"/>
  <c r="B248" i="1"/>
  <c r="O246" i="1"/>
  <c r="O248" i="1" s="1"/>
  <c r="L246" i="1"/>
  <c r="L245" i="1"/>
  <c r="L244" i="1"/>
  <c r="L242" i="1"/>
  <c r="L241" i="1"/>
  <c r="L248" i="1" s="1"/>
  <c r="N240" i="1"/>
  <c r="M240" i="1"/>
  <c r="K240" i="1"/>
  <c r="J240" i="1"/>
  <c r="B240" i="1"/>
  <c r="L237" i="1"/>
  <c r="L236" i="1"/>
  <c r="L235" i="1"/>
  <c r="O234" i="1"/>
  <c r="O240" i="1" s="1"/>
  <c r="L234" i="1"/>
  <c r="O232" i="1"/>
  <c r="N232" i="1"/>
  <c r="M232" i="1"/>
  <c r="K232" i="1"/>
  <c r="J232" i="1"/>
  <c r="B232" i="1"/>
  <c r="L229" i="1"/>
  <c r="L228" i="1"/>
  <c r="L226" i="1"/>
  <c r="L225" i="1"/>
  <c r="N224" i="1"/>
  <c r="M224" i="1"/>
  <c r="K224" i="1"/>
  <c r="J224" i="1"/>
  <c r="B224" i="1"/>
  <c r="L223" i="1"/>
  <c r="L222" i="1"/>
  <c r="L221" i="1"/>
  <c r="O220" i="1"/>
  <c r="O224" i="1" s="1"/>
  <c r="L220" i="1"/>
  <c r="N216" i="1"/>
  <c r="M216" i="1"/>
  <c r="J216" i="1"/>
  <c r="B216" i="1"/>
  <c r="L215" i="1"/>
  <c r="L214" i="1"/>
  <c r="L213" i="1"/>
  <c r="L212" i="1"/>
  <c r="L211" i="1"/>
  <c r="L210" i="1"/>
  <c r="K210" i="1"/>
  <c r="K216" i="1" s="1"/>
  <c r="L209" i="1"/>
  <c r="O208" i="1"/>
  <c r="N208" i="1"/>
  <c r="M208" i="1"/>
  <c r="J208" i="1"/>
  <c r="B208" i="1"/>
  <c r="L206" i="1"/>
  <c r="L205" i="1"/>
  <c r="L204" i="1"/>
  <c r="L203" i="1"/>
  <c r="L202" i="1"/>
  <c r="L201" i="1"/>
  <c r="K201" i="1"/>
  <c r="K208" i="1" s="1"/>
  <c r="O200" i="1"/>
  <c r="N200" i="1"/>
  <c r="M200" i="1"/>
  <c r="K200" i="1"/>
  <c r="B200" i="1"/>
  <c r="L199" i="1"/>
  <c r="L197" i="1"/>
  <c r="L196" i="1"/>
  <c r="L195" i="1"/>
  <c r="L194" i="1"/>
  <c r="L200" i="1" s="1"/>
  <c r="J194" i="1"/>
  <c r="J200" i="1" s="1"/>
  <c r="L193" i="1"/>
  <c r="O192" i="1"/>
  <c r="N192" i="1"/>
  <c r="M192" i="1"/>
  <c r="K192" i="1"/>
  <c r="J192" i="1"/>
  <c r="I192" i="1"/>
  <c r="B192" i="1"/>
  <c r="L190" i="1"/>
  <c r="L188" i="1"/>
  <c r="L187" i="1"/>
  <c r="L186" i="1"/>
  <c r="L185" i="1"/>
  <c r="O184" i="1"/>
  <c r="N184" i="1"/>
  <c r="M184" i="1"/>
  <c r="K184" i="1"/>
  <c r="J184" i="1"/>
  <c r="I184" i="1"/>
  <c r="B184" i="1"/>
  <c r="L183" i="1"/>
  <c r="L181" i="1"/>
  <c r="L180" i="1"/>
  <c r="L179" i="1"/>
  <c r="L178" i="1"/>
  <c r="L177" i="1"/>
  <c r="O176" i="1"/>
  <c r="N176" i="1"/>
  <c r="M176" i="1"/>
  <c r="K176" i="1"/>
  <c r="J176" i="1"/>
  <c r="I176" i="1"/>
  <c r="L175" i="1"/>
  <c r="L174" i="1"/>
  <c r="L173" i="1"/>
  <c r="B172" i="1"/>
  <c r="B176" i="1" s="1"/>
  <c r="O168" i="1"/>
  <c r="N168" i="1"/>
  <c r="M168" i="1"/>
  <c r="K168" i="1"/>
  <c r="J168" i="1"/>
  <c r="I168" i="1"/>
  <c r="B168" i="1"/>
  <c r="L163" i="1"/>
  <c r="L161" i="1"/>
  <c r="L168" i="1" s="1"/>
  <c r="N160" i="1"/>
  <c r="M160" i="1"/>
  <c r="K160" i="1"/>
  <c r="J160" i="1"/>
  <c r="I160" i="1"/>
  <c r="B160" i="1"/>
  <c r="L158" i="1"/>
  <c r="O160" i="1"/>
  <c r="L156" i="1"/>
  <c r="L155" i="1"/>
  <c r="L153" i="1"/>
  <c r="L160" i="1" s="1"/>
  <c r="N152" i="1"/>
  <c r="M152" i="1"/>
  <c r="K152" i="1"/>
  <c r="J152" i="1"/>
  <c r="B152" i="1"/>
  <c r="L151" i="1"/>
  <c r="L150" i="1"/>
  <c r="L149" i="1"/>
  <c r="L152" i="1" s="1"/>
  <c r="B148" i="1"/>
  <c r="J146" i="1"/>
  <c r="I152" i="1" s="1"/>
  <c r="N144" i="1"/>
  <c r="M144" i="1"/>
  <c r="J144" i="1"/>
  <c r="B144" i="1"/>
  <c r="L143" i="1"/>
  <c r="L142" i="1"/>
  <c r="L141" i="1"/>
  <c r="L140" i="1"/>
  <c r="L138" i="1"/>
  <c r="K138" i="1"/>
  <c r="K144" i="1" s="1"/>
  <c r="L137" i="1"/>
  <c r="L144" i="1" s="1"/>
  <c r="N136" i="1"/>
  <c r="M136" i="1"/>
  <c r="K136" i="1"/>
  <c r="J136" i="1"/>
  <c r="L135" i="1"/>
  <c r="L134" i="1"/>
  <c r="L133" i="1"/>
  <c r="L130" i="1"/>
  <c r="L136" i="1" s="1"/>
  <c r="L129" i="1"/>
  <c r="N128" i="1"/>
  <c r="M128" i="1"/>
  <c r="K128" i="1"/>
  <c r="J128" i="1"/>
  <c r="L127" i="1"/>
  <c r="L125" i="1"/>
  <c r="O124" i="1"/>
  <c r="O128" i="1" s="1"/>
  <c r="L124" i="1"/>
  <c r="L123" i="1"/>
  <c r="L122" i="1"/>
  <c r="L121" i="1"/>
  <c r="O120" i="1"/>
  <c r="N120" i="1"/>
  <c r="M120" i="1"/>
  <c r="K120" i="1"/>
  <c r="J120" i="1"/>
  <c r="L119" i="1"/>
  <c r="L116" i="1"/>
  <c r="L115" i="1"/>
  <c r="L114" i="1"/>
  <c r="O112" i="1"/>
  <c r="N112" i="1"/>
  <c r="M112" i="1"/>
  <c r="K112" i="1"/>
  <c r="J112" i="1"/>
  <c r="L111" i="1"/>
  <c r="L109" i="1"/>
  <c r="L108" i="1"/>
  <c r="L107" i="1"/>
  <c r="L105" i="1"/>
  <c r="O104" i="1"/>
  <c r="N104" i="1"/>
  <c r="M104" i="1"/>
  <c r="K104" i="1"/>
  <c r="J104" i="1"/>
  <c r="L103" i="1"/>
  <c r="L101" i="1"/>
  <c r="L100" i="1"/>
  <c r="L104" i="1" s="1"/>
  <c r="L99" i="1"/>
  <c r="L97" i="1"/>
  <c r="O96" i="1"/>
  <c r="N96" i="1"/>
  <c r="M96" i="1"/>
  <c r="J96" i="1"/>
  <c r="L95" i="1"/>
  <c r="L94" i="1"/>
  <c r="L92" i="1"/>
  <c r="K90" i="1"/>
  <c r="K96" i="1" s="1"/>
  <c r="N88" i="1"/>
  <c r="M88" i="1"/>
  <c r="K88" i="1"/>
  <c r="J88" i="1"/>
  <c r="L87" i="1"/>
  <c r="L85" i="1"/>
  <c r="L84" i="1"/>
  <c r="L82" i="1"/>
  <c r="L81" i="1"/>
  <c r="N80" i="1"/>
  <c r="M80" i="1"/>
  <c r="K80" i="1"/>
  <c r="J80" i="1"/>
  <c r="L79" i="1"/>
  <c r="L78" i="1"/>
  <c r="L76" i="1"/>
  <c r="L74" i="1"/>
  <c r="L73" i="1"/>
  <c r="N72" i="1"/>
  <c r="M72" i="1"/>
  <c r="K72" i="1"/>
  <c r="J72" i="1"/>
  <c r="K71" i="1"/>
  <c r="L68" i="1"/>
  <c r="L72" i="1" s="1"/>
  <c r="L67" i="1"/>
  <c r="L65" i="1"/>
  <c r="L63" i="1"/>
  <c r="L62" i="1"/>
  <c r="L61" i="1"/>
  <c r="L56" i="1"/>
  <c r="L51" i="1"/>
  <c r="L50" i="1"/>
  <c r="L49" i="1"/>
  <c r="L46" i="1"/>
  <c r="L44" i="1"/>
  <c r="L43" i="1"/>
  <c r="O42" i="1"/>
  <c r="O36" i="1"/>
  <c r="L120" i="1" l="1"/>
  <c r="L176" i="1"/>
  <c r="L192" i="1"/>
  <c r="L208" i="1"/>
  <c r="L256" i="1"/>
  <c r="L304" i="1"/>
  <c r="L328" i="1"/>
  <c r="L459" i="1"/>
  <c r="L499" i="1"/>
  <c r="L595" i="1"/>
  <c r="L635" i="1"/>
  <c r="L723" i="1"/>
  <c r="L112" i="1"/>
  <c r="L80" i="1"/>
  <c r="L128" i="1"/>
  <c r="L232" i="1"/>
  <c r="L288" i="1"/>
  <c r="L312" i="1"/>
  <c r="L360" i="1"/>
  <c r="L400" i="1"/>
  <c r="L433" i="1"/>
  <c r="L483" i="1"/>
  <c r="L555" i="1"/>
  <c r="L571" i="1"/>
  <c r="L619" i="1"/>
  <c r="L651" i="1"/>
  <c r="L787" i="1"/>
  <c r="L384" i="1"/>
  <c r="L184" i="1"/>
  <c r="L336" i="1"/>
  <c r="L216" i="1"/>
  <c r="L240" i="1"/>
  <c r="L264" i="1"/>
  <c r="L408" i="1"/>
  <c r="L491" i="1"/>
  <c r="L539" i="1"/>
  <c r="L643" i="1"/>
  <c r="L699" i="1"/>
  <c r="L731" i="1"/>
  <c r="L771" i="1"/>
  <c r="L88" i="1"/>
  <c r="L368" i="1"/>
  <c r="L96" i="1"/>
  <c r="L296" i="1"/>
  <c r="L425" i="1"/>
  <c r="L451" i="1"/>
  <c r="L579" i="1"/>
  <c r="L667" i="1"/>
  <c r="L707" i="1"/>
  <c r="L627" i="1"/>
  <c r="L779" i="1"/>
  <c r="L376" i="1"/>
  <c r="L417" i="1"/>
  <c r="L547" i="1"/>
  <c r="L611" i="1"/>
  <c r="L675" i="1"/>
  <c r="L739" i="1"/>
  <c r="L755" i="1"/>
  <c r="L224" i="1"/>
  <c r="L352" i="1"/>
  <c r="L443" i="1"/>
  <c r="L587" i="1"/>
  <c r="B486" i="1"/>
  <c r="B491" i="1" s="1"/>
  <c r="B470" i="1"/>
  <c r="B475" i="1" s="1"/>
  <c r="B606" i="1"/>
  <c r="B611" i="1" s="1"/>
  <c r="B651" i="1"/>
  <c r="B723" i="1"/>
  <c r="B590" i="1"/>
  <c r="B595" i="1" s="1"/>
  <c r="I443" i="1"/>
  <c r="I45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72" authorId="0" shapeId="0" xr:uid="{00000000-0006-0000-0000-000001000000}">
      <text>
        <r>
          <rPr>
            <sz val="11"/>
            <color theme="1"/>
            <rFont val="Calibri"/>
            <scheme val="minor"/>
          </rPr>
          <t>======
ID#AAAANcmByKo
Paulo Faria    (2021-07-16 07:34:02)
nesta semana: deu este valor em razão do pagamento de 2 treinamentos da val para contratação + um dia de trabalho no sábado</t>
        </r>
      </text>
    </comment>
    <comment ref="B395" authorId="0" shapeId="0" xr:uid="{00000000-0006-0000-0000-000002000000}">
      <text>
        <r>
          <rPr>
            <sz val="11"/>
            <color theme="1"/>
            <rFont val="Calibri"/>
            <scheme val="minor"/>
          </rPr>
          <t>======
ID#AAAANcmByKk
Paulo Faria    (2021-07-16 07:34:02)
este vlr é referente a um empréstimo q pedi q foi depositado no domingo 06 junho e foi descontado nesta semana conforme solicitei. Precisamos para pode pagar combustível e conta de energia</t>
        </r>
      </text>
    </comment>
  </commentList>
  <extLst>
    <ext xmlns:r="http://schemas.openxmlformats.org/officeDocument/2006/relationships" uri="GoogleSheetsCustomDataVersion1">
      <go:sheetsCustomData xmlns:go="http://customooxmlschemas.google.com/" r:id="rId1" roundtripDataSignature="AMtx7mj8nPqYbsRSY28LLUpIv7cd5qrqFA=="/>
    </ext>
  </extLst>
</comments>
</file>

<file path=xl/sharedStrings.xml><?xml version="1.0" encoding="utf-8"?>
<sst xmlns="http://schemas.openxmlformats.org/spreadsheetml/2006/main" count="2094" uniqueCount="97">
  <si>
    <t>Semana</t>
  </si>
  <si>
    <t>Invoice</t>
  </si>
  <si>
    <t>PG</t>
  </si>
  <si>
    <t>Data</t>
  </si>
  <si>
    <t>Turno</t>
  </si>
  <si>
    <t>Dia Semana</t>
  </si>
  <si>
    <t>Depósito</t>
  </si>
  <si>
    <t>Dias Trab</t>
  </si>
  <si>
    <t>Valor</t>
  </si>
  <si>
    <t>Pick-up</t>
  </si>
  <si>
    <t>Milhas</t>
  </si>
  <si>
    <t>Stops</t>
  </si>
  <si>
    <t>Parcelas</t>
  </si>
  <si>
    <t>Combustivel</t>
  </si>
  <si>
    <t>Observações</t>
  </si>
  <si>
    <t>NADA</t>
  </si>
  <si>
    <t>Segunda-Feira</t>
  </si>
  <si>
    <t>Terça-Feira</t>
  </si>
  <si>
    <t>OK</t>
  </si>
  <si>
    <t>12hs</t>
  </si>
  <si>
    <t>Quarta-Feira</t>
  </si>
  <si>
    <t>Quinta-Feira</t>
  </si>
  <si>
    <t>Sexta-Feira</t>
  </si>
  <si>
    <t>Sábado</t>
  </si>
  <si>
    <t>Domingo</t>
  </si>
  <si>
    <t>09hs</t>
  </si>
  <si>
    <t>9hs</t>
  </si>
  <si>
    <t>9:25hs</t>
  </si>
  <si>
    <t>TOTAIS</t>
  </si>
  <si>
    <t>0730hs</t>
  </si>
  <si>
    <t>7h30</t>
  </si>
  <si>
    <t>7h30m</t>
  </si>
  <si>
    <t>11hs</t>
  </si>
  <si>
    <t>13h30</t>
  </si>
  <si>
    <t>15hs</t>
  </si>
  <si>
    <t>Segunda-feira</t>
  </si>
  <si>
    <t>Terça-feira</t>
  </si>
  <si>
    <t>Quarta-feira</t>
  </si>
  <si>
    <t>Quinta-feira</t>
  </si>
  <si>
    <t>Sexta-feira</t>
  </si>
  <si>
    <t>7h20m</t>
  </si>
  <si>
    <t>DXW2 - Weybridge</t>
  </si>
  <si>
    <t>10h05</t>
  </si>
  <si>
    <t>7h45</t>
  </si>
  <si>
    <t>07h45</t>
  </si>
  <si>
    <t>P</t>
  </si>
  <si>
    <t>14h30</t>
  </si>
  <si>
    <t>ok</t>
  </si>
  <si>
    <t>DZL4 - Camberley</t>
  </si>
  <si>
    <t>V</t>
  </si>
  <si>
    <t>11h55</t>
  </si>
  <si>
    <t>9h30</t>
  </si>
  <si>
    <t>7h10</t>
  </si>
  <si>
    <t>11h50</t>
  </si>
  <si>
    <t>12h50</t>
  </si>
  <si>
    <t>9h20</t>
  </si>
  <si>
    <t>11h</t>
  </si>
  <si>
    <t>11h40</t>
  </si>
  <si>
    <t>11h30</t>
  </si>
  <si>
    <t>10h40</t>
  </si>
  <si>
    <t>10h35</t>
  </si>
  <si>
    <t>p</t>
  </si>
  <si>
    <t>11h10</t>
  </si>
  <si>
    <t>10h50</t>
  </si>
  <si>
    <t>12h30</t>
  </si>
  <si>
    <t>17hs</t>
  </si>
  <si>
    <t>12h15</t>
  </si>
  <si>
    <t>12h05</t>
  </si>
  <si>
    <t>13hs</t>
  </si>
  <si>
    <t>562,84</t>
  </si>
  <si>
    <t>camberley</t>
  </si>
  <si>
    <t>yodel croydon</t>
  </si>
  <si>
    <t>785,71</t>
  </si>
  <si>
    <t>632,73</t>
  </si>
  <si>
    <t>9h45</t>
  </si>
  <si>
    <t>Camberley</t>
  </si>
  <si>
    <t>857,37</t>
  </si>
  <si>
    <t>483,97</t>
  </si>
  <si>
    <t>711,73</t>
  </si>
  <si>
    <t>652,81</t>
  </si>
  <si>
    <t>641,91</t>
  </si>
  <si>
    <t>507,47</t>
  </si>
  <si>
    <t>657,34</t>
  </si>
  <si>
    <t>545,63</t>
  </si>
  <si>
    <t>550,94</t>
  </si>
  <si>
    <t>729,81</t>
  </si>
  <si>
    <t>549,99</t>
  </si>
  <si>
    <t>11h15</t>
  </si>
  <si>
    <t>10h30</t>
  </si>
  <si>
    <t>Litlle Hampton</t>
  </si>
  <si>
    <t>11h20</t>
  </si>
  <si>
    <t>12h20</t>
  </si>
  <si>
    <t>CRAWLEY</t>
  </si>
  <si>
    <t>9h05</t>
  </si>
  <si>
    <t>9h25</t>
  </si>
  <si>
    <t>11h05</t>
  </si>
  <si>
    <t>Driver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</si>
</sst>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b/>
      <sz val="16"/>
      <color theme="1"/>
      <name val="Calibri"/>
      <scheme val="minor"/>
    </font>
    <font>
      <b/>
      <sz val="11"/>
      <color rgb="FFFF0000"/>
      <name val="Calibri"/>
      <scheme val="minor"/>
    </font>
    <font>
      <b/>
      <sz val="11"/>
      <color theme="1"/>
      <name val="Calibri"/>
      <scheme val="minor"/>
    </font>
    <font>
      <b/>
      <sz val="12"/>
      <color theme="1"/>
      <name val="Calibri"/>
      <scheme val="minor"/>
    </font>
    <font>
      <sz val="11"/>
      <color rgb="FFFF0000"/>
      <name val="Calibri"/>
      <scheme val="minor"/>
    </font>
    <font>
      <b/>
      <sz val="14"/>
      <color rgb="FFFF0000"/>
      <name val="Calibri"/>
      <scheme val="minor"/>
    </font>
    <font>
      <b/>
      <sz val="12"/>
      <color rgb="FFFF0000"/>
      <name val="Calibri"/>
      <scheme val="minor"/>
    </font>
    <font>
      <sz val="12"/>
      <color rgb="FFFF0000"/>
      <name val="Calibri"/>
      <scheme val="minor"/>
    </font>
    <font>
      <sz val="11"/>
      <color theme="1"/>
      <name val="Calibri"/>
      <scheme val="minor"/>
    </font>
    <font>
      <u/>
      <sz val="11"/>
      <color theme="1"/>
      <name val="Calibri"/>
      <scheme val="minor"/>
    </font>
    <font>
      <u/>
      <sz val="11"/>
      <color theme="1"/>
      <name val="Calibri"/>
      <scheme val="minor"/>
    </font>
    <font>
      <u/>
      <sz val="12"/>
      <color rgb="FFFF0000"/>
      <name val="Calibri"/>
      <scheme val="minor"/>
    </font>
    <font>
      <u/>
      <sz val="11"/>
      <color theme="1"/>
      <name val="Calibri"/>
      <scheme val="minor"/>
    </font>
    <font>
      <u/>
      <sz val="11"/>
      <color theme="1"/>
      <name val="Calibri"/>
      <scheme val="minor"/>
    </font>
    <font>
      <u/>
      <sz val="11"/>
      <color theme="1"/>
      <name val="Calibri"/>
      <scheme val="minor"/>
    </font>
    <font>
      <sz val="11"/>
      <color rgb="FF000000"/>
      <name val="Roboto"/>
    </font>
  </fonts>
  <fills count="18">
    <fill>
      <patternFill patternType="none"/>
    </fill>
    <fill>
      <patternFill patternType="gray125"/>
    </fill>
    <fill>
      <patternFill patternType="solid">
        <fgColor rgb="FFECECEC"/>
        <bgColor rgb="FFECECEC"/>
      </patternFill>
    </fill>
    <fill>
      <patternFill patternType="solid">
        <fgColor rgb="FFFBE4D5"/>
        <bgColor rgb="FFFBE4D5"/>
      </patternFill>
    </fill>
    <fill>
      <patternFill patternType="solid">
        <fgColor rgb="FFDEEAF6"/>
        <bgColor rgb="FFDEEAF6"/>
      </patternFill>
    </fill>
    <fill>
      <patternFill patternType="solid">
        <fgColor rgb="FFD6DCE4"/>
        <bgColor rgb="FFD6DCE4"/>
      </patternFill>
    </fill>
    <fill>
      <patternFill patternType="solid">
        <fgColor rgb="FFFFFF00"/>
        <bgColor rgb="FFFFFF00"/>
      </patternFill>
    </fill>
    <fill>
      <patternFill patternType="solid">
        <fgColor rgb="FFBDD6EE"/>
        <bgColor rgb="FFBDD6EE"/>
      </patternFill>
    </fill>
    <fill>
      <patternFill patternType="solid">
        <fgColor rgb="FFF7CAAC"/>
        <bgColor rgb="FFF7CAAC"/>
      </patternFill>
    </fill>
    <fill>
      <patternFill patternType="solid">
        <fgColor theme="7"/>
        <bgColor theme="7"/>
      </patternFill>
    </fill>
    <fill>
      <patternFill patternType="solid">
        <fgColor rgb="FFFFE598"/>
        <bgColor rgb="FFFFE598"/>
      </patternFill>
    </fill>
    <fill>
      <patternFill patternType="solid">
        <fgColor rgb="FFFFD965"/>
        <bgColor rgb="FFFFD965"/>
      </patternFill>
    </fill>
    <fill>
      <patternFill patternType="solid">
        <fgColor rgb="FF00B0F0"/>
        <bgColor rgb="FF00B0F0"/>
      </patternFill>
    </fill>
    <fill>
      <patternFill patternType="solid">
        <fgColor rgb="FFFEF2CB"/>
        <bgColor rgb="FFFEF2CB"/>
      </patternFill>
    </fill>
    <fill>
      <patternFill patternType="solid">
        <fgColor rgb="FFFFD966"/>
        <bgColor rgb="FFFFD966"/>
      </patternFill>
    </fill>
    <fill>
      <patternFill patternType="solid">
        <fgColor rgb="FFFF9900"/>
        <bgColor rgb="FFFF9900"/>
      </patternFill>
    </fill>
    <fill>
      <patternFill patternType="solid">
        <fgColor theme="5"/>
        <bgColor theme="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0" fillId="2" borderId="1" xfId="0" applyFont="1" applyFill="1" applyBorder="1"/>
    <xf numFmtId="0" fontId="2" fillId="2" borderId="1" xfId="0" applyFont="1" applyFill="1" applyBorder="1" applyAlignment="1">
      <alignment horizontal="center"/>
    </xf>
    <xf numFmtId="16" fontId="0" fillId="2" borderId="1" xfId="0" applyNumberFormat="1" applyFont="1" applyFill="1" applyBorder="1"/>
    <xf numFmtId="0" fontId="3" fillId="2" borderId="1" xfId="0" applyFont="1" applyFill="1" applyBorder="1"/>
    <xf numFmtId="20" fontId="0" fillId="2" borderId="1" xfId="0" applyNumberFormat="1" applyFont="1" applyFill="1" applyBorder="1"/>
    <xf numFmtId="0" fontId="0" fillId="3" borderId="1" xfId="0" applyFont="1" applyFill="1" applyBorder="1"/>
    <xf numFmtId="0" fontId="2" fillId="3" borderId="1" xfId="0" applyFont="1" applyFill="1" applyBorder="1" applyAlignment="1">
      <alignment horizontal="center"/>
    </xf>
    <xf numFmtId="16" fontId="0" fillId="3" borderId="1" xfId="0" applyNumberFormat="1" applyFont="1" applyFill="1" applyBorder="1"/>
    <xf numFmtId="20" fontId="0" fillId="3" borderId="1" xfId="0" applyNumberFormat="1" applyFont="1" applyFill="1" applyBorder="1"/>
    <xf numFmtId="0" fontId="3" fillId="3" borderId="1" xfId="0" applyFont="1" applyFill="1" applyBorder="1"/>
    <xf numFmtId="0" fontId="0" fillId="3" borderId="1" xfId="0" applyFont="1" applyFill="1" applyBorder="1" applyAlignment="1">
      <alignment wrapText="1"/>
    </xf>
    <xf numFmtId="0" fontId="0" fillId="3" borderId="1" xfId="0" applyFont="1" applyFill="1" applyBorder="1" applyAlignment="1"/>
    <xf numFmtId="0" fontId="0" fillId="2" borderId="1" xfId="0" applyFont="1" applyFill="1" applyBorder="1" applyAlignment="1">
      <alignment wrapText="1"/>
    </xf>
    <xf numFmtId="0" fontId="0" fillId="4" borderId="1" xfId="0" applyFont="1" applyFill="1" applyBorder="1"/>
    <xf numFmtId="0" fontId="2" fillId="4" borderId="1" xfId="0" applyFont="1" applyFill="1" applyBorder="1" applyAlignment="1">
      <alignment horizontal="center"/>
    </xf>
    <xf numFmtId="16" fontId="0" fillId="4" borderId="1" xfId="0" applyNumberFormat="1" applyFont="1" applyFill="1" applyBorder="1"/>
    <xf numFmtId="0" fontId="3" fillId="4" borderId="1" xfId="0" applyFont="1" applyFill="1" applyBorder="1"/>
    <xf numFmtId="0" fontId="4" fillId="4" borderId="1" xfId="0" applyFont="1" applyFill="1" applyBorder="1"/>
    <xf numFmtId="0" fontId="0" fillId="5" borderId="1" xfId="0" applyFont="1" applyFill="1" applyBorder="1"/>
    <xf numFmtId="0" fontId="2" fillId="5" borderId="1" xfId="0" applyFont="1" applyFill="1" applyBorder="1" applyAlignment="1">
      <alignment horizontal="center"/>
    </xf>
    <xf numFmtId="16" fontId="0" fillId="5" borderId="1" xfId="0" applyNumberFormat="1" applyFont="1" applyFill="1" applyBorder="1"/>
    <xf numFmtId="0" fontId="3" fillId="5" borderId="1" xfId="0" applyFont="1" applyFill="1" applyBorder="1"/>
    <xf numFmtId="0" fontId="5" fillId="6" borderId="1" xfId="0" applyFont="1" applyFill="1" applyBorder="1"/>
    <xf numFmtId="0" fontId="2" fillId="6" borderId="1" xfId="0" applyFont="1" applyFill="1" applyBorder="1"/>
    <xf numFmtId="0" fontId="0" fillId="7" borderId="1" xfId="0" applyFont="1" applyFill="1" applyBorder="1"/>
    <xf numFmtId="0" fontId="2" fillId="7" borderId="1" xfId="0" applyFont="1" applyFill="1" applyBorder="1" applyAlignment="1">
      <alignment horizontal="center"/>
    </xf>
    <xf numFmtId="16" fontId="0" fillId="7" borderId="1" xfId="0" applyNumberFormat="1" applyFont="1" applyFill="1" applyBorder="1"/>
    <xf numFmtId="20" fontId="0" fillId="7" borderId="1" xfId="0" applyNumberFormat="1" applyFont="1" applyFill="1" applyBorder="1"/>
    <xf numFmtId="0" fontId="3" fillId="7" borderId="1" xfId="0" applyFont="1" applyFill="1" applyBorder="1"/>
    <xf numFmtId="0" fontId="5" fillId="7" borderId="1" xfId="0" applyFont="1" applyFill="1" applyBorder="1"/>
    <xf numFmtId="0" fontId="2" fillId="7" borderId="1" xfId="0" applyFont="1" applyFill="1" applyBorder="1"/>
    <xf numFmtId="0" fontId="0" fillId="8" borderId="1" xfId="0" applyFont="1" applyFill="1" applyBorder="1"/>
    <xf numFmtId="0" fontId="2" fillId="8" borderId="1" xfId="0" applyFont="1" applyFill="1" applyBorder="1" applyAlignment="1">
      <alignment horizontal="center"/>
    </xf>
    <xf numFmtId="16" fontId="0" fillId="8" borderId="1" xfId="0" applyNumberFormat="1" applyFont="1" applyFill="1" applyBorder="1"/>
    <xf numFmtId="0" fontId="3" fillId="8" borderId="1" xfId="0" applyFont="1" applyFill="1" applyBorder="1"/>
    <xf numFmtId="0" fontId="6" fillId="6" borderId="1" xfId="0" applyFont="1" applyFill="1" applyBorder="1" applyAlignment="1">
      <alignment horizontal="right"/>
    </xf>
    <xf numFmtId="0" fontId="7" fillId="6" borderId="1" xfId="0" applyFont="1" applyFill="1" applyBorder="1"/>
    <xf numFmtId="0" fontId="8" fillId="6" borderId="1" xfId="0" applyFont="1" applyFill="1" applyBorder="1"/>
    <xf numFmtId="20" fontId="0" fillId="8" borderId="1" xfId="0" applyNumberFormat="1" applyFont="1" applyFill="1" applyBorder="1"/>
    <xf numFmtId="0" fontId="0" fillId="8" borderId="1" xfId="0" applyFont="1" applyFill="1" applyBorder="1" applyAlignment="1"/>
    <xf numFmtId="0" fontId="0" fillId="6" borderId="1" xfId="0" applyFont="1" applyFill="1" applyBorder="1"/>
    <xf numFmtId="0" fontId="3" fillId="6" borderId="1" xfId="0" applyFont="1" applyFill="1" applyBorder="1"/>
    <xf numFmtId="0" fontId="0" fillId="5" borderId="1" xfId="0" applyFont="1" applyFill="1" applyBorder="1" applyAlignment="1"/>
    <xf numFmtId="20" fontId="0" fillId="4" borderId="1" xfId="0" applyNumberFormat="1" applyFont="1" applyFill="1" applyBorder="1"/>
    <xf numFmtId="0" fontId="0" fillId="9" borderId="1" xfId="0" applyFont="1" applyFill="1" applyBorder="1"/>
    <xf numFmtId="0" fontId="2" fillId="9" borderId="1" xfId="0" applyFont="1" applyFill="1" applyBorder="1" applyAlignment="1">
      <alignment horizontal="center"/>
    </xf>
    <xf numFmtId="16" fontId="0" fillId="9" borderId="1" xfId="0" applyNumberFormat="1" applyFont="1" applyFill="1" applyBorder="1"/>
    <xf numFmtId="20" fontId="0" fillId="9" borderId="1" xfId="0" applyNumberFormat="1" applyFont="1" applyFill="1" applyBorder="1"/>
    <xf numFmtId="0" fontId="3" fillId="9" borderId="1" xfId="0" applyFont="1" applyFill="1" applyBorder="1"/>
    <xf numFmtId="0" fontId="0" fillId="9" borderId="1" xfId="0" applyFont="1" applyFill="1" applyBorder="1" applyAlignment="1"/>
    <xf numFmtId="0" fontId="6" fillId="9" borderId="1" xfId="0" applyFont="1" applyFill="1" applyBorder="1" applyAlignment="1">
      <alignment horizontal="right"/>
    </xf>
    <xf numFmtId="0" fontId="7" fillId="9" borderId="1" xfId="0" applyFont="1" applyFill="1" applyBorder="1"/>
    <xf numFmtId="0" fontId="8" fillId="9" borderId="1" xfId="0" applyFont="1" applyFill="1" applyBorder="1"/>
    <xf numFmtId="0" fontId="0" fillId="4" borderId="1" xfId="0" applyFont="1" applyFill="1" applyBorder="1" applyAlignment="1"/>
    <xf numFmtId="0" fontId="9" fillId="0" borderId="0" xfId="0" applyFont="1"/>
    <xf numFmtId="0" fontId="2" fillId="0" borderId="0" xfId="0" applyFont="1" applyAlignment="1">
      <alignment horizontal="center"/>
    </xf>
    <xf numFmtId="16" fontId="0" fillId="0" borderId="0" xfId="0" applyNumberFormat="1" applyFont="1"/>
    <xf numFmtId="0" fontId="0" fillId="0" borderId="0" xfId="0" applyFont="1"/>
    <xf numFmtId="0" fontId="10" fillId="4" borderId="1" xfId="0" applyFont="1" applyFill="1" applyBorder="1"/>
    <xf numFmtId="0" fontId="11" fillId="8" borderId="1" xfId="0" applyFont="1" applyFill="1" applyBorder="1"/>
    <xf numFmtId="0" fontId="12" fillId="6" borderId="1" xfId="0" applyFont="1" applyFill="1" applyBorder="1"/>
    <xf numFmtId="0" fontId="13" fillId="4" borderId="1" xfId="0" applyFont="1" applyFill="1" applyBorder="1" applyAlignment="1"/>
    <xf numFmtId="0" fontId="14" fillId="8" borderId="1" xfId="0" applyFont="1" applyFill="1" applyBorder="1" applyAlignment="1"/>
    <xf numFmtId="0" fontId="15" fillId="10" borderId="1" xfId="0" applyFont="1" applyFill="1" applyBorder="1"/>
    <xf numFmtId="0" fontId="0" fillId="11" borderId="1" xfId="0" applyFont="1" applyFill="1" applyBorder="1"/>
    <xf numFmtId="0" fontId="2" fillId="11" borderId="1" xfId="0" applyFont="1" applyFill="1" applyBorder="1" applyAlignment="1">
      <alignment horizontal="center"/>
    </xf>
    <xf numFmtId="16" fontId="0" fillId="11" borderId="1" xfId="0" applyNumberFormat="1" applyFont="1" applyFill="1" applyBorder="1"/>
    <xf numFmtId="20" fontId="0" fillId="11" borderId="1" xfId="0" applyNumberFormat="1" applyFont="1" applyFill="1" applyBorder="1"/>
    <xf numFmtId="0" fontId="3" fillId="11" borderId="1" xfId="0" applyFont="1" applyFill="1" applyBorder="1"/>
    <xf numFmtId="0" fontId="0" fillId="11" borderId="1" xfId="0" applyFont="1" applyFill="1" applyBorder="1" applyAlignment="1"/>
    <xf numFmtId="0" fontId="0" fillId="12" borderId="1" xfId="0" applyFont="1" applyFill="1" applyBorder="1"/>
    <xf numFmtId="0" fontId="2" fillId="12" borderId="1" xfId="0" applyFont="1" applyFill="1" applyBorder="1" applyAlignment="1">
      <alignment horizontal="center"/>
    </xf>
    <xf numFmtId="16" fontId="0" fillId="12" borderId="1" xfId="0" applyNumberFormat="1" applyFont="1" applyFill="1" applyBorder="1"/>
    <xf numFmtId="20" fontId="0" fillId="12" borderId="1" xfId="0" applyNumberFormat="1" applyFont="1" applyFill="1" applyBorder="1"/>
    <xf numFmtId="0" fontId="3" fillId="12" borderId="1" xfId="0" applyFont="1" applyFill="1" applyBorder="1"/>
    <xf numFmtId="0" fontId="0" fillId="12" borderId="1" xfId="0" applyFont="1" applyFill="1" applyBorder="1" applyAlignment="1"/>
    <xf numFmtId="0" fontId="2" fillId="0" borderId="0" xfId="0" applyFont="1" applyAlignment="1">
      <alignment horizontal="center"/>
    </xf>
    <xf numFmtId="0" fontId="0" fillId="13" borderId="1" xfId="0" applyFont="1" applyFill="1" applyBorder="1"/>
    <xf numFmtId="0" fontId="2" fillId="13" borderId="1" xfId="0" applyFont="1" applyFill="1" applyBorder="1" applyAlignment="1">
      <alignment horizontal="center"/>
    </xf>
    <xf numFmtId="16" fontId="0" fillId="13" borderId="1" xfId="0" applyNumberFormat="1" applyFont="1" applyFill="1" applyBorder="1"/>
    <xf numFmtId="20" fontId="0" fillId="13" borderId="1" xfId="0" applyNumberFormat="1" applyFont="1" applyFill="1" applyBorder="1"/>
    <xf numFmtId="0" fontId="3" fillId="13" borderId="1" xfId="0" applyFont="1" applyFill="1" applyBorder="1"/>
    <xf numFmtId="0" fontId="0" fillId="13" borderId="1" xfId="0" applyFont="1" applyFill="1" applyBorder="1" applyAlignment="1"/>
    <xf numFmtId="0" fontId="5" fillId="13" borderId="1" xfId="0" applyFont="1" applyFill="1" applyBorder="1"/>
    <xf numFmtId="0" fontId="2" fillId="4" borderId="1" xfId="0" applyFont="1" applyFill="1" applyBorder="1"/>
    <xf numFmtId="0" fontId="3" fillId="4" borderId="1" xfId="0" applyFont="1" applyFill="1" applyBorder="1" applyAlignment="1"/>
    <xf numFmtId="0" fontId="0" fillId="6" borderId="1" xfId="0" applyFont="1" applyFill="1" applyBorder="1" applyAlignment="1"/>
    <xf numFmtId="0" fontId="3" fillId="0" borderId="0" xfId="0" applyFont="1" applyAlignment="1"/>
    <xf numFmtId="0" fontId="3" fillId="8" borderId="1" xfId="0" applyFont="1" applyFill="1" applyBorder="1" applyAlignment="1"/>
    <xf numFmtId="0" fontId="3" fillId="6" borderId="1" xfId="0" applyFont="1" applyFill="1" applyBorder="1" applyAlignment="1"/>
    <xf numFmtId="0" fontId="2" fillId="8" borderId="1" xfId="0" applyFont="1" applyFill="1" applyBorder="1" applyAlignment="1"/>
    <xf numFmtId="0" fontId="2" fillId="4" borderId="1" xfId="0" applyFont="1" applyFill="1" applyBorder="1" applyAlignment="1">
      <alignment horizontal="center"/>
    </xf>
    <xf numFmtId="0" fontId="0" fillId="14" borderId="1" xfId="0" applyFont="1" applyFill="1" applyBorder="1"/>
    <xf numFmtId="0" fontId="2" fillId="14" borderId="1" xfId="0" applyFont="1" applyFill="1" applyBorder="1" applyAlignment="1">
      <alignment horizontal="center"/>
    </xf>
    <xf numFmtId="16" fontId="0" fillId="14" borderId="1" xfId="0" applyNumberFormat="1" applyFont="1" applyFill="1" applyBorder="1"/>
    <xf numFmtId="0" fontId="0" fillId="14" borderId="1" xfId="0" applyFont="1" applyFill="1" applyBorder="1" applyAlignment="1"/>
    <xf numFmtId="0" fontId="3" fillId="14" borderId="1" xfId="0" applyFont="1" applyFill="1" applyBorder="1" applyAlignment="1"/>
    <xf numFmtId="0" fontId="2" fillId="6" borderId="1" xfId="0" applyFont="1" applyFill="1" applyBorder="1" applyAlignment="1">
      <alignment horizontal="center"/>
    </xf>
    <xf numFmtId="16" fontId="0" fillId="6" borderId="1" xfId="0" applyNumberFormat="1" applyFont="1" applyFill="1" applyBorder="1"/>
    <xf numFmtId="0" fontId="0" fillId="4" borderId="0" xfId="0" applyFont="1" applyFill="1" applyAlignment="1"/>
    <xf numFmtId="0" fontId="9" fillId="0" borderId="0" xfId="0" applyFont="1" applyAlignment="1"/>
    <xf numFmtId="0" fontId="0" fillId="0" borderId="0" xfId="0" applyFont="1" applyAlignment="1"/>
    <xf numFmtId="0" fontId="0" fillId="15" borderId="1" xfId="0" applyFont="1" applyFill="1" applyBorder="1" applyAlignment="1"/>
    <xf numFmtId="0" fontId="0" fillId="15" borderId="1" xfId="0" applyFont="1" applyFill="1" applyBorder="1"/>
    <xf numFmtId="0" fontId="3" fillId="15" borderId="1" xfId="0" applyFont="1" applyFill="1" applyBorder="1" applyAlignment="1"/>
    <xf numFmtId="0" fontId="0" fillId="16" borderId="1" xfId="0" applyFont="1" applyFill="1" applyBorder="1" applyAlignment="1"/>
    <xf numFmtId="0" fontId="2" fillId="16" borderId="1" xfId="0" applyFont="1" applyFill="1" applyBorder="1" applyAlignment="1">
      <alignment horizontal="center"/>
    </xf>
    <xf numFmtId="16" fontId="0" fillId="16" borderId="1" xfId="0" applyNumberFormat="1" applyFont="1" applyFill="1" applyBorder="1"/>
    <xf numFmtId="0" fontId="0" fillId="16" borderId="1" xfId="0" applyFont="1" applyFill="1" applyBorder="1"/>
    <xf numFmtId="0" fontId="3" fillId="16" borderId="1" xfId="0" applyFont="1" applyFill="1" applyBorder="1" applyAlignment="1"/>
    <xf numFmtId="0" fontId="3" fillId="0" borderId="0" xfId="0" applyFont="1"/>
    <xf numFmtId="0" fontId="16" fillId="17" borderId="0" xfId="0" applyFont="1" applyFill="1" applyAlignment="1"/>
    <xf numFmtId="20" fontId="0" fillId="3" borderId="0" xfId="0" applyNumberFormat="1" applyFont="1" applyFill="1"/>
  </cellXfs>
  <cellStyles count="1">
    <cellStyle name="Normal" xfId="0" builtinId="0"/>
  </cellStyles>
  <dxfs count="357">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b/>
        <color rgb="FF00B050"/>
      </font>
      <fill>
        <patternFill patternType="none"/>
      </fill>
    </dxf>
    <dxf>
      <font>
        <b/>
        <color rgb="FF0070C0"/>
      </font>
      <fill>
        <patternFill patternType="none"/>
      </fill>
    </dxf>
    <dxf>
      <font>
        <color rgb="FF00B050"/>
      </font>
      <fill>
        <patternFill patternType="none"/>
      </fill>
    </dxf>
    <dxf>
      <font>
        <color rgb="FF002060"/>
      </font>
      <fill>
        <patternFill patternType="none"/>
      </fill>
    </dxf>
    <dxf>
      <font>
        <color rgb="FF002060"/>
      </font>
      <fill>
        <patternFill patternType="none"/>
      </fill>
    </dxf>
    <dxf>
      <font>
        <color rgb="FF002060"/>
      </font>
      <fill>
        <patternFill patternType="none"/>
      </fill>
    </dxf>
    <dxf>
      <font>
        <color rgb="FF002060"/>
      </font>
      <fill>
        <patternFill patternType="none"/>
      </fill>
    </dxf>
    <dxf>
      <font>
        <color rgb="FF002060"/>
      </font>
      <fill>
        <patternFill patternType="none"/>
      </fill>
    </dxf>
    <dxf>
      <font>
        <color rgb="FF002060"/>
      </font>
      <fill>
        <patternFill patternType="none"/>
      </fill>
    </dxf>
    <dxf>
      <font>
        <color rgb="FF002060"/>
      </font>
      <fill>
        <patternFill patternType="none"/>
      </fill>
    </dxf>
    <dxf>
      <font>
        <color rgb="FF002060"/>
      </font>
      <fill>
        <patternFill patternType="none"/>
      </fill>
    </dxf>
    <dxf>
      <font>
        <color rgb="FF00206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0</xdr:colOff>
      <xdr:row>32</xdr:row>
      <xdr:rowOff>76200</xdr:rowOff>
    </xdr:from>
    <xdr:ext cx="4943475" cy="1447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34"/>
  <sheetViews>
    <sheetView tabSelected="1" workbookViewId="0">
      <pane ySplit="1" topLeftCell="A2" activePane="bottomLeft" state="frozen"/>
      <selection pane="bottomLeft" activeCell="H2" sqref="H2"/>
    </sheetView>
  </sheetViews>
  <sheetFormatPr defaultColWidth="14.453125" defaultRowHeight="15" customHeight="1" x14ac:dyDescent="0.35"/>
  <cols>
    <col min="1" max="2" width="8.7265625" customWidth="1"/>
    <col min="3" max="3" width="9.08984375" customWidth="1"/>
    <col min="4" max="5" width="8.7265625" customWidth="1"/>
    <col min="6" max="7" width="16" customWidth="1"/>
    <col min="8" max="8" width="4.7265625" customWidth="1"/>
    <col min="9" max="9" width="5.08984375" customWidth="1"/>
    <col min="10" max="10" width="16" customWidth="1"/>
    <col min="11" max="11" width="10.453125" customWidth="1"/>
    <col min="12" max="15" width="8.7265625" customWidth="1"/>
    <col min="16" max="16" width="102.453125" customWidth="1"/>
  </cols>
  <sheetData>
    <row r="1" spans="1:16" ht="21" x14ac:dyDescent="0.5">
      <c r="A1" s="1" t="s">
        <v>0</v>
      </c>
      <c r="B1" s="1" t="s">
        <v>1</v>
      </c>
      <c r="C1" s="2" t="s">
        <v>2</v>
      </c>
      <c r="D1" s="2" t="s">
        <v>3</v>
      </c>
      <c r="E1" s="2" t="s">
        <v>4</v>
      </c>
      <c r="F1" s="2" t="s">
        <v>5</v>
      </c>
      <c r="G1" s="2" t="s">
        <v>6</v>
      </c>
      <c r="H1" s="2" t="s">
        <v>96</v>
      </c>
      <c r="I1" s="3" t="s">
        <v>7</v>
      </c>
      <c r="J1" s="3" t="s">
        <v>8</v>
      </c>
      <c r="K1" s="2" t="s">
        <v>9</v>
      </c>
      <c r="L1" s="2" t="s">
        <v>10</v>
      </c>
      <c r="M1" s="3" t="s">
        <v>11</v>
      </c>
      <c r="N1" s="3" t="s">
        <v>12</v>
      </c>
      <c r="O1" s="3" t="s">
        <v>13</v>
      </c>
      <c r="P1" s="4" t="s">
        <v>14</v>
      </c>
    </row>
    <row r="2" spans="1:16" ht="14.5" x14ac:dyDescent="0.35">
      <c r="A2" s="5"/>
      <c r="B2" s="5"/>
      <c r="C2" s="6"/>
      <c r="D2" s="7">
        <v>43983</v>
      </c>
      <c r="E2" s="5" t="s">
        <v>15</v>
      </c>
      <c r="F2" s="5" t="s">
        <v>16</v>
      </c>
      <c r="G2" s="5"/>
      <c r="H2" s="5"/>
      <c r="I2" s="5"/>
      <c r="J2" s="8"/>
      <c r="K2" s="5"/>
      <c r="L2" s="5"/>
      <c r="M2" s="5"/>
      <c r="N2" s="5"/>
      <c r="O2" s="5"/>
      <c r="P2" s="5"/>
    </row>
    <row r="3" spans="1:16" ht="14.5" x14ac:dyDescent="0.35">
      <c r="A3" s="5"/>
      <c r="B3" s="5"/>
      <c r="C3" s="6"/>
      <c r="D3" s="7">
        <v>43984</v>
      </c>
      <c r="E3" s="5"/>
      <c r="F3" s="5" t="s">
        <v>17</v>
      </c>
      <c r="G3" s="5"/>
      <c r="H3" s="5"/>
      <c r="I3" s="5"/>
      <c r="J3" s="8"/>
      <c r="K3" s="5"/>
      <c r="L3" s="5"/>
      <c r="M3" s="5"/>
      <c r="N3" s="5"/>
      <c r="O3" s="5"/>
      <c r="P3" s="5"/>
    </row>
    <row r="4" spans="1:16" ht="14.5" x14ac:dyDescent="0.35">
      <c r="A4" s="5"/>
      <c r="B4" s="5">
        <v>280.8</v>
      </c>
      <c r="C4" s="6" t="s">
        <v>18</v>
      </c>
      <c r="D4" s="7">
        <v>43985</v>
      </c>
      <c r="E4" s="5" t="s">
        <v>19</v>
      </c>
      <c r="F4" s="5" t="s">
        <v>20</v>
      </c>
      <c r="G4" s="5"/>
      <c r="H4" s="5"/>
      <c r="I4" s="5"/>
      <c r="J4" s="8"/>
      <c r="K4" s="5"/>
      <c r="L4" s="5"/>
      <c r="M4" s="5"/>
      <c r="N4" s="5"/>
      <c r="O4" s="5"/>
      <c r="P4" s="5"/>
    </row>
    <row r="5" spans="1:16" ht="14.5" x14ac:dyDescent="0.35">
      <c r="A5" s="5"/>
      <c r="B5" s="5"/>
      <c r="C5" s="6"/>
      <c r="D5" s="7">
        <v>43986</v>
      </c>
      <c r="E5" s="5" t="s">
        <v>19</v>
      </c>
      <c r="F5" s="5" t="s">
        <v>21</v>
      </c>
      <c r="G5" s="5"/>
      <c r="H5" s="5"/>
      <c r="I5" s="5"/>
      <c r="J5" s="8"/>
      <c r="K5" s="5"/>
      <c r="L5" s="5"/>
      <c r="M5" s="5"/>
      <c r="N5" s="5"/>
      <c r="O5" s="5"/>
      <c r="P5" s="5"/>
    </row>
    <row r="6" spans="1:16" ht="14.5" x14ac:dyDescent="0.35">
      <c r="A6" s="5"/>
      <c r="B6" s="5"/>
      <c r="C6" s="6"/>
      <c r="D6" s="7">
        <v>43987</v>
      </c>
      <c r="E6" s="5"/>
      <c r="F6" s="5" t="s">
        <v>22</v>
      </c>
      <c r="G6" s="5"/>
      <c r="H6" s="5"/>
      <c r="I6" s="5"/>
      <c r="J6" s="8"/>
      <c r="K6" s="5"/>
      <c r="L6" s="5"/>
      <c r="M6" s="5"/>
      <c r="N6" s="5"/>
      <c r="O6" s="5"/>
      <c r="P6" s="5"/>
    </row>
    <row r="7" spans="1:16" ht="14.5" x14ac:dyDescent="0.35">
      <c r="A7" s="5"/>
      <c r="B7" s="5"/>
      <c r="C7" s="6"/>
      <c r="D7" s="7">
        <v>43988</v>
      </c>
      <c r="E7" s="9">
        <v>0.27083333333333331</v>
      </c>
      <c r="F7" s="5" t="s">
        <v>23</v>
      </c>
      <c r="G7" s="5"/>
      <c r="H7" s="5"/>
      <c r="I7" s="5"/>
      <c r="J7" s="8"/>
      <c r="K7" s="5"/>
      <c r="L7" s="5"/>
      <c r="M7" s="5"/>
      <c r="N7" s="5"/>
      <c r="O7" s="5"/>
      <c r="P7" s="5"/>
    </row>
    <row r="8" spans="1:16" ht="63" customHeight="1" x14ac:dyDescent="0.35">
      <c r="A8" s="10"/>
      <c r="B8" s="10"/>
      <c r="C8" s="11"/>
      <c r="D8" s="12">
        <v>43989</v>
      </c>
      <c r="E8" s="13">
        <v>0.27083333333333331</v>
      </c>
      <c r="F8" s="10" t="s">
        <v>24</v>
      </c>
      <c r="G8" s="10"/>
      <c r="H8" s="10"/>
      <c r="I8" s="10"/>
      <c r="J8" s="14"/>
      <c r="K8" s="10"/>
      <c r="L8" s="10"/>
      <c r="M8" s="10"/>
      <c r="N8" s="10"/>
      <c r="O8" s="10">
        <v>-50</v>
      </c>
      <c r="P8" s="15"/>
    </row>
    <row r="9" spans="1:16" ht="14.5" x14ac:dyDescent="0.35">
      <c r="A9" s="10"/>
      <c r="B9" s="10"/>
      <c r="C9" s="11"/>
      <c r="D9" s="12">
        <v>43990</v>
      </c>
      <c r="E9" s="10" t="s">
        <v>25</v>
      </c>
      <c r="F9" s="10" t="s">
        <v>16</v>
      </c>
      <c r="G9" s="10"/>
      <c r="H9" s="10"/>
      <c r="I9" s="10"/>
      <c r="J9" s="14"/>
      <c r="K9" s="10"/>
      <c r="L9" s="10"/>
      <c r="M9" s="10"/>
      <c r="N9" s="10"/>
      <c r="O9" s="10">
        <v>-20</v>
      </c>
      <c r="P9" s="15"/>
    </row>
    <row r="10" spans="1:16" ht="14.5" x14ac:dyDescent="0.35">
      <c r="A10" s="10"/>
      <c r="B10" s="10">
        <v>453.2</v>
      </c>
      <c r="C10" s="11" t="s">
        <v>18</v>
      </c>
      <c r="D10" s="12">
        <v>43991</v>
      </c>
      <c r="E10" s="10"/>
      <c r="F10" s="10" t="s">
        <v>17</v>
      </c>
      <c r="G10" s="10"/>
      <c r="H10" s="10"/>
      <c r="I10" s="10"/>
      <c r="J10" s="14"/>
      <c r="K10" s="10"/>
      <c r="L10" s="10"/>
      <c r="M10" s="10"/>
      <c r="N10" s="10"/>
      <c r="O10" s="10"/>
      <c r="P10" s="10"/>
    </row>
    <row r="11" spans="1:16" ht="14.5" x14ac:dyDescent="0.35">
      <c r="A11" s="10"/>
      <c r="B11" s="10"/>
      <c r="C11" s="11"/>
      <c r="D11" s="12">
        <v>43992</v>
      </c>
      <c r="E11" s="10" t="s">
        <v>25</v>
      </c>
      <c r="F11" s="10" t="s">
        <v>20</v>
      </c>
      <c r="G11" s="10"/>
      <c r="H11" s="10"/>
      <c r="I11" s="10"/>
      <c r="J11" s="14"/>
      <c r="K11" s="10"/>
      <c r="L11" s="10"/>
      <c r="M11" s="10"/>
      <c r="N11" s="10"/>
      <c r="O11" s="10"/>
      <c r="P11" s="15"/>
    </row>
    <row r="12" spans="1:16" ht="14.5" x14ac:dyDescent="0.35">
      <c r="A12" s="10"/>
      <c r="B12" s="10"/>
      <c r="C12" s="11"/>
      <c r="D12" s="12">
        <v>43993</v>
      </c>
      <c r="E12" s="10" t="s">
        <v>25</v>
      </c>
      <c r="F12" s="10" t="s">
        <v>21</v>
      </c>
      <c r="G12" s="10"/>
      <c r="H12" s="10"/>
      <c r="I12" s="10"/>
      <c r="J12" s="14"/>
      <c r="K12" s="10"/>
      <c r="L12" s="10"/>
      <c r="M12" s="16">
        <v>170</v>
      </c>
      <c r="N12" s="16">
        <v>199</v>
      </c>
      <c r="O12" s="10"/>
      <c r="P12" s="15"/>
    </row>
    <row r="13" spans="1:16" ht="14.5" x14ac:dyDescent="0.35">
      <c r="A13" s="10"/>
      <c r="B13" s="10"/>
      <c r="C13" s="11"/>
      <c r="D13" s="12">
        <v>43994</v>
      </c>
      <c r="E13" s="10"/>
      <c r="F13" s="10" t="s">
        <v>22</v>
      </c>
      <c r="G13" s="10"/>
      <c r="H13" s="10"/>
      <c r="I13" s="10"/>
      <c r="J13" s="14"/>
      <c r="K13" s="10"/>
      <c r="L13" s="10"/>
      <c r="M13" s="10"/>
      <c r="N13" s="10"/>
      <c r="O13" s="10"/>
      <c r="P13" s="10"/>
    </row>
    <row r="14" spans="1:16" ht="14.5" x14ac:dyDescent="0.35">
      <c r="A14" s="10"/>
      <c r="B14" s="10"/>
      <c r="C14" s="11"/>
      <c r="D14" s="12">
        <v>43995</v>
      </c>
      <c r="E14" s="10" t="s">
        <v>19</v>
      </c>
      <c r="F14" s="10" t="s">
        <v>23</v>
      </c>
      <c r="G14" s="10"/>
      <c r="H14" s="10"/>
      <c r="I14" s="10"/>
      <c r="J14" s="14"/>
      <c r="K14" s="10"/>
      <c r="L14" s="10"/>
      <c r="M14" s="10"/>
      <c r="N14" s="10"/>
      <c r="O14" s="10">
        <v>-50</v>
      </c>
      <c r="P14" s="15"/>
    </row>
    <row r="15" spans="1:16" ht="14.5" x14ac:dyDescent="0.35">
      <c r="A15" s="5"/>
      <c r="B15" s="5"/>
      <c r="C15" s="6"/>
      <c r="D15" s="7">
        <v>43996</v>
      </c>
      <c r="E15" s="5" t="s">
        <v>19</v>
      </c>
      <c r="F15" s="5" t="s">
        <v>24</v>
      </c>
      <c r="G15" s="5"/>
      <c r="H15" s="5"/>
      <c r="I15" s="5"/>
      <c r="J15" s="8"/>
      <c r="K15" s="5"/>
      <c r="L15" s="5"/>
      <c r="M15" s="5"/>
      <c r="N15" s="5"/>
      <c r="O15" s="5"/>
      <c r="P15" s="17"/>
    </row>
    <row r="16" spans="1:16" ht="14.5" x14ac:dyDescent="0.35">
      <c r="A16" s="5"/>
      <c r="B16" s="5"/>
      <c r="C16" s="6"/>
      <c r="D16" s="7">
        <v>43997</v>
      </c>
      <c r="E16" s="5" t="s">
        <v>19</v>
      </c>
      <c r="F16" s="5" t="s">
        <v>16</v>
      </c>
      <c r="G16" s="5"/>
      <c r="H16" s="5"/>
      <c r="I16" s="5"/>
      <c r="J16" s="8"/>
      <c r="K16" s="5"/>
      <c r="L16" s="5"/>
      <c r="M16" s="5"/>
      <c r="N16" s="5"/>
      <c r="O16" s="5"/>
      <c r="P16" s="17"/>
    </row>
    <row r="17" spans="1:16" ht="14.5" x14ac:dyDescent="0.35">
      <c r="A17" s="5"/>
      <c r="B17" s="5"/>
      <c r="C17" s="6"/>
      <c r="D17" s="7">
        <v>43998</v>
      </c>
      <c r="E17" s="5" t="s">
        <v>19</v>
      </c>
      <c r="F17" s="5" t="s">
        <v>17</v>
      </c>
      <c r="G17" s="5"/>
      <c r="H17" s="5"/>
      <c r="I17" s="5"/>
      <c r="J17" s="8"/>
      <c r="K17" s="5"/>
      <c r="L17" s="5"/>
      <c r="M17" s="5"/>
      <c r="N17" s="5"/>
      <c r="O17" s="5"/>
      <c r="P17" s="5"/>
    </row>
    <row r="18" spans="1:16" ht="14.5" x14ac:dyDescent="0.35">
      <c r="A18" s="5"/>
      <c r="B18" s="5">
        <v>448.16</v>
      </c>
      <c r="C18" s="6" t="s">
        <v>18</v>
      </c>
      <c r="D18" s="7">
        <v>43999</v>
      </c>
      <c r="E18" s="5" t="s">
        <v>19</v>
      </c>
      <c r="F18" s="5" t="s">
        <v>20</v>
      </c>
      <c r="G18" s="5"/>
      <c r="H18" s="5"/>
      <c r="I18" s="5"/>
      <c r="J18" s="8"/>
      <c r="K18" s="5"/>
      <c r="L18" s="5"/>
      <c r="M18" s="5"/>
      <c r="N18" s="5"/>
      <c r="O18" s="5"/>
      <c r="P18" s="5"/>
    </row>
    <row r="19" spans="1:16" ht="14.5" x14ac:dyDescent="0.35">
      <c r="A19" s="5"/>
      <c r="B19" s="5"/>
      <c r="C19" s="6"/>
      <c r="D19" s="7">
        <v>44000</v>
      </c>
      <c r="E19" s="5" t="s">
        <v>19</v>
      </c>
      <c r="F19" s="5" t="s">
        <v>21</v>
      </c>
      <c r="G19" s="5"/>
      <c r="H19" s="5"/>
      <c r="I19" s="5"/>
      <c r="J19" s="8"/>
      <c r="K19" s="5"/>
      <c r="L19" s="5"/>
      <c r="M19" s="5"/>
      <c r="N19" s="5"/>
      <c r="O19" s="5"/>
      <c r="P19" s="5"/>
    </row>
    <row r="20" spans="1:16" ht="14.5" x14ac:dyDescent="0.35">
      <c r="A20" s="5"/>
      <c r="B20" s="5"/>
      <c r="C20" s="6"/>
      <c r="D20" s="7">
        <v>44001</v>
      </c>
      <c r="E20" s="5" t="s">
        <v>19</v>
      </c>
      <c r="F20" s="5" t="s">
        <v>22</v>
      </c>
      <c r="G20" s="5"/>
      <c r="H20" s="5"/>
      <c r="I20" s="5"/>
      <c r="J20" s="8"/>
      <c r="K20" s="5"/>
      <c r="L20" s="5"/>
      <c r="M20" s="5"/>
      <c r="N20" s="5"/>
      <c r="O20" s="5"/>
      <c r="P20" s="5"/>
    </row>
    <row r="21" spans="1:16" ht="15.75" customHeight="1" x14ac:dyDescent="0.35">
      <c r="A21" s="5"/>
      <c r="B21" s="5"/>
      <c r="C21" s="6"/>
      <c r="D21" s="7">
        <v>44002</v>
      </c>
      <c r="E21" s="5" t="s">
        <v>19</v>
      </c>
      <c r="F21" s="5" t="s">
        <v>23</v>
      </c>
      <c r="G21" s="5"/>
      <c r="H21" s="5"/>
      <c r="I21" s="5"/>
      <c r="J21" s="8"/>
      <c r="K21" s="5"/>
      <c r="L21" s="5"/>
      <c r="M21" s="5"/>
      <c r="N21" s="5"/>
      <c r="O21" s="5"/>
      <c r="P21" s="5"/>
    </row>
    <row r="22" spans="1:16" ht="15.75" customHeight="1" x14ac:dyDescent="0.35">
      <c r="A22" s="10"/>
      <c r="B22" s="10"/>
      <c r="C22" s="11"/>
      <c r="D22" s="12">
        <v>44003</v>
      </c>
      <c r="E22" s="10" t="s">
        <v>19</v>
      </c>
      <c r="F22" s="10" t="s">
        <v>24</v>
      </c>
      <c r="G22" s="10"/>
      <c r="H22" s="10"/>
      <c r="I22" s="10"/>
      <c r="J22" s="14"/>
      <c r="K22" s="10"/>
      <c r="L22" s="10"/>
      <c r="M22" s="10"/>
      <c r="N22" s="10"/>
      <c r="O22" s="10"/>
      <c r="P22" s="10"/>
    </row>
    <row r="23" spans="1:16" ht="15.75" customHeight="1" x14ac:dyDescent="0.35">
      <c r="A23" s="10"/>
      <c r="B23" s="10"/>
      <c r="C23" s="11"/>
      <c r="D23" s="12">
        <v>44004</v>
      </c>
      <c r="E23" s="10" t="s">
        <v>19</v>
      </c>
      <c r="F23" s="10" t="s">
        <v>16</v>
      </c>
      <c r="G23" s="10"/>
      <c r="H23" s="10"/>
      <c r="I23" s="10"/>
      <c r="J23" s="14"/>
      <c r="K23" s="10"/>
      <c r="L23" s="10"/>
      <c r="M23" s="10"/>
      <c r="N23" s="10"/>
      <c r="O23" s="10"/>
      <c r="P23" s="10"/>
    </row>
    <row r="24" spans="1:16" ht="15.75" customHeight="1" x14ac:dyDescent="0.35">
      <c r="A24" s="10"/>
      <c r="B24" s="10"/>
      <c r="C24" s="11"/>
      <c r="D24" s="12">
        <v>44005</v>
      </c>
      <c r="E24" s="10" t="s">
        <v>19</v>
      </c>
      <c r="F24" s="10" t="s">
        <v>17</v>
      </c>
      <c r="G24" s="10"/>
      <c r="H24" s="10"/>
      <c r="I24" s="10"/>
      <c r="J24" s="14"/>
      <c r="K24" s="10"/>
      <c r="L24" s="10"/>
      <c r="M24" s="10"/>
      <c r="N24" s="10"/>
      <c r="O24" s="10"/>
      <c r="P24" s="10"/>
    </row>
    <row r="25" spans="1:16" ht="15.75" customHeight="1" x14ac:dyDescent="0.35">
      <c r="A25" s="10"/>
      <c r="B25" s="10">
        <v>523.4</v>
      </c>
      <c r="C25" s="11" t="s">
        <v>18</v>
      </c>
      <c r="D25" s="12">
        <v>44006</v>
      </c>
      <c r="E25" s="10" t="s">
        <v>19</v>
      </c>
      <c r="F25" s="10" t="s">
        <v>20</v>
      </c>
      <c r="G25" s="10"/>
      <c r="H25" s="10"/>
      <c r="I25" s="10"/>
      <c r="J25" s="14"/>
      <c r="K25" s="10"/>
      <c r="L25" s="10"/>
      <c r="M25" s="10"/>
      <c r="N25" s="10"/>
      <c r="O25" s="10"/>
      <c r="P25" s="10"/>
    </row>
    <row r="26" spans="1:16" ht="15.75" customHeight="1" x14ac:dyDescent="0.35">
      <c r="A26" s="10"/>
      <c r="B26" s="10"/>
      <c r="C26" s="11"/>
      <c r="D26" s="12">
        <v>44007</v>
      </c>
      <c r="E26" s="10" t="s">
        <v>19</v>
      </c>
      <c r="F26" s="10" t="s">
        <v>21</v>
      </c>
      <c r="G26" s="10"/>
      <c r="H26" s="10"/>
      <c r="I26" s="10"/>
      <c r="J26" s="14"/>
      <c r="K26" s="10"/>
      <c r="L26" s="10"/>
      <c r="M26" s="10"/>
      <c r="N26" s="10"/>
      <c r="O26" s="10"/>
      <c r="P26" s="10"/>
    </row>
    <row r="27" spans="1:16" ht="15.75" customHeight="1" x14ac:dyDescent="0.35">
      <c r="A27" s="10"/>
      <c r="B27" s="10"/>
      <c r="C27" s="11"/>
      <c r="D27" s="12">
        <v>44008</v>
      </c>
      <c r="E27" s="10" t="s">
        <v>19</v>
      </c>
      <c r="F27" s="10" t="s">
        <v>22</v>
      </c>
      <c r="G27" s="10"/>
      <c r="H27" s="10"/>
      <c r="I27" s="10"/>
      <c r="J27" s="14"/>
      <c r="K27" s="10"/>
      <c r="L27" s="10"/>
      <c r="M27" s="10"/>
      <c r="N27" s="10"/>
      <c r="O27" s="10"/>
      <c r="P27" s="10"/>
    </row>
    <row r="28" spans="1:16" ht="15.75" customHeight="1" x14ac:dyDescent="0.35">
      <c r="A28" s="10"/>
      <c r="B28" s="10"/>
      <c r="C28" s="11"/>
      <c r="D28" s="12">
        <v>44009</v>
      </c>
      <c r="E28" s="10" t="s">
        <v>19</v>
      </c>
      <c r="F28" s="10" t="s">
        <v>23</v>
      </c>
      <c r="G28" s="10"/>
      <c r="H28" s="10"/>
      <c r="I28" s="10"/>
      <c r="J28" s="14"/>
      <c r="K28" s="10"/>
      <c r="L28" s="10"/>
      <c r="M28" s="10"/>
      <c r="N28" s="10"/>
      <c r="O28" s="10"/>
      <c r="P28" s="10"/>
    </row>
    <row r="29" spans="1:16" ht="15.75" customHeight="1" x14ac:dyDescent="0.35">
      <c r="A29" s="18"/>
      <c r="B29" s="18"/>
      <c r="C29" s="19"/>
      <c r="D29" s="20">
        <v>44010</v>
      </c>
      <c r="E29" s="10" t="s">
        <v>19</v>
      </c>
      <c r="F29" s="18" t="s">
        <v>24</v>
      </c>
      <c r="G29" s="18"/>
      <c r="H29" s="18"/>
      <c r="I29" s="18"/>
      <c r="J29" s="21"/>
      <c r="K29" s="18"/>
      <c r="L29" s="18"/>
      <c r="M29" s="18"/>
      <c r="N29" s="18"/>
      <c r="O29" s="18"/>
      <c r="P29" s="18"/>
    </row>
    <row r="30" spans="1:16" ht="15.75" customHeight="1" x14ac:dyDescent="0.35">
      <c r="A30" s="18"/>
      <c r="B30" s="18"/>
      <c r="C30" s="19"/>
      <c r="D30" s="20">
        <v>44011</v>
      </c>
      <c r="E30" s="10" t="s">
        <v>19</v>
      </c>
      <c r="F30" s="18" t="s">
        <v>16</v>
      </c>
      <c r="G30" s="18"/>
      <c r="H30" s="18"/>
      <c r="I30" s="18"/>
      <c r="J30" s="21"/>
      <c r="K30" s="18"/>
      <c r="L30" s="18"/>
      <c r="M30" s="18"/>
      <c r="N30" s="18"/>
      <c r="O30" s="18">
        <v>-50</v>
      </c>
      <c r="P30" s="18"/>
    </row>
    <row r="31" spans="1:16" ht="15.75" customHeight="1" x14ac:dyDescent="0.35">
      <c r="A31" s="18"/>
      <c r="B31" s="18"/>
      <c r="C31" s="19"/>
      <c r="D31" s="20">
        <v>44012</v>
      </c>
      <c r="E31" s="10" t="s">
        <v>19</v>
      </c>
      <c r="F31" s="18" t="s">
        <v>17</v>
      </c>
      <c r="G31" s="18"/>
      <c r="H31" s="18"/>
      <c r="I31" s="18"/>
      <c r="J31" s="21"/>
      <c r="K31" s="18"/>
      <c r="L31" s="18"/>
      <c r="M31" s="18"/>
      <c r="N31" s="18"/>
      <c r="O31" s="18"/>
      <c r="P31" s="18"/>
    </row>
    <row r="32" spans="1:16" ht="15.75" customHeight="1" x14ac:dyDescent="0.35">
      <c r="A32" s="18"/>
      <c r="B32" s="22"/>
      <c r="C32" s="19"/>
      <c r="D32" s="20"/>
      <c r="E32" s="10" t="s">
        <v>19</v>
      </c>
      <c r="F32" s="18"/>
      <c r="G32" s="18"/>
      <c r="H32" s="18"/>
      <c r="I32" s="18"/>
      <c r="J32" s="21"/>
      <c r="K32" s="18"/>
      <c r="L32" s="18"/>
      <c r="M32" s="18"/>
      <c r="N32" s="18"/>
      <c r="O32" s="18"/>
      <c r="P32" s="18"/>
    </row>
    <row r="33" spans="1:16" ht="15.75" customHeight="1" x14ac:dyDescent="0.35">
      <c r="A33" s="18"/>
      <c r="B33" s="18">
        <v>496.77</v>
      </c>
      <c r="C33" s="19" t="s">
        <v>18</v>
      </c>
      <c r="D33" s="20">
        <v>44013</v>
      </c>
      <c r="E33" s="10" t="s">
        <v>19</v>
      </c>
      <c r="F33" s="18" t="s">
        <v>20</v>
      </c>
      <c r="G33" s="18"/>
      <c r="H33" s="18"/>
      <c r="I33" s="18"/>
      <c r="J33" s="21"/>
      <c r="K33" s="18"/>
      <c r="L33" s="18"/>
      <c r="M33" s="18"/>
      <c r="N33" s="18"/>
      <c r="O33" s="18">
        <v>-17</v>
      </c>
      <c r="P33" s="18"/>
    </row>
    <row r="34" spans="1:16" ht="15.75" customHeight="1" x14ac:dyDescent="0.35">
      <c r="A34" s="18"/>
      <c r="B34" s="18"/>
      <c r="C34" s="19"/>
      <c r="D34" s="20">
        <v>44014</v>
      </c>
      <c r="E34" s="10" t="s">
        <v>19</v>
      </c>
      <c r="F34" s="18" t="s">
        <v>21</v>
      </c>
      <c r="G34" s="18"/>
      <c r="H34" s="18"/>
      <c r="I34" s="18"/>
      <c r="J34" s="21"/>
      <c r="K34" s="18"/>
      <c r="L34" s="18"/>
      <c r="M34" s="18"/>
      <c r="N34" s="18"/>
      <c r="O34" s="18">
        <v>-20</v>
      </c>
      <c r="P34" s="18"/>
    </row>
    <row r="35" spans="1:16" ht="15.75" customHeight="1" x14ac:dyDescent="0.35">
      <c r="A35" s="18"/>
      <c r="B35" s="18"/>
      <c r="C35" s="19"/>
      <c r="D35" s="20">
        <v>44015</v>
      </c>
      <c r="E35" s="10" t="s">
        <v>19</v>
      </c>
      <c r="F35" s="18" t="s">
        <v>22</v>
      </c>
      <c r="G35" s="18"/>
      <c r="H35" s="18"/>
      <c r="I35" s="18"/>
      <c r="J35" s="21"/>
      <c r="K35" s="18"/>
      <c r="L35" s="18"/>
      <c r="M35" s="18"/>
      <c r="N35" s="18"/>
      <c r="O35" s="18"/>
      <c r="P35" s="18"/>
    </row>
    <row r="36" spans="1:16" ht="15.75" customHeight="1" x14ac:dyDescent="0.35">
      <c r="A36" s="18"/>
      <c r="B36" s="18"/>
      <c r="C36" s="19"/>
      <c r="D36" s="20">
        <v>44016</v>
      </c>
      <c r="E36" s="10" t="s">
        <v>19</v>
      </c>
      <c r="F36" s="18" t="s">
        <v>23</v>
      </c>
      <c r="G36" s="18"/>
      <c r="H36" s="18"/>
      <c r="I36" s="18"/>
      <c r="J36" s="21"/>
      <c r="K36" s="18"/>
      <c r="L36" s="18"/>
      <c r="M36" s="18"/>
      <c r="N36" s="18"/>
      <c r="O36" s="18">
        <f>30-50</f>
        <v>-20</v>
      </c>
      <c r="P36" s="18"/>
    </row>
    <row r="37" spans="1:16" ht="15.75" customHeight="1" x14ac:dyDescent="0.35">
      <c r="A37" s="10"/>
      <c r="B37" s="10"/>
      <c r="C37" s="11"/>
      <c r="D37" s="12">
        <v>44017</v>
      </c>
      <c r="E37" s="10" t="s">
        <v>19</v>
      </c>
      <c r="F37" s="10" t="s">
        <v>24</v>
      </c>
      <c r="G37" s="10"/>
      <c r="H37" s="10"/>
      <c r="I37" s="10"/>
      <c r="J37" s="14"/>
      <c r="K37" s="10"/>
      <c r="L37" s="10"/>
      <c r="M37" s="10"/>
      <c r="N37" s="10"/>
      <c r="O37" s="10"/>
      <c r="P37" s="10"/>
    </row>
    <row r="38" spans="1:16" ht="15.75" customHeight="1" x14ac:dyDescent="0.35">
      <c r="A38" s="10"/>
      <c r="B38" s="10"/>
      <c r="C38" s="11"/>
      <c r="D38" s="12">
        <v>44018</v>
      </c>
      <c r="E38" s="10" t="s">
        <v>19</v>
      </c>
      <c r="F38" s="10" t="s">
        <v>16</v>
      </c>
      <c r="G38" s="10"/>
      <c r="H38" s="10"/>
      <c r="I38" s="10"/>
      <c r="J38" s="14"/>
      <c r="K38" s="10"/>
      <c r="L38" s="10"/>
      <c r="M38" s="10"/>
      <c r="N38" s="10"/>
      <c r="O38" s="10">
        <v>-5</v>
      </c>
      <c r="P38" s="10"/>
    </row>
    <row r="39" spans="1:16" ht="15.75" customHeight="1" x14ac:dyDescent="0.35">
      <c r="A39" s="10"/>
      <c r="B39" s="10"/>
      <c r="C39" s="11"/>
      <c r="D39" s="12">
        <v>44019</v>
      </c>
      <c r="E39" s="10" t="s">
        <v>19</v>
      </c>
      <c r="F39" s="10" t="s">
        <v>17</v>
      </c>
      <c r="G39" s="10"/>
      <c r="H39" s="10"/>
      <c r="I39" s="10"/>
      <c r="J39" s="14"/>
      <c r="K39" s="10"/>
      <c r="L39" s="10"/>
      <c r="M39" s="10"/>
      <c r="N39" s="10"/>
      <c r="O39" s="10"/>
      <c r="P39" s="10"/>
    </row>
    <row r="40" spans="1:16" ht="15.75" customHeight="1" x14ac:dyDescent="0.35">
      <c r="A40" s="10"/>
      <c r="B40" s="10">
        <v>474.36</v>
      </c>
      <c r="C40" s="11" t="s">
        <v>18</v>
      </c>
      <c r="D40" s="12">
        <v>44020</v>
      </c>
      <c r="E40" s="10" t="s">
        <v>19</v>
      </c>
      <c r="F40" s="10" t="s">
        <v>20</v>
      </c>
      <c r="G40" s="10"/>
      <c r="H40" s="10"/>
      <c r="I40" s="10"/>
      <c r="J40" s="14"/>
      <c r="K40" s="10"/>
      <c r="L40" s="10"/>
      <c r="M40" s="10"/>
      <c r="N40" s="10"/>
      <c r="O40" s="10"/>
      <c r="P40" s="10"/>
    </row>
    <row r="41" spans="1:16" ht="15.75" customHeight="1" x14ac:dyDescent="0.35">
      <c r="A41" s="10"/>
      <c r="B41" s="10"/>
      <c r="C41" s="11"/>
      <c r="D41" s="12">
        <v>44021</v>
      </c>
      <c r="E41" s="10" t="s">
        <v>19</v>
      </c>
      <c r="F41" s="10" t="s">
        <v>21</v>
      </c>
      <c r="G41" s="10"/>
      <c r="H41" s="10"/>
      <c r="I41" s="10"/>
      <c r="J41" s="14"/>
      <c r="K41" s="10"/>
      <c r="L41" s="10"/>
      <c r="M41" s="10"/>
      <c r="N41" s="10"/>
      <c r="O41" s="10"/>
      <c r="P41" s="10"/>
    </row>
    <row r="42" spans="1:16" ht="15.75" customHeight="1" x14ac:dyDescent="0.35">
      <c r="A42" s="10"/>
      <c r="B42" s="10"/>
      <c r="C42" s="11"/>
      <c r="D42" s="12">
        <v>44022</v>
      </c>
      <c r="E42" s="10" t="s">
        <v>19</v>
      </c>
      <c r="F42" s="10" t="s">
        <v>22</v>
      </c>
      <c r="G42" s="10"/>
      <c r="H42" s="10"/>
      <c r="I42" s="10"/>
      <c r="J42" s="14"/>
      <c r="K42" s="10"/>
      <c r="L42" s="10"/>
      <c r="M42" s="10"/>
      <c r="N42" s="10"/>
      <c r="O42" s="10">
        <f>-50-12</f>
        <v>-62</v>
      </c>
      <c r="P42" s="10"/>
    </row>
    <row r="43" spans="1:16" ht="15.75" customHeight="1" x14ac:dyDescent="0.35">
      <c r="A43" s="10"/>
      <c r="B43" s="10"/>
      <c r="C43" s="11"/>
      <c r="D43" s="12">
        <v>44023</v>
      </c>
      <c r="E43" s="10" t="s">
        <v>19</v>
      </c>
      <c r="F43" s="10" t="s">
        <v>23</v>
      </c>
      <c r="G43" s="10"/>
      <c r="H43" s="10"/>
      <c r="I43" s="10"/>
      <c r="J43" s="14"/>
      <c r="K43" s="10"/>
      <c r="L43" s="10">
        <f>9049-8953.4</f>
        <v>95.600000000000364</v>
      </c>
      <c r="M43" s="10"/>
      <c r="N43" s="10"/>
      <c r="O43" s="10"/>
      <c r="P43" s="10"/>
    </row>
    <row r="44" spans="1:16" ht="15.75" customHeight="1" x14ac:dyDescent="0.35">
      <c r="A44" s="23"/>
      <c r="B44" s="23"/>
      <c r="C44" s="24"/>
      <c r="D44" s="25">
        <v>44024</v>
      </c>
      <c r="E44" s="23" t="s">
        <v>19</v>
      </c>
      <c r="F44" s="23" t="s">
        <v>24</v>
      </c>
      <c r="G44" s="23"/>
      <c r="H44" s="23"/>
      <c r="I44" s="23"/>
      <c r="J44" s="26"/>
      <c r="K44" s="23"/>
      <c r="L44" s="23">
        <f>9224.3-9101</f>
        <v>123.29999999999927</v>
      </c>
      <c r="M44" s="23"/>
      <c r="N44" s="23"/>
      <c r="O44" s="23">
        <v>-30</v>
      </c>
      <c r="P44" s="23"/>
    </row>
    <row r="45" spans="1:16" ht="15.75" customHeight="1" x14ac:dyDescent="0.35">
      <c r="A45" s="23"/>
      <c r="B45" s="23"/>
      <c r="C45" s="24"/>
      <c r="D45" s="25">
        <v>44025</v>
      </c>
      <c r="E45" s="23" t="s">
        <v>19</v>
      </c>
      <c r="F45" s="23" t="s">
        <v>16</v>
      </c>
      <c r="G45" s="23"/>
      <c r="H45" s="23"/>
      <c r="I45" s="23"/>
      <c r="J45" s="26"/>
      <c r="K45" s="23"/>
      <c r="L45" s="23"/>
      <c r="M45" s="23"/>
      <c r="N45" s="23"/>
      <c r="O45" s="23"/>
      <c r="P45" s="23"/>
    </row>
    <row r="46" spans="1:16" ht="15.75" customHeight="1" x14ac:dyDescent="0.35">
      <c r="A46" s="23"/>
      <c r="B46" s="23"/>
      <c r="C46" s="24"/>
      <c r="D46" s="25">
        <v>44026</v>
      </c>
      <c r="E46" s="23" t="s">
        <v>19</v>
      </c>
      <c r="F46" s="27" t="s">
        <v>17</v>
      </c>
      <c r="G46" s="27"/>
      <c r="H46" s="27"/>
      <c r="I46" s="27"/>
      <c r="J46" s="28"/>
      <c r="K46" s="27">
        <v>35</v>
      </c>
      <c r="L46" s="23">
        <f>8358.9-8267.5</f>
        <v>91.399999999999636</v>
      </c>
      <c r="M46" s="23"/>
      <c r="N46" s="23"/>
      <c r="O46" s="23">
        <v>-30</v>
      </c>
      <c r="P46" s="23"/>
    </row>
    <row r="47" spans="1:16" ht="15.75" customHeight="1" x14ac:dyDescent="0.35">
      <c r="A47" s="23"/>
      <c r="B47" s="23">
        <v>509.88</v>
      </c>
      <c r="C47" s="24" t="s">
        <v>18</v>
      </c>
      <c r="D47" s="25">
        <v>44027</v>
      </c>
      <c r="E47" s="23" t="s">
        <v>19</v>
      </c>
      <c r="F47" s="23" t="s">
        <v>20</v>
      </c>
      <c r="G47" s="23"/>
      <c r="H47" s="23"/>
      <c r="I47" s="23"/>
      <c r="J47" s="26"/>
      <c r="K47" s="23"/>
      <c r="L47" s="23">
        <v>95.7</v>
      </c>
      <c r="M47" s="23"/>
      <c r="N47" s="23"/>
      <c r="O47" s="23">
        <v>-21.07</v>
      </c>
      <c r="P47" s="23"/>
    </row>
    <row r="48" spans="1:16" ht="15.75" customHeight="1" x14ac:dyDescent="0.35">
      <c r="A48" s="23"/>
      <c r="B48" s="23"/>
      <c r="C48" s="24"/>
      <c r="D48" s="25">
        <v>44028</v>
      </c>
      <c r="E48" s="23" t="s">
        <v>19</v>
      </c>
      <c r="F48" s="23" t="s">
        <v>21</v>
      </c>
      <c r="G48" s="23"/>
      <c r="H48" s="23"/>
      <c r="I48" s="23"/>
      <c r="J48" s="26"/>
      <c r="K48" s="23"/>
      <c r="L48" s="23"/>
      <c r="M48" s="23"/>
      <c r="N48" s="23"/>
      <c r="O48" s="23"/>
      <c r="P48" s="23"/>
    </row>
    <row r="49" spans="1:16" ht="15.75" customHeight="1" x14ac:dyDescent="0.35">
      <c r="A49" s="23"/>
      <c r="B49" s="23"/>
      <c r="C49" s="24"/>
      <c r="D49" s="25">
        <v>44029</v>
      </c>
      <c r="E49" s="23" t="s">
        <v>19</v>
      </c>
      <c r="F49" s="23" t="s">
        <v>22</v>
      </c>
      <c r="G49" s="23"/>
      <c r="H49" s="23"/>
      <c r="I49" s="23"/>
      <c r="J49" s="26"/>
      <c r="K49" s="23"/>
      <c r="L49" s="23">
        <f>9797.8-9691.9</f>
        <v>105.89999999999964</v>
      </c>
      <c r="M49" s="23"/>
      <c r="N49" s="23"/>
      <c r="O49" s="23">
        <v>-55</v>
      </c>
      <c r="P49" s="23"/>
    </row>
    <row r="50" spans="1:16" ht="15.75" customHeight="1" x14ac:dyDescent="0.35">
      <c r="A50" s="23"/>
      <c r="B50" s="23"/>
      <c r="C50" s="24"/>
      <c r="D50" s="25">
        <v>44030</v>
      </c>
      <c r="E50" s="23" t="s">
        <v>19</v>
      </c>
      <c r="F50" s="23" t="s">
        <v>23</v>
      </c>
      <c r="G50" s="23"/>
      <c r="H50" s="23"/>
      <c r="I50" s="23"/>
      <c r="J50" s="26"/>
      <c r="K50" s="23"/>
      <c r="L50" s="23">
        <f>9647.7-9544.4</f>
        <v>103.30000000000109</v>
      </c>
      <c r="M50" s="23"/>
      <c r="N50" s="23"/>
      <c r="O50" s="23"/>
      <c r="P50" s="23"/>
    </row>
    <row r="51" spans="1:16" ht="15.75" customHeight="1" x14ac:dyDescent="0.35">
      <c r="A51" s="10"/>
      <c r="B51" s="10"/>
      <c r="C51" s="11"/>
      <c r="D51" s="12">
        <v>44031</v>
      </c>
      <c r="E51" s="10" t="s">
        <v>19</v>
      </c>
      <c r="F51" s="10" t="s">
        <v>24</v>
      </c>
      <c r="G51" s="10"/>
      <c r="H51" s="10"/>
      <c r="I51" s="10"/>
      <c r="J51" s="14"/>
      <c r="K51" s="10"/>
      <c r="L51" s="10">
        <f>9963.8-9844.3</f>
        <v>119.5</v>
      </c>
      <c r="M51" s="10"/>
      <c r="N51" s="10"/>
      <c r="O51" s="10"/>
      <c r="P51" s="10"/>
    </row>
    <row r="52" spans="1:16" ht="15.75" customHeight="1" x14ac:dyDescent="0.35">
      <c r="A52" s="10"/>
      <c r="B52" s="10"/>
      <c r="C52" s="11"/>
      <c r="D52" s="12">
        <v>44032</v>
      </c>
      <c r="E52" s="10" t="s">
        <v>19</v>
      </c>
      <c r="F52" s="10" t="s">
        <v>16</v>
      </c>
      <c r="G52" s="10"/>
      <c r="H52" s="10"/>
      <c r="I52" s="10"/>
      <c r="J52" s="14"/>
      <c r="K52" s="10"/>
      <c r="L52" s="10"/>
      <c r="M52" s="10"/>
      <c r="N52" s="10"/>
      <c r="O52" s="10">
        <v>-50</v>
      </c>
      <c r="P52" s="10"/>
    </row>
    <row r="53" spans="1:16" ht="15.75" customHeight="1" x14ac:dyDescent="0.35">
      <c r="A53" s="10"/>
      <c r="B53" s="10"/>
      <c r="C53" s="11"/>
      <c r="D53" s="12">
        <v>44033</v>
      </c>
      <c r="E53" s="10" t="s">
        <v>19</v>
      </c>
      <c r="F53" s="10" t="s">
        <v>17</v>
      </c>
      <c r="G53" s="10"/>
      <c r="H53" s="10"/>
      <c r="I53" s="10"/>
      <c r="J53" s="14"/>
      <c r="K53" s="10"/>
      <c r="L53" s="10"/>
      <c r="M53" s="10"/>
      <c r="N53" s="10"/>
      <c r="O53" s="10"/>
      <c r="P53" s="10"/>
    </row>
    <row r="54" spans="1:16" ht="15.75" customHeight="1" x14ac:dyDescent="0.35">
      <c r="A54" s="10"/>
      <c r="B54" s="10">
        <v>509.64</v>
      </c>
      <c r="C54" s="11" t="s">
        <v>18</v>
      </c>
      <c r="D54" s="12">
        <v>44034</v>
      </c>
      <c r="E54" s="10" t="s">
        <v>19</v>
      </c>
      <c r="F54" s="10" t="s">
        <v>20</v>
      </c>
      <c r="G54" s="10"/>
      <c r="H54" s="10"/>
      <c r="I54" s="10"/>
      <c r="J54" s="14"/>
      <c r="K54" s="10"/>
      <c r="L54" s="10"/>
      <c r="M54" s="10"/>
      <c r="N54" s="10"/>
      <c r="O54" s="10">
        <v>-20</v>
      </c>
      <c r="P54" s="10"/>
    </row>
    <row r="55" spans="1:16" ht="15.75" customHeight="1" x14ac:dyDescent="0.35">
      <c r="A55" s="10"/>
      <c r="B55" s="10"/>
      <c r="C55" s="11"/>
      <c r="D55" s="12">
        <v>44035</v>
      </c>
      <c r="E55" s="10" t="s">
        <v>19</v>
      </c>
      <c r="F55" s="10" t="s">
        <v>21</v>
      </c>
      <c r="G55" s="10"/>
      <c r="H55" s="10"/>
      <c r="I55" s="10"/>
      <c r="J55" s="14"/>
      <c r="K55" s="10"/>
      <c r="L55" s="10"/>
      <c r="M55" s="10"/>
      <c r="N55" s="10"/>
      <c r="O55" s="10"/>
      <c r="P55" s="10"/>
    </row>
    <row r="56" spans="1:16" ht="15.75" customHeight="1" x14ac:dyDescent="0.35">
      <c r="A56" s="10"/>
      <c r="B56" s="10"/>
      <c r="C56" s="11"/>
      <c r="D56" s="12">
        <v>44036</v>
      </c>
      <c r="E56" s="10" t="s">
        <v>26</v>
      </c>
      <c r="F56" s="10" t="s">
        <v>22</v>
      </c>
      <c r="G56" s="10"/>
      <c r="H56" s="10"/>
      <c r="I56" s="10"/>
      <c r="J56" s="14"/>
      <c r="K56" s="10"/>
      <c r="L56" s="10">
        <f>10305-10210.6</f>
        <v>94.399999999999636</v>
      </c>
      <c r="M56" s="10"/>
      <c r="N56" s="10"/>
      <c r="O56" s="10"/>
      <c r="P56" s="10"/>
    </row>
    <row r="57" spans="1:16" ht="15.75" customHeight="1" x14ac:dyDescent="0.35">
      <c r="A57" s="10"/>
      <c r="B57" s="10"/>
      <c r="C57" s="11"/>
      <c r="D57" s="12">
        <v>44037</v>
      </c>
      <c r="E57" s="13" t="s">
        <v>27</v>
      </c>
      <c r="F57" s="10" t="s">
        <v>23</v>
      </c>
      <c r="G57" s="10"/>
      <c r="H57" s="10"/>
      <c r="I57" s="10"/>
      <c r="J57" s="14"/>
      <c r="K57" s="10"/>
      <c r="L57" s="10"/>
      <c r="M57" s="10"/>
      <c r="N57" s="10"/>
      <c r="O57" s="10">
        <v>-51.03</v>
      </c>
      <c r="P57" s="10"/>
    </row>
    <row r="58" spans="1:16" ht="15.75" customHeight="1" x14ac:dyDescent="0.35">
      <c r="A58" s="29"/>
      <c r="B58" s="29"/>
      <c r="C58" s="30"/>
      <c r="D58" s="31">
        <v>44038</v>
      </c>
      <c r="E58" s="32" t="s">
        <v>27</v>
      </c>
      <c r="F58" s="29" t="s">
        <v>24</v>
      </c>
      <c r="G58" s="29"/>
      <c r="H58" s="29"/>
      <c r="I58" s="29"/>
      <c r="J58" s="33"/>
      <c r="K58" s="29"/>
      <c r="L58" s="29"/>
      <c r="M58" s="29"/>
      <c r="N58" s="29"/>
      <c r="O58" s="29"/>
      <c r="P58" s="29"/>
    </row>
    <row r="59" spans="1:16" ht="15.75" customHeight="1" x14ac:dyDescent="0.35">
      <c r="A59" s="29"/>
      <c r="B59" s="29"/>
      <c r="C59" s="30"/>
      <c r="D59" s="31">
        <v>44039</v>
      </c>
      <c r="E59" s="32" t="s">
        <v>27</v>
      </c>
      <c r="F59" s="29" t="s">
        <v>16</v>
      </c>
      <c r="G59" s="29"/>
      <c r="H59" s="29"/>
      <c r="I59" s="29"/>
      <c r="J59" s="33"/>
      <c r="K59" s="29"/>
      <c r="L59" s="29"/>
      <c r="M59" s="29"/>
      <c r="N59" s="29"/>
      <c r="O59" s="29"/>
      <c r="P59" s="29"/>
    </row>
    <row r="60" spans="1:16" ht="15.75" customHeight="1" x14ac:dyDescent="0.35">
      <c r="A60" s="29"/>
      <c r="B60" s="29"/>
      <c r="C60" s="30"/>
      <c r="D60" s="31">
        <v>44040</v>
      </c>
      <c r="E60" s="32" t="s">
        <v>27</v>
      </c>
      <c r="F60" s="29" t="s">
        <v>17</v>
      </c>
      <c r="G60" s="29"/>
      <c r="H60" s="29"/>
      <c r="I60" s="29"/>
      <c r="J60" s="33"/>
      <c r="K60" s="29"/>
      <c r="L60" s="29"/>
      <c r="M60" s="29"/>
      <c r="N60" s="29"/>
      <c r="O60" s="29"/>
      <c r="P60" s="29"/>
    </row>
    <row r="61" spans="1:16" ht="15.75" customHeight="1" x14ac:dyDescent="0.35">
      <c r="A61" s="29"/>
      <c r="B61" s="29">
        <v>517.42999999999995</v>
      </c>
      <c r="C61" s="30" t="s">
        <v>18</v>
      </c>
      <c r="D61" s="31">
        <v>44041</v>
      </c>
      <c r="E61" s="32" t="s">
        <v>27</v>
      </c>
      <c r="F61" s="27" t="s">
        <v>20</v>
      </c>
      <c r="G61" s="27"/>
      <c r="H61" s="27"/>
      <c r="I61" s="27"/>
      <c r="J61" s="28"/>
      <c r="K61" s="27">
        <v>6</v>
      </c>
      <c r="L61" s="29">
        <f>10791-10678.1</f>
        <v>112.89999999999964</v>
      </c>
      <c r="M61" s="29"/>
      <c r="N61" s="29"/>
      <c r="O61" s="29">
        <v>-35.270000000000003</v>
      </c>
      <c r="P61" s="29"/>
    </row>
    <row r="62" spans="1:16" ht="15.75" customHeight="1" x14ac:dyDescent="0.35">
      <c r="A62" s="29"/>
      <c r="B62" s="29"/>
      <c r="C62" s="30"/>
      <c r="D62" s="31">
        <v>44042</v>
      </c>
      <c r="E62" s="32" t="s">
        <v>27</v>
      </c>
      <c r="F62" s="34" t="s">
        <v>21</v>
      </c>
      <c r="G62" s="34"/>
      <c r="H62" s="34"/>
      <c r="I62" s="34"/>
      <c r="J62" s="35"/>
      <c r="K62" s="29"/>
      <c r="L62" s="29">
        <f>10938.1-10845.1</f>
        <v>93</v>
      </c>
      <c r="M62" s="29"/>
      <c r="N62" s="29"/>
      <c r="O62" s="29">
        <v>-25.06</v>
      </c>
      <c r="P62" s="29"/>
    </row>
    <row r="63" spans="1:16" ht="15.75" customHeight="1" x14ac:dyDescent="0.35">
      <c r="A63" s="29"/>
      <c r="B63" s="29"/>
      <c r="C63" s="30"/>
      <c r="D63" s="31">
        <v>44043</v>
      </c>
      <c r="E63" s="32" t="s">
        <v>27</v>
      </c>
      <c r="F63" s="27" t="s">
        <v>22</v>
      </c>
      <c r="G63" s="27"/>
      <c r="H63" s="27"/>
      <c r="I63" s="27"/>
      <c r="J63" s="28"/>
      <c r="K63" s="27">
        <v>59</v>
      </c>
      <c r="L63" s="29">
        <f>11114.4-11000.9</f>
        <v>113.5</v>
      </c>
      <c r="M63" s="29"/>
      <c r="N63" s="29"/>
      <c r="O63" s="29"/>
      <c r="P63" s="29"/>
    </row>
    <row r="64" spans="1:16" ht="15.75" customHeight="1" x14ac:dyDescent="0.35">
      <c r="A64" s="29"/>
      <c r="B64" s="29"/>
      <c r="C64" s="30"/>
      <c r="D64" s="31">
        <v>44044</v>
      </c>
      <c r="E64" s="32" t="s">
        <v>27</v>
      </c>
      <c r="F64" s="29" t="s">
        <v>23</v>
      </c>
      <c r="G64" s="29"/>
      <c r="H64" s="29"/>
      <c r="I64" s="29"/>
      <c r="J64" s="33"/>
      <c r="K64" s="29"/>
      <c r="L64" s="29"/>
      <c r="M64" s="29"/>
      <c r="N64" s="29"/>
      <c r="O64" s="29">
        <v>-50</v>
      </c>
      <c r="P64" s="29"/>
    </row>
    <row r="65" spans="1:16" ht="15.75" customHeight="1" x14ac:dyDescent="0.35">
      <c r="A65" s="36"/>
      <c r="B65" s="36"/>
      <c r="C65" s="37"/>
      <c r="D65" s="38">
        <v>44045</v>
      </c>
      <c r="E65" s="13" t="s">
        <v>27</v>
      </c>
      <c r="F65" s="27" t="s">
        <v>24</v>
      </c>
      <c r="G65" s="27"/>
      <c r="H65" s="27"/>
      <c r="I65" s="27"/>
      <c r="J65" s="28">
        <v>130</v>
      </c>
      <c r="K65" s="27">
        <v>34</v>
      </c>
      <c r="L65" s="36">
        <f>11413.3-11315.5</f>
        <v>97.799999999999272</v>
      </c>
      <c r="M65" s="36"/>
      <c r="N65" s="36"/>
      <c r="O65" s="36">
        <v>-25</v>
      </c>
      <c r="P65" s="36"/>
    </row>
    <row r="66" spans="1:16" ht="15.75" customHeight="1" x14ac:dyDescent="0.35">
      <c r="A66" s="36"/>
      <c r="B66" s="36"/>
      <c r="C66" s="37"/>
      <c r="D66" s="38">
        <v>44046</v>
      </c>
      <c r="E66" s="13" t="s">
        <v>27</v>
      </c>
      <c r="F66" s="36" t="s">
        <v>16</v>
      </c>
      <c r="G66" s="36"/>
      <c r="H66" s="36"/>
      <c r="I66" s="36"/>
      <c r="J66" s="39"/>
      <c r="K66" s="36"/>
      <c r="L66" s="36"/>
      <c r="M66" s="36"/>
      <c r="N66" s="36"/>
      <c r="O66" s="36">
        <v>-12.5</v>
      </c>
      <c r="P66" s="36"/>
    </row>
    <row r="67" spans="1:16" ht="15.75" customHeight="1" x14ac:dyDescent="0.35">
      <c r="A67" s="36"/>
      <c r="B67" s="36"/>
      <c r="C67" s="37"/>
      <c r="D67" s="38">
        <v>44047</v>
      </c>
      <c r="E67" s="13" t="s">
        <v>27</v>
      </c>
      <c r="F67" s="36" t="s">
        <v>17</v>
      </c>
      <c r="G67" s="36"/>
      <c r="H67" s="36"/>
      <c r="I67" s="36"/>
      <c r="J67" s="39">
        <v>130</v>
      </c>
      <c r="K67" s="36"/>
      <c r="L67" s="36">
        <f>11580.7-11473.7</f>
        <v>107</v>
      </c>
      <c r="M67" s="36"/>
      <c r="N67" s="36"/>
      <c r="O67" s="36">
        <v>-25.03</v>
      </c>
      <c r="P67" s="36"/>
    </row>
    <row r="68" spans="1:16" ht="15.75" customHeight="1" x14ac:dyDescent="0.35">
      <c r="A68" s="36"/>
      <c r="B68" s="36">
        <v>601.19000000000005</v>
      </c>
      <c r="C68" s="37" t="s">
        <v>18</v>
      </c>
      <c r="D68" s="38">
        <v>44048</v>
      </c>
      <c r="E68" s="13" t="s">
        <v>27</v>
      </c>
      <c r="F68" s="27" t="s">
        <v>20</v>
      </c>
      <c r="G68" s="27"/>
      <c r="H68" s="27"/>
      <c r="I68" s="27"/>
      <c r="J68" s="28">
        <v>130</v>
      </c>
      <c r="K68" s="27">
        <v>32</v>
      </c>
      <c r="L68" s="36">
        <f>11731.8-11641.6</f>
        <v>90.199999999998909</v>
      </c>
      <c r="M68" s="36"/>
      <c r="N68" s="36"/>
      <c r="O68" s="36">
        <v>-19.03</v>
      </c>
      <c r="P68" s="36"/>
    </row>
    <row r="69" spans="1:16" ht="15.75" customHeight="1" x14ac:dyDescent="0.35">
      <c r="A69" s="36"/>
      <c r="B69" s="36"/>
      <c r="C69" s="37"/>
      <c r="D69" s="38">
        <v>44049</v>
      </c>
      <c r="E69" s="13" t="s">
        <v>27</v>
      </c>
      <c r="F69" s="27" t="s">
        <v>21</v>
      </c>
      <c r="G69" s="27"/>
      <c r="H69" s="27"/>
      <c r="I69" s="27"/>
      <c r="J69" s="28">
        <v>130</v>
      </c>
      <c r="K69" s="27">
        <v>26</v>
      </c>
      <c r="L69" s="36"/>
      <c r="M69" s="36"/>
      <c r="N69" s="36"/>
      <c r="O69" s="36">
        <v>-30</v>
      </c>
      <c r="P69" s="36"/>
    </row>
    <row r="70" spans="1:16" ht="15.75" customHeight="1" x14ac:dyDescent="0.35">
      <c r="A70" s="36"/>
      <c r="B70" s="36"/>
      <c r="C70" s="37"/>
      <c r="D70" s="38">
        <v>44050</v>
      </c>
      <c r="E70" s="13" t="s">
        <v>27</v>
      </c>
      <c r="F70" s="36" t="s">
        <v>22</v>
      </c>
      <c r="G70" s="36"/>
      <c r="H70" s="36"/>
      <c r="I70" s="36"/>
      <c r="J70" s="39"/>
      <c r="K70" s="36"/>
      <c r="L70" s="36"/>
      <c r="M70" s="36"/>
      <c r="N70" s="36"/>
      <c r="O70" s="36"/>
      <c r="P70" s="36"/>
    </row>
    <row r="71" spans="1:16" ht="15.75" customHeight="1" x14ac:dyDescent="0.35">
      <c r="A71" s="36"/>
      <c r="B71" s="36"/>
      <c r="C71" s="37"/>
      <c r="D71" s="38">
        <v>44051</v>
      </c>
      <c r="E71" s="13" t="s">
        <v>27</v>
      </c>
      <c r="F71" s="27" t="s">
        <v>23</v>
      </c>
      <c r="G71" s="27"/>
      <c r="H71" s="27"/>
      <c r="I71" s="27"/>
      <c r="J71" s="28">
        <v>130</v>
      </c>
      <c r="K71" s="27">
        <f>39+14</f>
        <v>53</v>
      </c>
      <c r="L71" s="36"/>
      <c r="M71" s="36"/>
      <c r="N71" s="36"/>
      <c r="O71" s="36"/>
      <c r="P71" s="36"/>
    </row>
    <row r="72" spans="1:16" ht="15.75" customHeight="1" x14ac:dyDescent="0.45">
      <c r="A72" s="36"/>
      <c r="B72" s="36"/>
      <c r="C72" s="37"/>
      <c r="D72" s="38"/>
      <c r="E72" s="13"/>
      <c r="F72" s="40" t="s">
        <v>28</v>
      </c>
      <c r="G72" s="40"/>
      <c r="H72" s="40"/>
      <c r="I72" s="40"/>
      <c r="J72" s="41">
        <f t="shared" ref="J72:N72" si="0">SUM(J65:J71)</f>
        <v>650</v>
      </c>
      <c r="K72" s="42">
        <f t="shared" si="0"/>
        <v>145</v>
      </c>
      <c r="L72" s="42">
        <f t="shared" si="0"/>
        <v>294.99999999999818</v>
      </c>
      <c r="M72" s="42">
        <f t="shared" si="0"/>
        <v>0</v>
      </c>
      <c r="N72" s="42">
        <f t="shared" si="0"/>
        <v>0</v>
      </c>
      <c r="O72" s="36"/>
      <c r="P72" s="36"/>
    </row>
    <row r="73" spans="1:16" ht="15.75" customHeight="1" x14ac:dyDescent="0.35">
      <c r="A73" s="29"/>
      <c r="B73" s="29"/>
      <c r="C73" s="30"/>
      <c r="D73" s="31">
        <v>44052</v>
      </c>
      <c r="E73" s="32" t="s">
        <v>27</v>
      </c>
      <c r="F73" s="29" t="s">
        <v>24</v>
      </c>
      <c r="G73" s="29"/>
      <c r="H73" s="29"/>
      <c r="I73" s="29"/>
      <c r="J73" s="33">
        <v>130</v>
      </c>
      <c r="K73" s="29"/>
      <c r="L73" s="29">
        <f>12203.9-12094.3</f>
        <v>109.60000000000036</v>
      </c>
      <c r="M73" s="29"/>
      <c r="N73" s="29"/>
      <c r="O73" s="29">
        <v>-50.02</v>
      </c>
      <c r="P73" s="29"/>
    </row>
    <row r="74" spans="1:16" ht="15.75" customHeight="1" x14ac:dyDescent="0.35">
      <c r="A74" s="29"/>
      <c r="B74" s="29"/>
      <c r="C74" s="30"/>
      <c r="D74" s="31">
        <v>44053</v>
      </c>
      <c r="E74" s="32" t="s">
        <v>27</v>
      </c>
      <c r="F74" s="29" t="s">
        <v>16</v>
      </c>
      <c r="G74" s="29"/>
      <c r="H74" s="29"/>
      <c r="I74" s="29"/>
      <c r="J74" s="33">
        <v>130</v>
      </c>
      <c r="K74" s="29"/>
      <c r="L74" s="29">
        <f>12342.5-12264.9</f>
        <v>77.600000000000364</v>
      </c>
      <c r="M74" s="29"/>
      <c r="N74" s="29"/>
      <c r="O74" s="29"/>
      <c r="P74" s="29"/>
    </row>
    <row r="75" spans="1:16" ht="15.75" customHeight="1" x14ac:dyDescent="0.35">
      <c r="A75" s="29"/>
      <c r="B75" s="29"/>
      <c r="C75" s="30"/>
      <c r="D75" s="31">
        <v>44054</v>
      </c>
      <c r="E75" s="32" t="s">
        <v>29</v>
      </c>
      <c r="F75" s="27" t="s">
        <v>17</v>
      </c>
      <c r="G75" s="27"/>
      <c r="H75" s="27"/>
      <c r="I75" s="27"/>
      <c r="J75" s="28">
        <v>130</v>
      </c>
      <c r="K75" s="27">
        <v>57</v>
      </c>
      <c r="L75" s="29"/>
      <c r="M75" s="29"/>
      <c r="N75" s="29"/>
      <c r="O75" s="29">
        <v>-50.1</v>
      </c>
      <c r="P75" s="29"/>
    </row>
    <row r="76" spans="1:16" ht="15.75" customHeight="1" x14ac:dyDescent="0.35">
      <c r="A76" s="29"/>
      <c r="B76" s="29">
        <v>656.19</v>
      </c>
      <c r="C76" s="30" t="s">
        <v>18</v>
      </c>
      <c r="D76" s="31">
        <v>44055</v>
      </c>
      <c r="E76" s="32" t="s">
        <v>27</v>
      </c>
      <c r="F76" s="29" t="s">
        <v>20</v>
      </c>
      <c r="G76" s="29"/>
      <c r="H76" s="29"/>
      <c r="I76" s="29"/>
      <c r="J76" s="33">
        <v>130</v>
      </c>
      <c r="K76" s="29"/>
      <c r="L76" s="29">
        <f>12619-12557.8</f>
        <v>61.200000000000728</v>
      </c>
      <c r="M76" s="29"/>
      <c r="N76" s="29"/>
      <c r="O76" s="29"/>
      <c r="P76" s="29"/>
    </row>
    <row r="77" spans="1:16" ht="15.75" customHeight="1" x14ac:dyDescent="0.35">
      <c r="A77" s="29"/>
      <c r="B77" s="29"/>
      <c r="C77" s="30"/>
      <c r="D77" s="31">
        <v>44056</v>
      </c>
      <c r="E77" s="32" t="s">
        <v>27</v>
      </c>
      <c r="F77" s="29" t="s">
        <v>21</v>
      </c>
      <c r="G77" s="29"/>
      <c r="H77" s="29"/>
      <c r="I77" s="29"/>
      <c r="J77" s="33"/>
      <c r="K77" s="29"/>
      <c r="L77" s="29"/>
      <c r="M77" s="29"/>
      <c r="N77" s="29"/>
      <c r="O77" s="29"/>
      <c r="P77" s="29"/>
    </row>
    <row r="78" spans="1:16" ht="15.75" customHeight="1" x14ac:dyDescent="0.35">
      <c r="A78" s="29"/>
      <c r="B78" s="29"/>
      <c r="C78" s="30"/>
      <c r="D78" s="31">
        <v>44057</v>
      </c>
      <c r="E78" s="32" t="s">
        <v>27</v>
      </c>
      <c r="F78" s="29" t="s">
        <v>22</v>
      </c>
      <c r="G78" s="29"/>
      <c r="H78" s="29"/>
      <c r="I78" s="29"/>
      <c r="J78" s="33">
        <v>130</v>
      </c>
      <c r="K78" s="29"/>
      <c r="L78" s="29">
        <f>12747.1-12686.1</f>
        <v>61</v>
      </c>
      <c r="M78" s="29"/>
      <c r="N78" s="29"/>
      <c r="O78" s="29">
        <v>-46.01</v>
      </c>
      <c r="P78" s="29"/>
    </row>
    <row r="79" spans="1:16" ht="15.75" customHeight="1" x14ac:dyDescent="0.35">
      <c r="A79" s="29"/>
      <c r="B79" s="29"/>
      <c r="C79" s="30"/>
      <c r="D79" s="31">
        <v>44058</v>
      </c>
      <c r="E79" s="32" t="s">
        <v>27</v>
      </c>
      <c r="F79" s="29" t="s">
        <v>23</v>
      </c>
      <c r="G79" s="29"/>
      <c r="H79" s="29"/>
      <c r="I79" s="29"/>
      <c r="J79" s="33">
        <v>130</v>
      </c>
      <c r="K79" s="29"/>
      <c r="L79" s="29">
        <f>12880.1-12815.7</f>
        <v>64.399999999999636</v>
      </c>
      <c r="M79" s="29"/>
      <c r="N79" s="29"/>
      <c r="O79" s="29"/>
      <c r="P79" s="29"/>
    </row>
    <row r="80" spans="1:16" ht="15.75" customHeight="1" x14ac:dyDescent="0.45">
      <c r="A80" s="29"/>
      <c r="B80" s="29"/>
      <c r="C80" s="30"/>
      <c r="D80" s="31"/>
      <c r="E80" s="32"/>
      <c r="F80" s="40" t="s">
        <v>28</v>
      </c>
      <c r="G80" s="40"/>
      <c r="H80" s="40"/>
      <c r="I80" s="40"/>
      <c r="J80" s="41">
        <f t="shared" ref="J80:N80" si="1">SUM(J73:J79)</f>
        <v>780</v>
      </c>
      <c r="K80" s="42">
        <f t="shared" si="1"/>
        <v>57</v>
      </c>
      <c r="L80" s="42">
        <f t="shared" si="1"/>
        <v>373.80000000000109</v>
      </c>
      <c r="M80" s="42">
        <f t="shared" si="1"/>
        <v>0</v>
      </c>
      <c r="N80" s="42">
        <f t="shared" si="1"/>
        <v>0</v>
      </c>
      <c r="O80" s="29"/>
      <c r="P80" s="29"/>
    </row>
    <row r="81" spans="1:16" ht="15.75" customHeight="1" x14ac:dyDescent="0.35">
      <c r="A81" s="36"/>
      <c r="B81" s="36"/>
      <c r="C81" s="37"/>
      <c r="D81" s="38">
        <v>44059</v>
      </c>
      <c r="E81" s="43" t="s">
        <v>27</v>
      </c>
      <c r="F81" s="27" t="s">
        <v>24</v>
      </c>
      <c r="G81" s="27"/>
      <c r="H81" s="27"/>
      <c r="I81" s="27"/>
      <c r="J81" s="28">
        <v>130</v>
      </c>
      <c r="K81" s="27">
        <v>45</v>
      </c>
      <c r="L81" s="36">
        <f>12999-12929.7</f>
        <v>69.299999999999272</v>
      </c>
      <c r="M81" s="36"/>
      <c r="N81" s="36"/>
      <c r="O81" s="36">
        <v>-30.24</v>
      </c>
      <c r="P81" s="36"/>
    </row>
    <row r="82" spans="1:16" ht="15.75" customHeight="1" x14ac:dyDescent="0.35">
      <c r="A82" s="36"/>
      <c r="B82" s="36"/>
      <c r="C82" s="37"/>
      <c r="D82" s="38">
        <v>44060</v>
      </c>
      <c r="E82" s="43" t="s">
        <v>30</v>
      </c>
      <c r="F82" s="36" t="s">
        <v>16</v>
      </c>
      <c r="G82" s="36"/>
      <c r="H82" s="36"/>
      <c r="I82" s="36"/>
      <c r="J82" s="39">
        <v>150</v>
      </c>
      <c r="K82" s="36"/>
      <c r="L82" s="36">
        <f>13128.3-13053.1</f>
        <v>75.199999999998909</v>
      </c>
      <c r="M82" s="36"/>
      <c r="N82" s="36"/>
      <c r="O82" s="36"/>
      <c r="P82" s="36"/>
    </row>
    <row r="83" spans="1:16" ht="15.75" customHeight="1" x14ac:dyDescent="0.35">
      <c r="A83" s="36"/>
      <c r="B83" s="36"/>
      <c r="C83" s="37"/>
      <c r="D83" s="38">
        <v>44061</v>
      </c>
      <c r="E83" s="43" t="s">
        <v>27</v>
      </c>
      <c r="F83" s="36" t="s">
        <v>17</v>
      </c>
      <c r="G83" s="36"/>
      <c r="H83" s="36"/>
      <c r="I83" s="36"/>
      <c r="J83" s="39"/>
      <c r="K83" s="36"/>
      <c r="L83" s="36"/>
      <c r="M83" s="36"/>
      <c r="N83" s="36"/>
      <c r="O83" s="36"/>
      <c r="P83" s="36"/>
    </row>
    <row r="84" spans="1:16" ht="15.75" customHeight="1" x14ac:dyDescent="0.35">
      <c r="A84" s="36"/>
      <c r="B84" s="36">
        <v>547.75</v>
      </c>
      <c r="C84" s="37" t="s">
        <v>18</v>
      </c>
      <c r="D84" s="38">
        <v>44062</v>
      </c>
      <c r="E84" s="43" t="s">
        <v>27</v>
      </c>
      <c r="F84" s="36" t="s">
        <v>20</v>
      </c>
      <c r="G84" s="36"/>
      <c r="H84" s="36"/>
      <c r="I84" s="36"/>
      <c r="J84" s="39">
        <v>130</v>
      </c>
      <c r="K84" s="36"/>
      <c r="L84" s="36">
        <f>13268.7-13199.9</f>
        <v>68.800000000001091</v>
      </c>
      <c r="M84" s="36"/>
      <c r="N84" s="36"/>
      <c r="O84" s="36">
        <v>-50.02</v>
      </c>
      <c r="P84" s="36"/>
    </row>
    <row r="85" spans="1:16" ht="15.75" customHeight="1" x14ac:dyDescent="0.35">
      <c r="A85" s="36"/>
      <c r="B85" s="36"/>
      <c r="C85" s="37"/>
      <c r="D85" s="38">
        <v>44063</v>
      </c>
      <c r="E85" s="43" t="s">
        <v>27</v>
      </c>
      <c r="F85" s="36" t="s">
        <v>21</v>
      </c>
      <c r="G85" s="36"/>
      <c r="H85" s="36"/>
      <c r="I85" s="36"/>
      <c r="J85" s="39">
        <v>150</v>
      </c>
      <c r="K85" s="36"/>
      <c r="L85" s="36">
        <f>13385.1-13320.9</f>
        <v>64.200000000000728</v>
      </c>
      <c r="M85" s="44">
        <v>181</v>
      </c>
      <c r="N85" s="44">
        <v>257</v>
      </c>
      <c r="O85" s="36"/>
      <c r="P85" s="36"/>
    </row>
    <row r="86" spans="1:16" ht="15.75" customHeight="1" x14ac:dyDescent="0.35">
      <c r="A86" s="36"/>
      <c r="B86" s="36"/>
      <c r="C86" s="37"/>
      <c r="D86" s="38">
        <v>44064</v>
      </c>
      <c r="E86" s="43" t="s">
        <v>27</v>
      </c>
      <c r="F86" s="36" t="s">
        <v>22</v>
      </c>
      <c r="G86" s="36"/>
      <c r="H86" s="36"/>
      <c r="I86" s="36"/>
      <c r="J86" s="39"/>
      <c r="K86" s="36"/>
      <c r="L86" s="36"/>
      <c r="M86" s="36"/>
      <c r="N86" s="36"/>
      <c r="O86" s="36"/>
      <c r="P86" s="36"/>
    </row>
    <row r="87" spans="1:16" ht="15.75" customHeight="1" x14ac:dyDescent="0.35">
      <c r="A87" s="36"/>
      <c r="B87" s="36"/>
      <c r="C87" s="37"/>
      <c r="D87" s="38">
        <v>44065</v>
      </c>
      <c r="E87" s="43" t="s">
        <v>27</v>
      </c>
      <c r="F87" s="36" t="s">
        <v>23</v>
      </c>
      <c r="G87" s="36"/>
      <c r="H87" s="36"/>
      <c r="I87" s="36"/>
      <c r="J87" s="39">
        <v>130</v>
      </c>
      <c r="K87" s="36"/>
      <c r="L87" s="36">
        <f>13524.5-13445.2</f>
        <v>79.299999999999272</v>
      </c>
      <c r="M87" s="36"/>
      <c r="N87" s="44">
        <v>141</v>
      </c>
      <c r="O87" s="44">
        <v>-190</v>
      </c>
      <c r="P87" s="36"/>
    </row>
    <row r="88" spans="1:16" ht="15.75" customHeight="1" x14ac:dyDescent="0.45">
      <c r="A88" s="36"/>
      <c r="B88" s="36"/>
      <c r="C88" s="37"/>
      <c r="D88" s="38"/>
      <c r="E88" s="43"/>
      <c r="F88" s="40" t="s">
        <v>28</v>
      </c>
      <c r="G88" s="40"/>
      <c r="H88" s="40"/>
      <c r="I88" s="40"/>
      <c r="J88" s="41">
        <f t="shared" ref="J88:N88" si="2">SUM(J81:J87)</f>
        <v>690</v>
      </c>
      <c r="K88" s="42">
        <f t="shared" si="2"/>
        <v>45</v>
      </c>
      <c r="L88" s="42">
        <f t="shared" si="2"/>
        <v>356.79999999999927</v>
      </c>
      <c r="M88" s="42">
        <f t="shared" si="2"/>
        <v>181</v>
      </c>
      <c r="N88" s="42">
        <f t="shared" si="2"/>
        <v>398</v>
      </c>
      <c r="O88" s="29"/>
      <c r="P88" s="36"/>
    </row>
    <row r="89" spans="1:16" ht="18" customHeight="1" x14ac:dyDescent="0.35">
      <c r="A89" s="23"/>
      <c r="B89" s="23"/>
      <c r="C89" s="24"/>
      <c r="D89" s="25">
        <v>44066</v>
      </c>
      <c r="E89" s="13" t="s">
        <v>27</v>
      </c>
      <c r="F89" s="45" t="s">
        <v>24</v>
      </c>
      <c r="G89" s="45"/>
      <c r="H89" s="45"/>
      <c r="I89" s="45"/>
      <c r="J89" s="46">
        <v>130</v>
      </c>
      <c r="K89" s="45">
        <v>23</v>
      </c>
      <c r="L89" s="23">
        <v>70</v>
      </c>
      <c r="M89" s="47">
        <v>140</v>
      </c>
      <c r="N89" s="47">
        <v>193</v>
      </c>
      <c r="O89" s="23"/>
      <c r="P89" s="23"/>
    </row>
    <row r="90" spans="1:16" ht="15.75" customHeight="1" x14ac:dyDescent="0.35">
      <c r="A90" s="23"/>
      <c r="B90" s="23"/>
      <c r="C90" s="24"/>
      <c r="D90" s="25">
        <v>44067</v>
      </c>
      <c r="E90" s="13" t="s">
        <v>27</v>
      </c>
      <c r="F90" s="45" t="s">
        <v>16</v>
      </c>
      <c r="G90" s="45"/>
      <c r="H90" s="45"/>
      <c r="I90" s="45"/>
      <c r="J90" s="46"/>
      <c r="K90" s="45">
        <f>95+29</f>
        <v>124</v>
      </c>
      <c r="L90" s="23">
        <v>70</v>
      </c>
      <c r="M90" s="23"/>
      <c r="N90" s="23"/>
      <c r="O90" s="23">
        <v>-30</v>
      </c>
      <c r="P90" s="23"/>
    </row>
    <row r="91" spans="1:16" ht="15.75" customHeight="1" x14ac:dyDescent="0.35">
      <c r="A91" s="23"/>
      <c r="B91" s="23"/>
      <c r="C91" s="24"/>
      <c r="D91" s="25">
        <v>44068</v>
      </c>
      <c r="E91" s="13" t="s">
        <v>27</v>
      </c>
      <c r="F91" s="23" t="s">
        <v>17</v>
      </c>
      <c r="G91" s="23"/>
      <c r="H91" s="23"/>
      <c r="I91" s="23"/>
      <c r="J91" s="26">
        <v>150</v>
      </c>
      <c r="K91" s="23"/>
      <c r="L91" s="23"/>
      <c r="M91" s="23"/>
      <c r="N91" s="23"/>
      <c r="O91" s="23">
        <v>-30</v>
      </c>
      <c r="P91" s="23"/>
    </row>
    <row r="92" spans="1:16" ht="15.75" customHeight="1" x14ac:dyDescent="0.35">
      <c r="A92" s="23"/>
      <c r="B92" s="23">
        <v>621.87</v>
      </c>
      <c r="C92" s="24" t="s">
        <v>18</v>
      </c>
      <c r="D92" s="25">
        <v>44069</v>
      </c>
      <c r="E92" s="13" t="s">
        <v>27</v>
      </c>
      <c r="F92" s="23" t="s">
        <v>20</v>
      </c>
      <c r="G92" s="23"/>
      <c r="H92" s="23"/>
      <c r="I92" s="23"/>
      <c r="J92" s="26">
        <v>130</v>
      </c>
      <c r="K92" s="23"/>
      <c r="L92" s="23">
        <f>14040.5-13996.7</f>
        <v>43.799999999999272</v>
      </c>
      <c r="M92" s="23"/>
      <c r="N92" s="23"/>
      <c r="O92" s="23"/>
      <c r="P92" s="23"/>
    </row>
    <row r="93" spans="1:16" ht="15.75" customHeight="1" x14ac:dyDescent="0.35">
      <c r="A93" s="23"/>
      <c r="B93" s="23"/>
      <c r="C93" s="24"/>
      <c r="D93" s="25">
        <v>44070</v>
      </c>
      <c r="E93" s="13" t="s">
        <v>27</v>
      </c>
      <c r="F93" s="23" t="s">
        <v>21</v>
      </c>
      <c r="G93" s="23"/>
      <c r="H93" s="23"/>
      <c r="I93" s="23"/>
      <c r="J93" s="26"/>
      <c r="K93" s="23"/>
      <c r="L93" s="23"/>
      <c r="M93" s="23"/>
      <c r="N93" s="23"/>
      <c r="O93" s="23"/>
      <c r="P93" s="23"/>
    </row>
    <row r="94" spans="1:16" ht="15.75" customHeight="1" x14ac:dyDescent="0.35">
      <c r="A94" s="23"/>
      <c r="B94" s="23"/>
      <c r="C94" s="24"/>
      <c r="D94" s="25">
        <v>44071</v>
      </c>
      <c r="E94" s="13" t="s">
        <v>31</v>
      </c>
      <c r="F94" s="23" t="s">
        <v>22</v>
      </c>
      <c r="G94" s="23"/>
      <c r="H94" s="23"/>
      <c r="I94" s="23"/>
      <c r="J94" s="26">
        <v>130</v>
      </c>
      <c r="K94" s="23"/>
      <c r="L94" s="23">
        <f>14225.2-14116.2</f>
        <v>109</v>
      </c>
      <c r="M94" s="23"/>
      <c r="N94" s="23"/>
      <c r="O94" s="23">
        <v>-50</v>
      </c>
      <c r="P94" s="23"/>
    </row>
    <row r="95" spans="1:16" ht="15.75" customHeight="1" x14ac:dyDescent="0.35">
      <c r="A95" s="23"/>
      <c r="B95" s="23"/>
      <c r="C95" s="24"/>
      <c r="D95" s="25">
        <v>44072</v>
      </c>
      <c r="E95" s="13" t="s">
        <v>27</v>
      </c>
      <c r="F95" s="23" t="s">
        <v>23</v>
      </c>
      <c r="G95" s="23"/>
      <c r="H95" s="23"/>
      <c r="I95" s="23"/>
      <c r="J95" s="26">
        <v>130</v>
      </c>
      <c r="K95" s="23"/>
      <c r="L95" s="23">
        <f>14384.1-14291.9</f>
        <v>92.200000000000728</v>
      </c>
      <c r="M95" s="23"/>
      <c r="N95" s="23"/>
      <c r="O95" s="23"/>
      <c r="P95" s="23"/>
    </row>
    <row r="96" spans="1:16" ht="15.75" customHeight="1" x14ac:dyDescent="0.45">
      <c r="A96" s="23"/>
      <c r="B96" s="23"/>
      <c r="C96" s="24"/>
      <c r="D96" s="25"/>
      <c r="E96" s="13"/>
      <c r="F96" s="40" t="s">
        <v>28</v>
      </c>
      <c r="G96" s="40"/>
      <c r="H96" s="40"/>
      <c r="I96" s="40"/>
      <c r="J96" s="41">
        <f t="shared" ref="J96:O96" si="3">SUM(J89:J95)</f>
        <v>670</v>
      </c>
      <c r="K96" s="42">
        <f t="shared" si="3"/>
        <v>147</v>
      </c>
      <c r="L96" s="42">
        <f t="shared" si="3"/>
        <v>385</v>
      </c>
      <c r="M96" s="42">
        <f t="shared" si="3"/>
        <v>140</v>
      </c>
      <c r="N96" s="42">
        <f t="shared" si="3"/>
        <v>193</v>
      </c>
      <c r="O96" s="42">
        <f t="shared" si="3"/>
        <v>-110</v>
      </c>
      <c r="P96" s="23"/>
    </row>
    <row r="97" spans="1:16" ht="15.75" customHeight="1" x14ac:dyDescent="0.35">
      <c r="A97" s="36"/>
      <c r="B97" s="36"/>
      <c r="C97" s="37"/>
      <c r="D97" s="38">
        <v>44073</v>
      </c>
      <c r="E97" s="43" t="s">
        <v>27</v>
      </c>
      <c r="F97" s="36" t="s">
        <v>24</v>
      </c>
      <c r="G97" s="36"/>
      <c r="H97" s="36"/>
      <c r="I97" s="36"/>
      <c r="J97" s="39">
        <v>130</v>
      </c>
      <c r="K97" s="36"/>
      <c r="L97" s="36">
        <f>(14574.9-30)-(14384.1+40)</f>
        <v>120.79999999999927</v>
      </c>
      <c r="M97" s="36"/>
      <c r="N97" s="36"/>
      <c r="O97" s="36">
        <v>-50</v>
      </c>
      <c r="P97" s="36"/>
    </row>
    <row r="98" spans="1:16" ht="15.75" customHeight="1" x14ac:dyDescent="0.35">
      <c r="A98" s="36"/>
      <c r="B98" s="36"/>
      <c r="C98" s="37"/>
      <c r="D98" s="38">
        <v>44074</v>
      </c>
      <c r="E98" s="43" t="s">
        <v>27</v>
      </c>
      <c r="F98" s="36" t="s">
        <v>16</v>
      </c>
      <c r="G98" s="36"/>
      <c r="H98" s="36"/>
      <c r="I98" s="36"/>
      <c r="J98" s="39"/>
      <c r="K98" s="36"/>
      <c r="L98" s="36"/>
      <c r="M98" s="36"/>
      <c r="N98" s="36"/>
      <c r="O98" s="36"/>
      <c r="P98" s="36"/>
    </row>
    <row r="99" spans="1:16" ht="15.75" customHeight="1" x14ac:dyDescent="0.35">
      <c r="A99" s="36"/>
      <c r="B99" s="36"/>
      <c r="C99" s="37"/>
      <c r="D99" s="38">
        <v>44075</v>
      </c>
      <c r="E99" s="43" t="s">
        <v>27</v>
      </c>
      <c r="F99" s="36" t="s">
        <v>17</v>
      </c>
      <c r="G99" s="36"/>
      <c r="H99" s="36"/>
      <c r="I99" s="36"/>
      <c r="J99" s="39">
        <v>130</v>
      </c>
      <c r="K99" s="36"/>
      <c r="L99" s="36">
        <f>14625.7-14574.9</f>
        <v>50.800000000001091</v>
      </c>
      <c r="M99" s="36"/>
      <c r="N99" s="36"/>
      <c r="O99" s="36"/>
      <c r="P99" s="36"/>
    </row>
    <row r="100" spans="1:16" ht="15.75" customHeight="1" x14ac:dyDescent="0.35">
      <c r="A100" s="36"/>
      <c r="B100" s="36">
        <v>501.39</v>
      </c>
      <c r="C100" s="37" t="s">
        <v>18</v>
      </c>
      <c r="D100" s="38">
        <v>44076</v>
      </c>
      <c r="E100" s="43" t="s">
        <v>27</v>
      </c>
      <c r="F100" s="45" t="s">
        <v>20</v>
      </c>
      <c r="G100" s="45"/>
      <c r="H100" s="45"/>
      <c r="I100" s="45"/>
      <c r="J100" s="46">
        <v>130</v>
      </c>
      <c r="K100" s="45">
        <v>22</v>
      </c>
      <c r="L100" s="36">
        <f>14778.5-14703.2</f>
        <v>75.299999999999272</v>
      </c>
      <c r="M100" s="36"/>
      <c r="N100" s="36"/>
      <c r="O100" s="36">
        <v>-50</v>
      </c>
      <c r="P100" s="36"/>
    </row>
    <row r="101" spans="1:16" ht="15.75" customHeight="1" x14ac:dyDescent="0.35">
      <c r="A101" s="36"/>
      <c r="B101" s="36"/>
      <c r="C101" s="37"/>
      <c r="D101" s="38">
        <v>44077</v>
      </c>
      <c r="E101" s="43" t="s">
        <v>27</v>
      </c>
      <c r="F101" s="36" t="s">
        <v>21</v>
      </c>
      <c r="G101" s="36"/>
      <c r="H101" s="36"/>
      <c r="I101" s="36"/>
      <c r="J101" s="39">
        <v>130</v>
      </c>
      <c r="K101" s="36">
        <v>-15</v>
      </c>
      <c r="L101" s="36">
        <f>14958.1-14849.8</f>
        <v>108.30000000000109</v>
      </c>
      <c r="M101" s="36"/>
      <c r="N101" s="36"/>
      <c r="O101" s="36"/>
      <c r="P101" s="36"/>
    </row>
    <row r="102" spans="1:16" ht="15.75" customHeight="1" x14ac:dyDescent="0.35">
      <c r="A102" s="36"/>
      <c r="B102" s="36"/>
      <c r="C102" s="37"/>
      <c r="D102" s="38">
        <v>44078</v>
      </c>
      <c r="E102" s="43" t="s">
        <v>27</v>
      </c>
      <c r="F102" s="36" t="s">
        <v>22</v>
      </c>
      <c r="G102" s="36"/>
      <c r="H102" s="36"/>
      <c r="I102" s="36"/>
      <c r="J102" s="39"/>
      <c r="K102" s="36"/>
      <c r="L102" s="36"/>
      <c r="M102" s="36"/>
      <c r="N102" s="36"/>
      <c r="O102" s="36"/>
      <c r="P102" s="36"/>
    </row>
    <row r="103" spans="1:16" ht="15.75" customHeight="1" x14ac:dyDescent="0.35">
      <c r="A103" s="36"/>
      <c r="B103" s="36"/>
      <c r="C103" s="37"/>
      <c r="D103" s="38">
        <v>44079</v>
      </c>
      <c r="E103" s="43" t="s">
        <v>27</v>
      </c>
      <c r="F103" s="36" t="s">
        <v>23</v>
      </c>
      <c r="G103" s="36"/>
      <c r="H103" s="36"/>
      <c r="I103" s="36"/>
      <c r="J103" s="39">
        <v>130</v>
      </c>
      <c r="K103" s="36"/>
      <c r="L103" s="36">
        <f>15081.9-14990.7</f>
        <v>91.199999999998909</v>
      </c>
      <c r="M103" s="36"/>
      <c r="N103" s="36"/>
      <c r="O103" s="36">
        <v>-40</v>
      </c>
      <c r="P103" s="36"/>
    </row>
    <row r="104" spans="1:16" ht="15.75" customHeight="1" x14ac:dyDescent="0.45">
      <c r="A104" s="36"/>
      <c r="B104" s="36"/>
      <c r="C104" s="37"/>
      <c r="D104" s="38"/>
      <c r="E104" s="43"/>
      <c r="F104" s="40" t="s">
        <v>28</v>
      </c>
      <c r="G104" s="40"/>
      <c r="H104" s="40"/>
      <c r="I104" s="40"/>
      <c r="J104" s="41">
        <f t="shared" ref="J104:O104" si="4">SUM(J97:J103)</f>
        <v>650</v>
      </c>
      <c r="K104" s="42">
        <f t="shared" si="4"/>
        <v>7</v>
      </c>
      <c r="L104" s="42">
        <f t="shared" si="4"/>
        <v>446.39999999999964</v>
      </c>
      <c r="M104" s="42">
        <f t="shared" si="4"/>
        <v>0</v>
      </c>
      <c r="N104" s="42">
        <f t="shared" si="4"/>
        <v>0</v>
      </c>
      <c r="O104" s="42">
        <f t="shared" si="4"/>
        <v>-140</v>
      </c>
      <c r="P104" s="36"/>
    </row>
    <row r="105" spans="1:16" ht="15.75" customHeight="1" x14ac:dyDescent="0.35">
      <c r="A105" s="18"/>
      <c r="B105" s="18"/>
      <c r="C105" s="19"/>
      <c r="D105" s="20">
        <v>44080</v>
      </c>
      <c r="E105" s="48" t="s">
        <v>27</v>
      </c>
      <c r="F105" s="18" t="s">
        <v>24</v>
      </c>
      <c r="G105" s="18"/>
      <c r="H105" s="18"/>
      <c r="I105" s="18"/>
      <c r="J105" s="21">
        <v>130</v>
      </c>
      <c r="K105" s="18"/>
      <c r="L105" s="18">
        <f>15236.8-15146.3</f>
        <v>90.5</v>
      </c>
      <c r="M105" s="18"/>
      <c r="N105" s="18"/>
      <c r="O105" s="18"/>
      <c r="P105" s="18"/>
    </row>
    <row r="106" spans="1:16" ht="15.75" customHeight="1" x14ac:dyDescent="0.35">
      <c r="A106" s="18"/>
      <c r="B106" s="18"/>
      <c r="C106" s="19"/>
      <c r="D106" s="20">
        <v>44081</v>
      </c>
      <c r="E106" s="48" t="s">
        <v>27</v>
      </c>
      <c r="F106" s="18" t="s">
        <v>16</v>
      </c>
      <c r="G106" s="18"/>
      <c r="H106" s="18"/>
      <c r="I106" s="18"/>
      <c r="J106" s="21"/>
      <c r="K106" s="18"/>
      <c r="L106" s="18"/>
      <c r="M106" s="18"/>
      <c r="N106" s="18"/>
      <c r="O106" s="18"/>
      <c r="P106" s="18"/>
    </row>
    <row r="107" spans="1:16" ht="15.75" customHeight="1" x14ac:dyDescent="0.35">
      <c r="A107" s="18"/>
      <c r="B107" s="18"/>
      <c r="C107" s="19"/>
      <c r="D107" s="20">
        <v>44082</v>
      </c>
      <c r="E107" s="48" t="s">
        <v>27</v>
      </c>
      <c r="F107" s="18" t="s">
        <v>17</v>
      </c>
      <c r="G107" s="18"/>
      <c r="H107" s="18"/>
      <c r="I107" s="18"/>
      <c r="J107" s="21">
        <v>150</v>
      </c>
      <c r="K107" s="18"/>
      <c r="L107" s="18">
        <f>15381.1-15299.9</f>
        <v>81.200000000000728</v>
      </c>
      <c r="M107" s="18"/>
      <c r="N107" s="18"/>
      <c r="O107" s="18"/>
      <c r="P107" s="18"/>
    </row>
    <row r="108" spans="1:16" ht="15.75" customHeight="1" x14ac:dyDescent="0.35">
      <c r="A108" s="18"/>
      <c r="B108" s="18">
        <v>492.07</v>
      </c>
      <c r="C108" s="19" t="s">
        <v>18</v>
      </c>
      <c r="D108" s="20">
        <v>44083</v>
      </c>
      <c r="E108" s="48" t="s">
        <v>27</v>
      </c>
      <c r="F108" s="45" t="s">
        <v>20</v>
      </c>
      <c r="G108" s="45"/>
      <c r="H108" s="45"/>
      <c r="I108" s="45"/>
      <c r="J108" s="46">
        <v>130</v>
      </c>
      <c r="K108" s="45">
        <v>21</v>
      </c>
      <c r="L108" s="18">
        <f>15490.1-15445.6</f>
        <v>44.5</v>
      </c>
      <c r="M108" s="18"/>
      <c r="N108" s="18"/>
      <c r="O108" s="18">
        <v>-40.18</v>
      </c>
      <c r="P108" s="18"/>
    </row>
    <row r="109" spans="1:16" ht="15.75" customHeight="1" x14ac:dyDescent="0.35">
      <c r="A109" s="18"/>
      <c r="B109" s="18"/>
      <c r="C109" s="19"/>
      <c r="D109" s="20">
        <v>44084</v>
      </c>
      <c r="E109" s="48" t="s">
        <v>27</v>
      </c>
      <c r="F109" s="18" t="s">
        <v>21</v>
      </c>
      <c r="G109" s="18"/>
      <c r="H109" s="18"/>
      <c r="I109" s="18"/>
      <c r="J109" s="21">
        <v>130</v>
      </c>
      <c r="K109" s="18"/>
      <c r="L109" s="18">
        <f>15654-15596.3</f>
        <v>57.700000000000728</v>
      </c>
      <c r="M109" s="18"/>
      <c r="N109" s="18"/>
      <c r="O109" s="18">
        <v>-50.02</v>
      </c>
      <c r="P109" s="18"/>
    </row>
    <row r="110" spans="1:16" ht="15.75" customHeight="1" x14ac:dyDescent="0.35">
      <c r="A110" s="18"/>
      <c r="B110" s="18"/>
      <c r="C110" s="19"/>
      <c r="D110" s="20">
        <v>44085</v>
      </c>
      <c r="E110" s="48" t="s">
        <v>27</v>
      </c>
      <c r="F110" s="18" t="s">
        <v>22</v>
      </c>
      <c r="G110" s="18"/>
      <c r="H110" s="18"/>
      <c r="I110" s="18"/>
      <c r="J110" s="21"/>
      <c r="K110" s="18"/>
      <c r="L110" s="18"/>
      <c r="M110" s="18"/>
      <c r="N110" s="18"/>
      <c r="O110" s="18"/>
      <c r="P110" s="18"/>
    </row>
    <row r="111" spans="1:16" ht="15.75" customHeight="1" x14ac:dyDescent="0.35">
      <c r="A111" s="18"/>
      <c r="B111" s="18"/>
      <c r="C111" s="19"/>
      <c r="D111" s="20">
        <v>44086</v>
      </c>
      <c r="E111" s="48" t="s">
        <v>27</v>
      </c>
      <c r="F111" s="18" t="s">
        <v>23</v>
      </c>
      <c r="G111" s="18"/>
      <c r="H111" s="18"/>
      <c r="I111" s="18"/>
      <c r="J111" s="21">
        <v>130</v>
      </c>
      <c r="K111" s="18"/>
      <c r="L111" s="18">
        <f>15763.8-15702.7</f>
        <v>61.099999999998545</v>
      </c>
      <c r="M111" s="18"/>
      <c r="N111" s="18"/>
      <c r="O111" s="18"/>
      <c r="P111" s="18"/>
    </row>
    <row r="112" spans="1:16" ht="15.75" customHeight="1" x14ac:dyDescent="0.45">
      <c r="A112" s="18"/>
      <c r="B112" s="18"/>
      <c r="C112" s="19"/>
      <c r="D112" s="20"/>
      <c r="E112" s="48"/>
      <c r="F112" s="40" t="s">
        <v>28</v>
      </c>
      <c r="G112" s="40"/>
      <c r="H112" s="40"/>
      <c r="I112" s="40"/>
      <c r="J112" s="41">
        <f t="shared" ref="J112:O112" si="5">SUM(J105:J111)</f>
        <v>670</v>
      </c>
      <c r="K112" s="42">
        <f t="shared" si="5"/>
        <v>21</v>
      </c>
      <c r="L112" s="42">
        <f t="shared" si="5"/>
        <v>335</v>
      </c>
      <c r="M112" s="42">
        <f t="shared" si="5"/>
        <v>0</v>
      </c>
      <c r="N112" s="42">
        <f t="shared" si="5"/>
        <v>0</v>
      </c>
      <c r="O112" s="42">
        <f t="shared" si="5"/>
        <v>-90.2</v>
      </c>
      <c r="P112" s="18"/>
    </row>
    <row r="113" spans="1:16" ht="15.75" customHeight="1" x14ac:dyDescent="0.35">
      <c r="A113" s="36"/>
      <c r="B113" s="36"/>
      <c r="C113" s="37"/>
      <c r="D113" s="38">
        <v>44087</v>
      </c>
      <c r="E113" s="43" t="s">
        <v>27</v>
      </c>
      <c r="F113" s="36" t="s">
        <v>24</v>
      </c>
      <c r="G113" s="36"/>
      <c r="H113" s="36"/>
      <c r="I113" s="36"/>
      <c r="J113" s="39">
        <v>130</v>
      </c>
      <c r="K113" s="36"/>
      <c r="L113" s="36">
        <v>50</v>
      </c>
      <c r="M113" s="36"/>
      <c r="N113" s="36"/>
      <c r="O113" s="36">
        <v>-50</v>
      </c>
      <c r="P113" s="36"/>
    </row>
    <row r="114" spans="1:16" ht="15.75" customHeight="1" x14ac:dyDescent="0.35">
      <c r="A114" s="36"/>
      <c r="B114" s="36"/>
      <c r="C114" s="37"/>
      <c r="D114" s="38">
        <v>44088</v>
      </c>
      <c r="E114" s="43" t="s">
        <v>32</v>
      </c>
      <c r="F114" s="36" t="s">
        <v>16</v>
      </c>
      <c r="G114" s="36"/>
      <c r="H114" s="36"/>
      <c r="I114" s="36"/>
      <c r="J114" s="39">
        <v>150</v>
      </c>
      <c r="K114" s="36"/>
      <c r="L114" s="36">
        <f>15989.6-15940.9</f>
        <v>48.700000000000728</v>
      </c>
      <c r="M114" s="36"/>
      <c r="N114" s="36"/>
      <c r="O114" s="36"/>
      <c r="P114" s="36"/>
    </row>
    <row r="115" spans="1:16" ht="15.75" customHeight="1" x14ac:dyDescent="0.35">
      <c r="A115" s="36"/>
      <c r="B115" s="36"/>
      <c r="C115" s="37"/>
      <c r="D115" s="38">
        <v>44089</v>
      </c>
      <c r="E115" s="43" t="s">
        <v>33</v>
      </c>
      <c r="F115" s="36" t="s">
        <v>17</v>
      </c>
      <c r="G115" s="36"/>
      <c r="H115" s="36"/>
      <c r="I115" s="36"/>
      <c r="J115" s="39">
        <v>130</v>
      </c>
      <c r="K115" s="36"/>
      <c r="L115" s="36">
        <f>16120.6-16052.1</f>
        <v>68.5</v>
      </c>
      <c r="M115" s="36"/>
      <c r="N115" s="36"/>
      <c r="O115" s="36">
        <v>-35.31</v>
      </c>
      <c r="P115" s="36"/>
    </row>
    <row r="116" spans="1:16" ht="15.75" customHeight="1" x14ac:dyDescent="0.35">
      <c r="A116" s="36"/>
      <c r="B116" s="36">
        <v>512.20000000000005</v>
      </c>
      <c r="C116" s="37" t="s">
        <v>18</v>
      </c>
      <c r="D116" s="38">
        <v>44090</v>
      </c>
      <c r="E116" s="43" t="s">
        <v>34</v>
      </c>
      <c r="F116" s="36" t="s">
        <v>20</v>
      </c>
      <c r="G116" s="36"/>
      <c r="H116" s="36"/>
      <c r="I116" s="36"/>
      <c r="J116" s="39">
        <v>130</v>
      </c>
      <c r="K116" s="36"/>
      <c r="L116" s="36">
        <f>16198.2-16176.6</f>
        <v>21.600000000000364</v>
      </c>
      <c r="M116" s="36"/>
      <c r="N116" s="36"/>
      <c r="O116" s="36"/>
      <c r="P116" s="36"/>
    </row>
    <row r="117" spans="1:16" ht="15.75" customHeight="1" x14ac:dyDescent="0.35">
      <c r="A117" s="36"/>
      <c r="B117" s="36"/>
      <c r="C117" s="37"/>
      <c r="D117" s="38">
        <v>44091</v>
      </c>
      <c r="E117" s="43" t="s">
        <v>27</v>
      </c>
      <c r="F117" s="36" t="s">
        <v>21</v>
      </c>
      <c r="G117" s="36"/>
      <c r="H117" s="36"/>
      <c r="I117" s="36"/>
      <c r="J117" s="39"/>
      <c r="K117" s="36"/>
      <c r="L117" s="36"/>
      <c r="M117" s="36"/>
      <c r="N117" s="36"/>
      <c r="O117" s="36"/>
      <c r="P117" s="36"/>
    </row>
    <row r="118" spans="1:16" ht="15.75" customHeight="1" x14ac:dyDescent="0.35">
      <c r="A118" s="36"/>
      <c r="B118" s="36"/>
      <c r="C118" s="37"/>
      <c r="D118" s="38">
        <v>44092</v>
      </c>
      <c r="E118" s="43" t="s">
        <v>27</v>
      </c>
      <c r="F118" s="36" t="s">
        <v>22</v>
      </c>
      <c r="G118" s="36"/>
      <c r="H118" s="36"/>
      <c r="I118" s="36"/>
      <c r="J118" s="39"/>
      <c r="K118" s="36"/>
      <c r="L118" s="36"/>
      <c r="M118" s="36"/>
      <c r="N118" s="36"/>
      <c r="O118" s="36"/>
      <c r="P118" s="36"/>
    </row>
    <row r="119" spans="1:16" ht="15.75" customHeight="1" x14ac:dyDescent="0.35">
      <c r="A119" s="36"/>
      <c r="B119" s="36"/>
      <c r="C119" s="37"/>
      <c r="D119" s="38">
        <v>44093</v>
      </c>
      <c r="E119" s="43" t="s">
        <v>27</v>
      </c>
      <c r="F119" s="36" t="s">
        <v>23</v>
      </c>
      <c r="G119" s="36"/>
      <c r="H119" s="36"/>
      <c r="I119" s="36"/>
      <c r="J119" s="39">
        <v>130</v>
      </c>
      <c r="K119" s="36"/>
      <c r="L119" s="36">
        <f>16326.7-16277.5</f>
        <v>49.200000000000728</v>
      </c>
      <c r="M119" s="36"/>
      <c r="N119" s="36"/>
      <c r="O119" s="36">
        <v>-34.79</v>
      </c>
      <c r="P119" s="36"/>
    </row>
    <row r="120" spans="1:16" ht="15.75" customHeight="1" x14ac:dyDescent="0.45">
      <c r="A120" s="36"/>
      <c r="B120" s="36"/>
      <c r="C120" s="37"/>
      <c r="D120" s="38"/>
      <c r="E120" s="43"/>
      <c r="F120" s="40" t="s">
        <v>28</v>
      </c>
      <c r="G120" s="40"/>
      <c r="H120" s="40"/>
      <c r="I120" s="40"/>
      <c r="J120" s="41">
        <f t="shared" ref="J120:O120" si="6">SUM(J113:J119)</f>
        <v>670</v>
      </c>
      <c r="K120" s="42">
        <f t="shared" si="6"/>
        <v>0</v>
      </c>
      <c r="L120" s="42">
        <f t="shared" si="6"/>
        <v>238.00000000000182</v>
      </c>
      <c r="M120" s="42">
        <f t="shared" si="6"/>
        <v>0</v>
      </c>
      <c r="N120" s="42">
        <f t="shared" si="6"/>
        <v>0</v>
      </c>
      <c r="O120" s="42">
        <f t="shared" si="6"/>
        <v>-120.1</v>
      </c>
      <c r="P120" s="36"/>
    </row>
    <row r="121" spans="1:16" ht="15.75" customHeight="1" x14ac:dyDescent="0.35">
      <c r="A121" s="18"/>
      <c r="B121" s="18"/>
      <c r="C121" s="19"/>
      <c r="D121" s="20">
        <v>44094</v>
      </c>
      <c r="E121" s="48" t="s">
        <v>27</v>
      </c>
      <c r="F121" s="18" t="s">
        <v>24</v>
      </c>
      <c r="G121" s="18"/>
      <c r="H121" s="18"/>
      <c r="I121" s="18"/>
      <c r="J121" s="21">
        <v>130</v>
      </c>
      <c r="K121" s="18"/>
      <c r="L121" s="18">
        <f>16485.3-16394.3</f>
        <v>91</v>
      </c>
      <c r="M121" s="18"/>
      <c r="N121" s="18"/>
      <c r="O121" s="18"/>
      <c r="P121" s="18"/>
    </row>
    <row r="122" spans="1:16" ht="15.75" customHeight="1" x14ac:dyDescent="0.35">
      <c r="A122" s="18"/>
      <c r="B122" s="18"/>
      <c r="C122" s="19"/>
      <c r="D122" s="20">
        <v>44095</v>
      </c>
      <c r="E122" s="48" t="s">
        <v>27</v>
      </c>
      <c r="F122" s="18" t="s">
        <v>16</v>
      </c>
      <c r="G122" s="18"/>
      <c r="H122" s="18"/>
      <c r="I122" s="18"/>
      <c r="J122" s="21">
        <v>130</v>
      </c>
      <c r="K122" s="18"/>
      <c r="L122" s="18">
        <f>16571.7-16530.5</f>
        <v>41.200000000000728</v>
      </c>
      <c r="M122" s="18"/>
      <c r="N122" s="18"/>
      <c r="O122" s="18">
        <v>-30.03</v>
      </c>
      <c r="P122" s="18"/>
    </row>
    <row r="123" spans="1:16" ht="15.75" customHeight="1" x14ac:dyDescent="0.35">
      <c r="A123" s="18"/>
      <c r="B123" s="18"/>
      <c r="C123" s="19"/>
      <c r="D123" s="20">
        <v>44096</v>
      </c>
      <c r="E123" s="48" t="s">
        <v>30</v>
      </c>
      <c r="F123" s="18" t="s">
        <v>17</v>
      </c>
      <c r="G123" s="18"/>
      <c r="H123" s="18"/>
      <c r="I123" s="18"/>
      <c r="J123" s="21">
        <v>150</v>
      </c>
      <c r="K123" s="18"/>
      <c r="L123" s="18">
        <f>16673.7-16608.9</f>
        <v>64.799999999999272</v>
      </c>
      <c r="M123" s="18"/>
      <c r="N123" s="18"/>
      <c r="O123" s="18"/>
      <c r="P123" s="18"/>
    </row>
    <row r="124" spans="1:16" ht="15.75" customHeight="1" x14ac:dyDescent="0.35">
      <c r="A124" s="18"/>
      <c r="B124" s="18">
        <v>544.20000000000005</v>
      </c>
      <c r="C124" s="19" t="s">
        <v>18</v>
      </c>
      <c r="D124" s="20">
        <v>44097</v>
      </c>
      <c r="E124" s="48" t="s">
        <v>27</v>
      </c>
      <c r="F124" s="18" t="s">
        <v>20</v>
      </c>
      <c r="G124" s="18"/>
      <c r="H124" s="18"/>
      <c r="I124" s="18"/>
      <c r="J124" s="21">
        <v>105.61</v>
      </c>
      <c r="K124" s="18"/>
      <c r="L124" s="18">
        <f>16833.4-16776.1</f>
        <v>57.30000000000291</v>
      </c>
      <c r="M124" s="18"/>
      <c r="N124" s="18"/>
      <c r="O124" s="18">
        <f>-25.06-13</f>
        <v>-38.06</v>
      </c>
      <c r="P124" s="18"/>
    </row>
    <row r="125" spans="1:16" ht="15.75" customHeight="1" x14ac:dyDescent="0.35">
      <c r="A125" s="18"/>
      <c r="B125" s="18"/>
      <c r="C125" s="19"/>
      <c r="D125" s="20">
        <v>44098</v>
      </c>
      <c r="E125" s="48" t="s">
        <v>27</v>
      </c>
      <c r="F125" s="18" t="s">
        <v>21</v>
      </c>
      <c r="G125" s="18"/>
      <c r="H125" s="18"/>
      <c r="I125" s="18"/>
      <c r="J125" s="21">
        <v>130</v>
      </c>
      <c r="K125" s="18"/>
      <c r="L125" s="18">
        <f>16919.1-(16833.4+20+30)</f>
        <v>35.69999999999709</v>
      </c>
      <c r="M125" s="18"/>
      <c r="N125" s="18"/>
      <c r="O125" s="18"/>
      <c r="P125" s="18"/>
    </row>
    <row r="126" spans="1:16" ht="15.75" customHeight="1" x14ac:dyDescent="0.35">
      <c r="A126" s="18"/>
      <c r="B126" s="18"/>
      <c r="C126" s="19"/>
      <c r="D126" s="20">
        <v>44099</v>
      </c>
      <c r="E126" s="48" t="s">
        <v>27</v>
      </c>
      <c r="F126" s="18" t="s">
        <v>22</v>
      </c>
      <c r="G126" s="18"/>
      <c r="H126" s="18"/>
      <c r="I126" s="18"/>
      <c r="J126" s="21"/>
      <c r="K126" s="18"/>
      <c r="L126" s="18"/>
      <c r="M126" s="18"/>
      <c r="N126" s="18"/>
      <c r="O126" s="18"/>
      <c r="P126" s="18"/>
    </row>
    <row r="127" spans="1:16" ht="15.75" customHeight="1" x14ac:dyDescent="0.35">
      <c r="A127" s="18"/>
      <c r="B127" s="18"/>
      <c r="C127" s="19"/>
      <c r="D127" s="20">
        <v>44100</v>
      </c>
      <c r="E127" s="48" t="s">
        <v>27</v>
      </c>
      <c r="F127" s="18" t="s">
        <v>23</v>
      </c>
      <c r="G127" s="18"/>
      <c r="H127" s="18"/>
      <c r="I127" s="18"/>
      <c r="J127" s="21">
        <v>130</v>
      </c>
      <c r="K127" s="18"/>
      <c r="L127" s="18">
        <f>17018.2-16970.5</f>
        <v>47.700000000000728</v>
      </c>
      <c r="M127" s="18"/>
      <c r="N127" s="18"/>
      <c r="O127" s="18">
        <v>-30.03</v>
      </c>
      <c r="P127" s="18"/>
    </row>
    <row r="128" spans="1:16" ht="15.75" customHeight="1" x14ac:dyDescent="0.45">
      <c r="A128" s="18"/>
      <c r="B128" s="18"/>
      <c r="C128" s="19"/>
      <c r="D128" s="20"/>
      <c r="E128" s="48"/>
      <c r="F128" s="40" t="s">
        <v>28</v>
      </c>
      <c r="G128" s="40"/>
      <c r="H128" s="40"/>
      <c r="I128" s="40"/>
      <c r="J128" s="41">
        <f t="shared" ref="J128:O128" si="7">SUM(J121:J127)</f>
        <v>775.61</v>
      </c>
      <c r="K128" s="42">
        <f t="shared" si="7"/>
        <v>0</v>
      </c>
      <c r="L128" s="42">
        <f t="shared" si="7"/>
        <v>337.70000000000073</v>
      </c>
      <c r="M128" s="42">
        <f t="shared" si="7"/>
        <v>0</v>
      </c>
      <c r="N128" s="42">
        <f t="shared" si="7"/>
        <v>0</v>
      </c>
      <c r="O128" s="42">
        <f t="shared" si="7"/>
        <v>-98.12</v>
      </c>
      <c r="P128" s="18"/>
    </row>
    <row r="129" spans="1:16" ht="15.75" customHeight="1" x14ac:dyDescent="0.35">
      <c r="A129" s="36"/>
      <c r="B129" s="36"/>
      <c r="C129" s="37"/>
      <c r="D129" s="38">
        <v>44101</v>
      </c>
      <c r="E129" s="43" t="s">
        <v>27</v>
      </c>
      <c r="F129" s="36" t="s">
        <v>24</v>
      </c>
      <c r="G129" s="36"/>
      <c r="H129" s="36"/>
      <c r="I129" s="36"/>
      <c r="J129" s="39">
        <v>130</v>
      </c>
      <c r="K129" s="36"/>
      <c r="L129" s="36">
        <f>17171.7-17075.9</f>
        <v>95.799999999999272</v>
      </c>
      <c r="M129" s="44">
        <v>114</v>
      </c>
      <c r="N129" s="44">
        <v>160</v>
      </c>
      <c r="O129" s="36"/>
      <c r="P129" s="36"/>
    </row>
    <row r="130" spans="1:16" ht="15.75" customHeight="1" x14ac:dyDescent="0.35">
      <c r="A130" s="36"/>
      <c r="B130" s="36"/>
      <c r="C130" s="37"/>
      <c r="D130" s="38">
        <v>44102</v>
      </c>
      <c r="E130" s="43" t="s">
        <v>27</v>
      </c>
      <c r="F130" s="36" t="s">
        <v>35</v>
      </c>
      <c r="G130" s="36"/>
      <c r="H130" s="36"/>
      <c r="I130" s="36"/>
      <c r="J130" s="39">
        <v>130</v>
      </c>
      <c r="K130" s="36"/>
      <c r="L130" s="36">
        <f>17288.9-17242.3</f>
        <v>46.600000000002183</v>
      </c>
      <c r="M130" s="36"/>
      <c r="N130" s="36"/>
      <c r="O130" s="36">
        <v>-30</v>
      </c>
      <c r="P130" s="36"/>
    </row>
    <row r="131" spans="1:16" ht="15.75" customHeight="1" x14ac:dyDescent="0.35">
      <c r="A131" s="36"/>
      <c r="B131" s="36"/>
      <c r="C131" s="37"/>
      <c r="D131" s="38">
        <v>44103</v>
      </c>
      <c r="E131" s="43" t="s">
        <v>27</v>
      </c>
      <c r="F131" s="36" t="s">
        <v>36</v>
      </c>
      <c r="G131" s="36"/>
      <c r="H131" s="36"/>
      <c r="I131" s="36"/>
      <c r="J131" s="39"/>
      <c r="K131" s="36"/>
      <c r="L131" s="36"/>
      <c r="M131" s="36"/>
      <c r="N131" s="36"/>
      <c r="O131" s="36"/>
      <c r="P131" s="36"/>
    </row>
    <row r="132" spans="1:16" ht="15.75" customHeight="1" x14ac:dyDescent="0.35">
      <c r="A132" s="36"/>
      <c r="B132" s="36">
        <v>556.04</v>
      </c>
      <c r="C132" s="37" t="s">
        <v>18</v>
      </c>
      <c r="D132" s="38">
        <v>44104</v>
      </c>
      <c r="E132" s="43" t="s">
        <v>27</v>
      </c>
      <c r="F132" s="36" t="s">
        <v>37</v>
      </c>
      <c r="G132" s="36"/>
      <c r="H132" s="36"/>
      <c r="I132" s="36"/>
      <c r="J132" s="39"/>
      <c r="K132" s="36"/>
      <c r="L132" s="36"/>
      <c r="M132" s="36"/>
      <c r="N132" s="36"/>
      <c r="O132" s="36">
        <v>-150</v>
      </c>
      <c r="P132" s="36"/>
    </row>
    <row r="133" spans="1:16" ht="15.75" customHeight="1" x14ac:dyDescent="0.35">
      <c r="A133" s="36"/>
      <c r="B133" s="36"/>
      <c r="C133" s="37"/>
      <c r="D133" s="38">
        <v>44105</v>
      </c>
      <c r="E133" s="43" t="s">
        <v>27</v>
      </c>
      <c r="F133" s="36" t="s">
        <v>38</v>
      </c>
      <c r="G133" s="36"/>
      <c r="H133" s="36"/>
      <c r="I133" s="36"/>
      <c r="J133" s="39">
        <v>130</v>
      </c>
      <c r="K133" s="36">
        <v>32</v>
      </c>
      <c r="L133" s="36">
        <f>17432.9-17351.6</f>
        <v>81.30000000000291</v>
      </c>
      <c r="M133" s="44">
        <v>128</v>
      </c>
      <c r="N133" s="44">
        <v>137</v>
      </c>
      <c r="O133" s="36">
        <v>-30</v>
      </c>
      <c r="P133" s="36"/>
    </row>
    <row r="134" spans="1:16" ht="15.75" customHeight="1" x14ac:dyDescent="0.35">
      <c r="A134" s="36"/>
      <c r="B134" s="36"/>
      <c r="C134" s="37"/>
      <c r="D134" s="38">
        <v>44106</v>
      </c>
      <c r="E134" s="43" t="s">
        <v>27</v>
      </c>
      <c r="F134" s="36" t="s">
        <v>39</v>
      </c>
      <c r="G134" s="36"/>
      <c r="H134" s="36"/>
      <c r="I134" s="36"/>
      <c r="J134" s="39">
        <v>200</v>
      </c>
      <c r="K134" s="36"/>
      <c r="L134" s="36">
        <f>17592.4-17470.2</f>
        <v>122.20000000000073</v>
      </c>
      <c r="M134" s="36"/>
      <c r="N134" s="36"/>
      <c r="O134" s="36">
        <v>-35.090000000000003</v>
      </c>
      <c r="P134" s="36"/>
    </row>
    <row r="135" spans="1:16" ht="15.75" customHeight="1" x14ac:dyDescent="0.35">
      <c r="A135" s="36"/>
      <c r="B135" s="36"/>
      <c r="C135" s="37"/>
      <c r="D135" s="38">
        <v>44107</v>
      </c>
      <c r="E135" s="43" t="s">
        <v>27</v>
      </c>
      <c r="F135" s="36" t="s">
        <v>23</v>
      </c>
      <c r="G135" s="36"/>
      <c r="H135" s="36"/>
      <c r="I135" s="36"/>
      <c r="J135" s="39">
        <v>130</v>
      </c>
      <c r="K135" s="36"/>
      <c r="L135" s="36">
        <f>17765.4-17696.1</f>
        <v>69.30000000000291</v>
      </c>
      <c r="M135" s="44">
        <v>127</v>
      </c>
      <c r="N135" s="44">
        <v>206</v>
      </c>
      <c r="O135" s="36"/>
      <c r="P135" s="36"/>
    </row>
    <row r="136" spans="1:16" ht="15.75" customHeight="1" x14ac:dyDescent="0.45">
      <c r="A136" s="36"/>
      <c r="B136" s="36"/>
      <c r="C136" s="37"/>
      <c r="D136" s="38"/>
      <c r="E136" s="43"/>
      <c r="F136" s="40" t="s">
        <v>28</v>
      </c>
      <c r="G136" s="40"/>
      <c r="H136" s="40"/>
      <c r="I136" s="40"/>
      <c r="J136" s="41">
        <f t="shared" ref="J136:N136" si="8">SUM(J129:J135)</f>
        <v>720</v>
      </c>
      <c r="K136" s="42">
        <f t="shared" si="8"/>
        <v>32</v>
      </c>
      <c r="L136" s="42">
        <f t="shared" si="8"/>
        <v>415.200000000008</v>
      </c>
      <c r="M136" s="42">
        <f t="shared" si="8"/>
        <v>369</v>
      </c>
      <c r="N136" s="42">
        <f t="shared" si="8"/>
        <v>503</v>
      </c>
      <c r="O136" s="42"/>
      <c r="P136" s="36"/>
    </row>
    <row r="137" spans="1:16" ht="15.75" customHeight="1" x14ac:dyDescent="0.35">
      <c r="A137" s="49"/>
      <c r="B137" s="49"/>
      <c r="C137" s="50"/>
      <c r="D137" s="51">
        <v>44108</v>
      </c>
      <c r="E137" s="52" t="s">
        <v>40</v>
      </c>
      <c r="F137" s="49" t="s">
        <v>24</v>
      </c>
      <c r="G137" s="49"/>
      <c r="H137" s="49"/>
      <c r="I137" s="49"/>
      <c r="J137" s="53">
        <v>134.5</v>
      </c>
      <c r="K137" s="49"/>
      <c r="L137" s="49">
        <f>17925.9-17841.4</f>
        <v>84.5</v>
      </c>
      <c r="M137" s="54">
        <v>123</v>
      </c>
      <c r="N137" s="54">
        <v>129</v>
      </c>
      <c r="O137" s="49">
        <v>-30</v>
      </c>
      <c r="P137" s="49"/>
    </row>
    <row r="138" spans="1:16" ht="15.75" customHeight="1" x14ac:dyDescent="0.35">
      <c r="A138" s="49"/>
      <c r="B138" s="49"/>
      <c r="C138" s="50"/>
      <c r="D138" s="51">
        <v>44109</v>
      </c>
      <c r="E138" s="52" t="s">
        <v>27</v>
      </c>
      <c r="F138" s="49" t="s">
        <v>35</v>
      </c>
      <c r="G138" s="49"/>
      <c r="H138" s="49"/>
      <c r="I138" s="49"/>
      <c r="J138" s="53">
        <v>134.5</v>
      </c>
      <c r="K138" s="49">
        <f>38+23</f>
        <v>61</v>
      </c>
      <c r="L138" s="49">
        <f>18079.1-17979.4</f>
        <v>99.69999999999709</v>
      </c>
      <c r="M138" s="49"/>
      <c r="N138" s="49"/>
      <c r="O138" s="49">
        <v>-20</v>
      </c>
      <c r="P138" s="49"/>
    </row>
    <row r="139" spans="1:16" ht="15.75" customHeight="1" x14ac:dyDescent="0.35">
      <c r="A139" s="49"/>
      <c r="B139" s="49"/>
      <c r="C139" s="50"/>
      <c r="D139" s="51">
        <v>44110</v>
      </c>
      <c r="E139" s="52" t="s">
        <v>27</v>
      </c>
      <c r="F139" s="49" t="s">
        <v>36</v>
      </c>
      <c r="G139" s="49"/>
      <c r="H139" s="49"/>
      <c r="I139" s="49"/>
      <c r="J139" s="53"/>
      <c r="K139" s="49"/>
      <c r="L139" s="49"/>
      <c r="M139" s="49"/>
      <c r="N139" s="49"/>
      <c r="O139" s="49">
        <v>-22.5</v>
      </c>
      <c r="P139" s="49"/>
    </row>
    <row r="140" spans="1:16" ht="15.75" customHeight="1" x14ac:dyDescent="0.35">
      <c r="A140" s="49"/>
      <c r="B140" s="49">
        <v>969.55</v>
      </c>
      <c r="C140" s="50" t="s">
        <v>18</v>
      </c>
      <c r="D140" s="51">
        <v>44111</v>
      </c>
      <c r="E140" s="52" t="s">
        <v>27</v>
      </c>
      <c r="F140" s="49" t="s">
        <v>37</v>
      </c>
      <c r="G140" s="49"/>
      <c r="H140" s="49"/>
      <c r="I140" s="49"/>
      <c r="J140" s="53">
        <v>235</v>
      </c>
      <c r="K140" s="49"/>
      <c r="L140" s="49">
        <f>18208.9-18207.4</f>
        <v>1.5</v>
      </c>
      <c r="M140" s="49"/>
      <c r="N140" s="49"/>
      <c r="O140" s="49">
        <v>-30</v>
      </c>
      <c r="P140" s="49"/>
    </row>
    <row r="141" spans="1:16" ht="15.75" customHeight="1" x14ac:dyDescent="0.35">
      <c r="A141" s="49"/>
      <c r="B141" s="49"/>
      <c r="C141" s="50"/>
      <c r="D141" s="51">
        <v>44112</v>
      </c>
      <c r="E141" s="52" t="s">
        <v>27</v>
      </c>
      <c r="F141" s="49" t="s">
        <v>38</v>
      </c>
      <c r="G141" s="49"/>
      <c r="H141" s="49"/>
      <c r="I141" s="49"/>
      <c r="J141" s="53">
        <v>200</v>
      </c>
      <c r="K141" s="49"/>
      <c r="L141" s="49">
        <f>18422-18396</f>
        <v>26</v>
      </c>
      <c r="M141" s="49"/>
      <c r="N141" s="49"/>
      <c r="O141" s="49"/>
      <c r="P141" s="49"/>
    </row>
    <row r="142" spans="1:16" ht="15.75" customHeight="1" x14ac:dyDescent="0.35">
      <c r="A142" s="49"/>
      <c r="B142" s="49"/>
      <c r="C142" s="50"/>
      <c r="D142" s="51">
        <v>44113</v>
      </c>
      <c r="E142" s="52" t="s">
        <v>27</v>
      </c>
      <c r="F142" s="49" t="s">
        <v>39</v>
      </c>
      <c r="G142" s="49"/>
      <c r="H142" s="49"/>
      <c r="I142" s="49"/>
      <c r="J142" s="53">
        <v>200</v>
      </c>
      <c r="K142" s="49"/>
      <c r="L142" s="49">
        <f>66615-66598</f>
        <v>17</v>
      </c>
      <c r="M142" s="49"/>
      <c r="N142" s="49"/>
      <c r="O142" s="49">
        <v>-20</v>
      </c>
      <c r="P142" s="49"/>
    </row>
    <row r="143" spans="1:16" ht="15.75" customHeight="1" x14ac:dyDescent="0.35">
      <c r="A143" s="49"/>
      <c r="B143" s="49"/>
      <c r="C143" s="50"/>
      <c r="D143" s="51">
        <v>44114</v>
      </c>
      <c r="E143" s="52" t="s">
        <v>27</v>
      </c>
      <c r="F143" s="49" t="s">
        <v>23</v>
      </c>
      <c r="G143" s="49"/>
      <c r="H143" s="49"/>
      <c r="I143" s="49"/>
      <c r="J143" s="53">
        <v>200</v>
      </c>
      <c r="K143" s="49"/>
      <c r="L143" s="49">
        <f>66838 -66797</f>
        <v>41</v>
      </c>
      <c r="M143" s="49"/>
      <c r="N143" s="49"/>
      <c r="O143" s="49">
        <v>-36</v>
      </c>
      <c r="P143" s="49"/>
    </row>
    <row r="144" spans="1:16" ht="15.75" customHeight="1" x14ac:dyDescent="0.45">
      <c r="A144" s="49">
        <v>41</v>
      </c>
      <c r="B144" s="49">
        <f>SUM(B137:B143)</f>
        <v>969.55</v>
      </c>
      <c r="C144" s="50"/>
      <c r="D144" s="51"/>
      <c r="E144" s="52"/>
      <c r="F144" s="55" t="s">
        <v>28</v>
      </c>
      <c r="G144" s="55"/>
      <c r="H144" s="55"/>
      <c r="I144" s="55"/>
      <c r="J144" s="56">
        <f t="shared" ref="J144:N144" si="9">SUM(J137:J143)</f>
        <v>1104</v>
      </c>
      <c r="K144" s="57">
        <f t="shared" si="9"/>
        <v>61</v>
      </c>
      <c r="L144" s="57">
        <f t="shared" si="9"/>
        <v>269.69999999999709</v>
      </c>
      <c r="M144" s="42">
        <f t="shared" si="9"/>
        <v>123</v>
      </c>
      <c r="N144" s="42">
        <f t="shared" si="9"/>
        <v>129</v>
      </c>
      <c r="O144" s="57"/>
      <c r="P144" s="49"/>
    </row>
    <row r="145" spans="1:16" ht="15.75" customHeight="1" x14ac:dyDescent="0.35">
      <c r="A145" s="36"/>
      <c r="B145" s="36"/>
      <c r="C145" s="37"/>
      <c r="D145" s="38">
        <v>44115</v>
      </c>
      <c r="E145" s="43" t="s">
        <v>27</v>
      </c>
      <c r="F145" s="36" t="s">
        <v>24</v>
      </c>
      <c r="G145" s="36" t="s">
        <v>41</v>
      </c>
      <c r="H145" s="36"/>
      <c r="I145" s="36"/>
      <c r="J145" s="39"/>
      <c r="K145" s="36"/>
      <c r="L145" s="36"/>
      <c r="M145" s="36"/>
      <c r="N145" s="36"/>
      <c r="O145" s="36"/>
      <c r="P145" s="36"/>
    </row>
    <row r="146" spans="1:16" ht="15.75" customHeight="1" x14ac:dyDescent="0.35">
      <c r="A146" s="36"/>
      <c r="B146" s="36"/>
      <c r="C146" s="37"/>
      <c r="D146" s="38">
        <v>44116</v>
      </c>
      <c r="E146" s="43" t="s">
        <v>42</v>
      </c>
      <c r="F146" s="36" t="s">
        <v>35</v>
      </c>
      <c r="G146" s="36" t="s">
        <v>41</v>
      </c>
      <c r="H146" s="36"/>
      <c r="I146" s="36"/>
      <c r="J146" s="39">
        <f>170+18</f>
        <v>188</v>
      </c>
      <c r="K146" s="36"/>
      <c r="L146" s="36">
        <v>40</v>
      </c>
      <c r="M146" s="36"/>
      <c r="N146" s="36"/>
      <c r="O146" s="36">
        <v>-25</v>
      </c>
      <c r="P146" s="36"/>
    </row>
    <row r="147" spans="1:16" ht="15.75" customHeight="1" x14ac:dyDescent="0.35">
      <c r="A147" s="36"/>
      <c r="B147" s="36"/>
      <c r="C147" s="37"/>
      <c r="D147" s="38">
        <v>44117</v>
      </c>
      <c r="E147" s="43" t="s">
        <v>42</v>
      </c>
      <c r="F147" s="36" t="s">
        <v>36</v>
      </c>
      <c r="G147" s="36" t="s">
        <v>41</v>
      </c>
      <c r="H147" s="36"/>
      <c r="I147" s="36"/>
      <c r="J147" s="39">
        <v>150.25</v>
      </c>
      <c r="K147" s="36"/>
      <c r="L147" s="36">
        <v>30</v>
      </c>
      <c r="M147" s="44">
        <v>86</v>
      </c>
      <c r="N147" s="44">
        <v>163</v>
      </c>
      <c r="O147" s="36"/>
      <c r="P147" s="36"/>
    </row>
    <row r="148" spans="1:16" ht="15.75" customHeight="1" x14ac:dyDescent="0.35">
      <c r="A148" s="36"/>
      <c r="B148" s="36">
        <f>549.82+115.12</f>
        <v>664.94</v>
      </c>
      <c r="C148" s="37" t="s">
        <v>18</v>
      </c>
      <c r="D148" s="38">
        <v>44118</v>
      </c>
      <c r="E148" s="43" t="s">
        <v>43</v>
      </c>
      <c r="F148" s="36" t="s">
        <v>37</v>
      </c>
      <c r="G148" s="36" t="s">
        <v>41</v>
      </c>
      <c r="H148" s="36"/>
      <c r="I148" s="36"/>
      <c r="J148" s="39">
        <v>150.25</v>
      </c>
      <c r="K148" s="36"/>
      <c r="L148" s="36">
        <v>40</v>
      </c>
      <c r="M148" s="36"/>
      <c r="N148" s="36"/>
      <c r="O148" s="36">
        <v>-35</v>
      </c>
      <c r="P148" s="36"/>
    </row>
    <row r="149" spans="1:16" ht="15.75" customHeight="1" x14ac:dyDescent="0.35">
      <c r="A149" s="36"/>
      <c r="B149" s="36"/>
      <c r="C149" s="37"/>
      <c r="D149" s="38">
        <v>44119</v>
      </c>
      <c r="E149" s="43" t="s">
        <v>43</v>
      </c>
      <c r="F149" s="36" t="s">
        <v>38</v>
      </c>
      <c r="G149" s="36" t="s">
        <v>41</v>
      </c>
      <c r="H149" s="36"/>
      <c r="I149" s="36"/>
      <c r="J149" s="39">
        <v>150.25</v>
      </c>
      <c r="K149" s="36"/>
      <c r="L149" s="36">
        <f>67212-67179</f>
        <v>33</v>
      </c>
      <c r="M149" s="44">
        <v>177</v>
      </c>
      <c r="N149" s="44">
        <v>177</v>
      </c>
      <c r="O149" s="44">
        <v>-212</v>
      </c>
      <c r="P149" s="36"/>
    </row>
    <row r="150" spans="1:16" ht="15.75" customHeight="1" x14ac:dyDescent="0.35">
      <c r="A150" s="36"/>
      <c r="B150" s="36"/>
      <c r="C150" s="37"/>
      <c r="D150" s="38">
        <v>44120</v>
      </c>
      <c r="E150" s="43" t="s">
        <v>42</v>
      </c>
      <c r="F150" s="36" t="s">
        <v>39</v>
      </c>
      <c r="G150" s="36" t="s">
        <v>41</v>
      </c>
      <c r="H150" s="36"/>
      <c r="I150" s="36"/>
      <c r="J150" s="39">
        <v>150.25</v>
      </c>
      <c r="K150" s="36"/>
      <c r="L150" s="36">
        <f>67292-67266</f>
        <v>26</v>
      </c>
      <c r="M150" s="44">
        <v>171</v>
      </c>
      <c r="N150" s="44">
        <v>218</v>
      </c>
      <c r="O150" s="44"/>
      <c r="P150" s="36"/>
    </row>
    <row r="151" spans="1:16" ht="15.75" customHeight="1" x14ac:dyDescent="0.35">
      <c r="A151" s="36"/>
      <c r="B151" s="36"/>
      <c r="C151" s="37"/>
      <c r="D151" s="38">
        <v>44121</v>
      </c>
      <c r="E151" s="43" t="s">
        <v>42</v>
      </c>
      <c r="F151" s="36" t="s">
        <v>23</v>
      </c>
      <c r="G151" s="36" t="s">
        <v>41</v>
      </c>
      <c r="H151" s="36"/>
      <c r="I151" s="36"/>
      <c r="J151" s="39">
        <v>105</v>
      </c>
      <c r="K151" s="36"/>
      <c r="L151" s="36">
        <f>67388-67341</f>
        <v>47</v>
      </c>
      <c r="M151" s="44">
        <v>48</v>
      </c>
      <c r="N151" s="44">
        <v>52</v>
      </c>
      <c r="O151" s="36"/>
      <c r="P151" s="36"/>
    </row>
    <row r="152" spans="1:16" ht="15.75" customHeight="1" x14ac:dyDescent="0.45">
      <c r="A152" s="36">
        <v>42</v>
      </c>
      <c r="B152" s="36">
        <f>SUM(B145:B151)</f>
        <v>664.94</v>
      </c>
      <c r="C152" s="37"/>
      <c r="D152" s="38"/>
      <c r="E152" s="43"/>
      <c r="F152" s="40" t="s">
        <v>28</v>
      </c>
      <c r="G152" s="40"/>
      <c r="H152" s="40"/>
      <c r="I152" s="40">
        <f>COUNTA(J145:J151)</f>
        <v>6</v>
      </c>
      <c r="J152" s="41">
        <f t="shared" ref="J152:N152" si="10">SUM(J145:J151)</f>
        <v>894</v>
      </c>
      <c r="K152" s="42">
        <f t="shared" si="10"/>
        <v>0</v>
      </c>
      <c r="L152" s="42">
        <f t="shared" si="10"/>
        <v>216</v>
      </c>
      <c r="M152" s="42">
        <f t="shared" si="10"/>
        <v>482</v>
      </c>
      <c r="N152" s="42">
        <f t="shared" si="10"/>
        <v>610</v>
      </c>
      <c r="O152" s="42"/>
      <c r="P152" s="36"/>
    </row>
    <row r="153" spans="1:16" ht="15.75" customHeight="1" x14ac:dyDescent="0.35">
      <c r="A153" s="18"/>
      <c r="B153" s="18"/>
      <c r="C153" s="19"/>
      <c r="D153" s="20">
        <v>44122</v>
      </c>
      <c r="E153" s="48" t="s">
        <v>42</v>
      </c>
      <c r="F153" s="18" t="s">
        <v>24</v>
      </c>
      <c r="G153" s="18" t="s">
        <v>41</v>
      </c>
      <c r="H153" s="18"/>
      <c r="I153" s="18"/>
      <c r="J153" s="21">
        <v>134.5</v>
      </c>
      <c r="K153" s="18">
        <v>30</v>
      </c>
      <c r="L153" s="18">
        <f>67485-67438</f>
        <v>47</v>
      </c>
      <c r="M153" s="58">
        <v>182</v>
      </c>
      <c r="N153" s="58">
        <v>258</v>
      </c>
      <c r="O153" s="18">
        <v>-20</v>
      </c>
      <c r="P153" s="18"/>
    </row>
    <row r="154" spans="1:16" ht="15.75" customHeight="1" x14ac:dyDescent="0.35">
      <c r="A154" s="18"/>
      <c r="B154" s="18"/>
      <c r="C154" s="19"/>
      <c r="D154" s="20">
        <v>44123</v>
      </c>
      <c r="E154" s="48" t="s">
        <v>42</v>
      </c>
      <c r="F154" s="18" t="s">
        <v>35</v>
      </c>
      <c r="G154" s="18" t="s">
        <v>41</v>
      </c>
      <c r="H154" s="18"/>
      <c r="I154" s="18"/>
      <c r="J154" s="21"/>
      <c r="K154" s="18"/>
      <c r="L154" s="18"/>
      <c r="M154" s="18"/>
      <c r="N154" s="18"/>
      <c r="O154" s="18"/>
      <c r="P154" s="18"/>
    </row>
    <row r="155" spans="1:16" ht="15.75" customHeight="1" x14ac:dyDescent="0.35">
      <c r="A155" s="18"/>
      <c r="B155" s="18"/>
      <c r="C155" s="19"/>
      <c r="D155" s="20">
        <v>44124</v>
      </c>
      <c r="E155" s="48" t="s">
        <v>42</v>
      </c>
      <c r="F155" s="18" t="s">
        <v>36</v>
      </c>
      <c r="G155" s="18" t="s">
        <v>41</v>
      </c>
      <c r="H155" s="18"/>
      <c r="I155" s="18"/>
      <c r="J155" s="21">
        <v>134.5</v>
      </c>
      <c r="K155" s="18"/>
      <c r="L155" s="18">
        <f>67565-67526</f>
        <v>39</v>
      </c>
      <c r="M155" s="18"/>
      <c r="N155" s="18"/>
      <c r="O155" s="18">
        <v>-13</v>
      </c>
      <c r="P155" s="18"/>
    </row>
    <row r="156" spans="1:16" ht="15.75" customHeight="1" x14ac:dyDescent="0.35">
      <c r="A156" s="18"/>
      <c r="B156" s="18">
        <v>457.73</v>
      </c>
      <c r="C156" s="19" t="s">
        <v>18</v>
      </c>
      <c r="D156" s="20">
        <v>44125</v>
      </c>
      <c r="E156" s="48" t="s">
        <v>44</v>
      </c>
      <c r="F156" s="18" t="s">
        <v>37</v>
      </c>
      <c r="G156" s="18" t="s">
        <v>41</v>
      </c>
      <c r="H156" s="18"/>
      <c r="I156" s="18"/>
      <c r="J156" s="21">
        <v>134.5</v>
      </c>
      <c r="K156" s="18"/>
      <c r="L156" s="18">
        <f>67661-67622</f>
        <v>39</v>
      </c>
      <c r="M156" s="18"/>
      <c r="N156" s="18"/>
      <c r="O156" s="18">
        <v>-15</v>
      </c>
      <c r="P156" s="18"/>
    </row>
    <row r="157" spans="1:16" ht="15.75" customHeight="1" x14ac:dyDescent="0.35">
      <c r="A157" s="18"/>
      <c r="B157" s="18"/>
      <c r="C157" s="19"/>
      <c r="D157" s="20">
        <v>44126</v>
      </c>
      <c r="E157" s="48" t="s">
        <v>42</v>
      </c>
      <c r="F157" s="18" t="s">
        <v>38</v>
      </c>
      <c r="G157" s="18" t="s">
        <v>41</v>
      </c>
      <c r="H157" s="18"/>
      <c r="I157" s="18"/>
      <c r="J157" s="21">
        <v>105</v>
      </c>
      <c r="K157" s="18"/>
      <c r="L157" s="18">
        <v>98</v>
      </c>
      <c r="M157" s="18"/>
      <c r="N157" s="18"/>
      <c r="O157" s="18">
        <v>-26</v>
      </c>
      <c r="P157" s="18"/>
    </row>
    <row r="158" spans="1:16" ht="15.75" customHeight="1" x14ac:dyDescent="0.35">
      <c r="A158" s="18"/>
      <c r="B158" s="18"/>
      <c r="C158" s="19"/>
      <c r="D158" s="20">
        <v>44127</v>
      </c>
      <c r="E158" s="48" t="s">
        <v>42</v>
      </c>
      <c r="F158" s="18" t="s">
        <v>39</v>
      </c>
      <c r="G158" s="18" t="s">
        <v>41</v>
      </c>
      <c r="H158" s="18"/>
      <c r="I158" s="18"/>
      <c r="J158" s="21">
        <v>134.5</v>
      </c>
      <c r="K158" s="18"/>
      <c r="L158" s="18">
        <f>67906-67857</f>
        <v>49</v>
      </c>
      <c r="M158" s="18"/>
      <c r="N158" s="18"/>
      <c r="O158" s="18"/>
      <c r="P158" s="18"/>
    </row>
    <row r="159" spans="1:16" ht="15.75" customHeight="1" x14ac:dyDescent="0.35">
      <c r="A159" s="18"/>
      <c r="B159" s="18"/>
      <c r="C159" s="19"/>
      <c r="D159" s="20">
        <v>44128</v>
      </c>
      <c r="E159" s="48" t="s">
        <v>42</v>
      </c>
      <c r="F159" s="18" t="s">
        <v>23</v>
      </c>
      <c r="G159" s="18" t="s">
        <v>41</v>
      </c>
      <c r="H159" s="18"/>
      <c r="I159" s="18"/>
      <c r="J159" s="21"/>
      <c r="K159" s="18"/>
      <c r="L159" s="18"/>
      <c r="M159" s="18"/>
      <c r="N159" s="18"/>
      <c r="O159" s="18"/>
      <c r="P159" s="18"/>
    </row>
    <row r="160" spans="1:16" ht="15.75" customHeight="1" x14ac:dyDescent="0.45">
      <c r="A160" s="59">
        <v>43</v>
      </c>
      <c r="B160" s="59">
        <f>SUM(B153:B159)</f>
        <v>457.73</v>
      </c>
      <c r="C160" s="60"/>
      <c r="D160" s="61"/>
      <c r="E160" s="13"/>
      <c r="F160" s="40" t="s">
        <v>28</v>
      </c>
      <c r="G160" s="40"/>
      <c r="H160" s="40"/>
      <c r="I160" s="40">
        <f>COUNTA(J153:J159)</f>
        <v>5</v>
      </c>
      <c r="J160" s="41">
        <f t="shared" ref="J160:O160" si="11">SUM(J153:J159)</f>
        <v>643</v>
      </c>
      <c r="K160" s="42">
        <f t="shared" si="11"/>
        <v>30</v>
      </c>
      <c r="L160" s="42">
        <f t="shared" si="11"/>
        <v>272</v>
      </c>
      <c r="M160" s="42">
        <f t="shared" si="11"/>
        <v>182</v>
      </c>
      <c r="N160" s="42">
        <f t="shared" si="11"/>
        <v>258</v>
      </c>
      <c r="O160" s="42">
        <f t="shared" si="11"/>
        <v>-74</v>
      </c>
      <c r="P160" s="62"/>
    </row>
    <row r="161" spans="1:16" ht="15.75" customHeight="1" x14ac:dyDescent="0.35">
      <c r="A161" s="36"/>
      <c r="B161" s="36"/>
      <c r="C161" s="37"/>
      <c r="D161" s="38">
        <v>44129</v>
      </c>
      <c r="E161" s="43" t="s">
        <v>42</v>
      </c>
      <c r="F161" s="36" t="s">
        <v>24</v>
      </c>
      <c r="G161" s="36" t="s">
        <v>41</v>
      </c>
      <c r="H161" s="36"/>
      <c r="I161" s="36" t="s">
        <v>45</v>
      </c>
      <c r="J161" s="39">
        <v>134.5</v>
      </c>
      <c r="K161" s="36">
        <v>50</v>
      </c>
      <c r="L161" s="36">
        <f>67992-67974</f>
        <v>18</v>
      </c>
      <c r="M161" s="44">
        <v>148</v>
      </c>
      <c r="N161" s="44">
        <v>252</v>
      </c>
      <c r="O161" s="36">
        <v>-20</v>
      </c>
      <c r="P161" s="36"/>
    </row>
    <row r="162" spans="1:16" ht="15.75" customHeight="1" x14ac:dyDescent="0.35">
      <c r="A162" s="36"/>
      <c r="B162" s="36"/>
      <c r="C162" s="37"/>
      <c r="D162" s="38">
        <v>44130</v>
      </c>
      <c r="E162" s="43" t="s">
        <v>42</v>
      </c>
      <c r="F162" s="36" t="s">
        <v>35</v>
      </c>
      <c r="G162" s="36" t="s">
        <v>41</v>
      </c>
      <c r="H162" s="36"/>
      <c r="I162" s="36" t="s">
        <v>45</v>
      </c>
      <c r="J162" s="39"/>
      <c r="K162" s="36"/>
      <c r="L162" s="36"/>
      <c r="M162" s="36"/>
      <c r="N162" s="36"/>
      <c r="O162" s="36"/>
      <c r="P162" s="36"/>
    </row>
    <row r="163" spans="1:16" ht="15.75" customHeight="1" x14ac:dyDescent="0.35">
      <c r="A163" s="36"/>
      <c r="B163" s="36">
        <v>474.48</v>
      </c>
      <c r="C163" s="37" t="s">
        <v>18</v>
      </c>
      <c r="D163" s="38">
        <v>44131</v>
      </c>
      <c r="E163" s="43" t="s">
        <v>46</v>
      </c>
      <c r="F163" s="36" t="s">
        <v>36</v>
      </c>
      <c r="G163" s="36" t="s">
        <v>41</v>
      </c>
      <c r="H163" s="36"/>
      <c r="I163" s="36" t="s">
        <v>45</v>
      </c>
      <c r="J163" s="39">
        <v>90</v>
      </c>
      <c r="K163" s="36"/>
      <c r="L163" s="36">
        <f>68055-68031</f>
        <v>24</v>
      </c>
      <c r="M163" s="44">
        <v>4</v>
      </c>
      <c r="N163" s="44">
        <v>300</v>
      </c>
      <c r="O163" s="36">
        <v>-13</v>
      </c>
      <c r="P163" s="36"/>
    </row>
    <row r="164" spans="1:16" ht="15.75" customHeight="1" x14ac:dyDescent="0.35">
      <c r="A164" s="36"/>
      <c r="B164" s="36"/>
      <c r="C164" s="37"/>
      <c r="D164" s="38">
        <v>44132</v>
      </c>
      <c r="E164" s="43" t="s">
        <v>42</v>
      </c>
      <c r="F164" s="36" t="s">
        <v>37</v>
      </c>
      <c r="G164" s="36" t="s">
        <v>41</v>
      </c>
      <c r="H164" s="36"/>
      <c r="I164" s="36" t="s">
        <v>45</v>
      </c>
      <c r="J164" s="39">
        <v>134.5</v>
      </c>
      <c r="K164" s="36"/>
      <c r="L164" s="36"/>
      <c r="M164" s="44">
        <v>134</v>
      </c>
      <c r="N164" s="44">
        <v>253</v>
      </c>
      <c r="O164" s="36">
        <v>-13</v>
      </c>
      <c r="P164" s="36"/>
    </row>
    <row r="165" spans="1:16" ht="15.75" customHeight="1" x14ac:dyDescent="0.35">
      <c r="A165" s="36"/>
      <c r="B165" s="36"/>
      <c r="C165" s="37"/>
      <c r="D165" s="38">
        <v>44133</v>
      </c>
      <c r="E165" s="43" t="s">
        <v>43</v>
      </c>
      <c r="F165" s="36" t="s">
        <v>38</v>
      </c>
      <c r="G165" s="36" t="s">
        <v>41</v>
      </c>
      <c r="H165" s="36"/>
      <c r="I165" s="36" t="s">
        <v>45</v>
      </c>
      <c r="J165" s="39">
        <v>134.5</v>
      </c>
      <c r="K165" s="36"/>
      <c r="L165" s="36"/>
      <c r="M165" s="44">
        <v>131</v>
      </c>
      <c r="N165" s="44">
        <v>168</v>
      </c>
      <c r="O165" s="36">
        <v>-17</v>
      </c>
      <c r="P165" s="36"/>
    </row>
    <row r="166" spans="1:16" ht="15.75" customHeight="1" x14ac:dyDescent="0.35">
      <c r="A166" s="36"/>
      <c r="B166" s="36"/>
      <c r="C166" s="37"/>
      <c r="D166" s="38">
        <v>44134</v>
      </c>
      <c r="E166" s="43" t="s">
        <v>42</v>
      </c>
      <c r="F166" s="36" t="s">
        <v>39</v>
      </c>
      <c r="G166" s="36" t="s">
        <v>41</v>
      </c>
      <c r="H166" s="36"/>
      <c r="I166" s="36" t="s">
        <v>45</v>
      </c>
      <c r="J166" s="39"/>
      <c r="K166" s="36"/>
      <c r="L166" s="36"/>
      <c r="M166" s="36"/>
      <c r="N166" s="36"/>
      <c r="O166" s="36"/>
      <c r="P166" s="36"/>
    </row>
    <row r="167" spans="1:16" ht="15.75" customHeight="1" x14ac:dyDescent="0.35">
      <c r="A167" s="36"/>
      <c r="B167" s="36"/>
      <c r="C167" s="37"/>
      <c r="D167" s="38">
        <v>44135</v>
      </c>
      <c r="E167" s="43" t="s">
        <v>42</v>
      </c>
      <c r="F167" s="36" t="s">
        <v>23</v>
      </c>
      <c r="G167" s="36" t="s">
        <v>41</v>
      </c>
      <c r="H167" s="36"/>
      <c r="I167" s="36" t="s">
        <v>45</v>
      </c>
      <c r="J167" s="39">
        <v>154.5</v>
      </c>
      <c r="K167" s="36"/>
      <c r="L167" s="36"/>
      <c r="M167" s="44">
        <v>167</v>
      </c>
      <c r="N167" s="44">
        <v>322</v>
      </c>
      <c r="O167" s="36">
        <v>-15</v>
      </c>
      <c r="P167" s="36"/>
    </row>
    <row r="168" spans="1:16" ht="15.75" customHeight="1" x14ac:dyDescent="0.45">
      <c r="A168" s="59">
        <v>44</v>
      </c>
      <c r="B168" s="59">
        <f>SUM(B161:B167)</f>
        <v>474.48</v>
      </c>
      <c r="C168" s="60"/>
      <c r="D168" s="61"/>
      <c r="E168" s="13"/>
      <c r="F168" s="40" t="s">
        <v>28</v>
      </c>
      <c r="G168" s="40"/>
      <c r="H168" s="40"/>
      <c r="I168" s="40">
        <f>COUNTA(J161:J167)</f>
        <v>5</v>
      </c>
      <c r="J168" s="41">
        <f t="shared" ref="J168:O168" si="12">SUM(J161:J167)</f>
        <v>648</v>
      </c>
      <c r="K168" s="42">
        <f t="shared" si="12"/>
        <v>50</v>
      </c>
      <c r="L168" s="42">
        <f t="shared" si="12"/>
        <v>42</v>
      </c>
      <c r="M168" s="42">
        <f t="shared" si="12"/>
        <v>584</v>
      </c>
      <c r="N168" s="42">
        <f t="shared" si="12"/>
        <v>1295</v>
      </c>
      <c r="O168" s="42">
        <f t="shared" si="12"/>
        <v>-78</v>
      </c>
      <c r="P168" s="62"/>
    </row>
    <row r="169" spans="1:16" ht="15.75" customHeight="1" x14ac:dyDescent="0.35">
      <c r="A169" s="18"/>
      <c r="B169" s="18"/>
      <c r="C169" s="19"/>
      <c r="D169" s="20">
        <v>44136</v>
      </c>
      <c r="E169" s="48" t="s">
        <v>42</v>
      </c>
      <c r="F169" s="18" t="s">
        <v>24</v>
      </c>
      <c r="G169" s="18" t="s">
        <v>41</v>
      </c>
      <c r="H169" s="18"/>
      <c r="I169" s="18" t="s">
        <v>45</v>
      </c>
      <c r="J169" s="21">
        <v>134.5</v>
      </c>
      <c r="K169" s="18"/>
      <c r="L169" s="18"/>
      <c r="M169" s="58">
        <v>167</v>
      </c>
      <c r="N169" s="58">
        <v>262</v>
      </c>
      <c r="O169" s="18">
        <v>-15</v>
      </c>
      <c r="P169" s="18"/>
    </row>
    <row r="170" spans="1:16" ht="15.75" customHeight="1" x14ac:dyDescent="0.35">
      <c r="A170" s="18"/>
      <c r="B170" s="18"/>
      <c r="C170" s="19"/>
      <c r="D170" s="20">
        <v>44137</v>
      </c>
      <c r="E170" s="48" t="s">
        <v>42</v>
      </c>
      <c r="F170" s="18" t="s">
        <v>35</v>
      </c>
      <c r="G170" s="18" t="s">
        <v>41</v>
      </c>
      <c r="H170" s="18"/>
      <c r="I170" s="18" t="s">
        <v>45</v>
      </c>
      <c r="J170" s="21">
        <v>134.5</v>
      </c>
      <c r="K170" s="18"/>
      <c r="L170" s="18"/>
      <c r="M170" s="58">
        <v>119</v>
      </c>
      <c r="N170" s="58">
        <v>135</v>
      </c>
      <c r="O170" s="18">
        <v>-15</v>
      </c>
      <c r="P170" s="18"/>
    </row>
    <row r="171" spans="1:16" ht="15.75" customHeight="1" x14ac:dyDescent="0.35">
      <c r="A171" s="18"/>
      <c r="B171" s="18"/>
      <c r="C171" s="19"/>
      <c r="D171" s="20">
        <v>44138</v>
      </c>
      <c r="E171" s="48" t="s">
        <v>42</v>
      </c>
      <c r="F171" s="18" t="s">
        <v>36</v>
      </c>
      <c r="G171" s="18" t="s">
        <v>41</v>
      </c>
      <c r="H171" s="18"/>
      <c r="I171" s="18" t="s">
        <v>45</v>
      </c>
      <c r="J171" s="21">
        <v>134.5</v>
      </c>
      <c r="K171" s="18"/>
      <c r="L171" s="18"/>
      <c r="M171" s="18"/>
      <c r="N171" s="18"/>
      <c r="O171" s="18">
        <v>-15</v>
      </c>
      <c r="P171" s="18"/>
    </row>
    <row r="172" spans="1:16" ht="15.75" customHeight="1" x14ac:dyDescent="0.35">
      <c r="A172" s="18"/>
      <c r="B172" s="18">
        <f>428.45+305</f>
        <v>733.45</v>
      </c>
      <c r="C172" s="19" t="s">
        <v>47</v>
      </c>
      <c r="D172" s="20">
        <v>44139</v>
      </c>
      <c r="E172" s="48" t="s">
        <v>42</v>
      </c>
      <c r="F172" s="18" t="s">
        <v>37</v>
      </c>
      <c r="G172" s="18"/>
      <c r="H172" s="18"/>
      <c r="I172" s="18"/>
      <c r="J172" s="21"/>
      <c r="K172" s="18"/>
      <c r="L172" s="18"/>
      <c r="M172" s="18"/>
      <c r="N172" s="18"/>
      <c r="O172" s="18"/>
      <c r="P172" s="18"/>
    </row>
    <row r="173" spans="1:16" ht="15.75" customHeight="1" x14ac:dyDescent="0.35">
      <c r="A173" s="18"/>
      <c r="B173" s="18"/>
      <c r="C173" s="19"/>
      <c r="D173" s="20">
        <v>44140</v>
      </c>
      <c r="E173" s="48" t="s">
        <v>42</v>
      </c>
      <c r="F173" s="18" t="s">
        <v>38</v>
      </c>
      <c r="G173" s="18" t="s">
        <v>48</v>
      </c>
      <c r="H173" s="18"/>
      <c r="I173" s="18" t="s">
        <v>45</v>
      </c>
      <c r="J173" s="21">
        <v>134.5</v>
      </c>
      <c r="K173" s="18"/>
      <c r="L173" s="18">
        <f>19101-19081</f>
        <v>20</v>
      </c>
      <c r="M173" s="18"/>
      <c r="N173" s="18"/>
      <c r="O173" s="18">
        <v>-19</v>
      </c>
      <c r="P173" s="18"/>
    </row>
    <row r="174" spans="1:16" ht="15.75" customHeight="1" x14ac:dyDescent="0.35">
      <c r="A174" s="18"/>
      <c r="B174" s="18"/>
      <c r="C174" s="19"/>
      <c r="D174" s="20">
        <v>44141</v>
      </c>
      <c r="E174" s="48" t="s">
        <v>42</v>
      </c>
      <c r="F174" s="18" t="s">
        <v>39</v>
      </c>
      <c r="G174" s="18" t="s">
        <v>48</v>
      </c>
      <c r="H174" s="18"/>
      <c r="I174" s="18" t="s">
        <v>45</v>
      </c>
      <c r="J174" s="21">
        <v>134.5</v>
      </c>
      <c r="K174" s="18"/>
      <c r="L174" s="18">
        <f>19217-19200</f>
        <v>17</v>
      </c>
      <c r="M174" s="18"/>
      <c r="N174" s="18"/>
      <c r="O174" s="18">
        <v>-27</v>
      </c>
      <c r="P174" s="18"/>
    </row>
    <row r="175" spans="1:16" ht="15.75" customHeight="1" x14ac:dyDescent="0.35">
      <c r="A175" s="18"/>
      <c r="B175" s="18"/>
      <c r="C175" s="19"/>
      <c r="D175" s="20">
        <v>44142</v>
      </c>
      <c r="E175" s="48" t="s">
        <v>42</v>
      </c>
      <c r="F175" s="18" t="s">
        <v>23</v>
      </c>
      <c r="G175" s="18" t="s">
        <v>48</v>
      </c>
      <c r="H175" s="18"/>
      <c r="I175" s="18" t="s">
        <v>49</v>
      </c>
      <c r="J175" s="21">
        <v>134.5</v>
      </c>
      <c r="K175" s="18"/>
      <c r="L175" s="18">
        <f>19345-19335</f>
        <v>10</v>
      </c>
      <c r="M175" s="58">
        <v>96</v>
      </c>
      <c r="N175" s="58">
        <v>156</v>
      </c>
      <c r="O175" s="18"/>
      <c r="P175" s="18"/>
    </row>
    <row r="176" spans="1:16" ht="15.75" customHeight="1" x14ac:dyDescent="0.45">
      <c r="A176" s="59">
        <v>45</v>
      </c>
      <c r="B176" s="59">
        <f>SUM(B169:B175)</f>
        <v>733.45</v>
      </c>
      <c r="C176" s="60"/>
      <c r="D176" s="61"/>
      <c r="E176" s="13"/>
      <c r="F176" s="40" t="s">
        <v>28</v>
      </c>
      <c r="G176" s="40"/>
      <c r="H176" s="40"/>
      <c r="I176" s="40">
        <f>COUNTA(J169:J175)</f>
        <v>6</v>
      </c>
      <c r="J176" s="41">
        <f t="shared" ref="J176:O176" si="13">SUM(J169:J175)</f>
        <v>807</v>
      </c>
      <c r="K176" s="42">
        <f t="shared" si="13"/>
        <v>0</v>
      </c>
      <c r="L176" s="42">
        <f t="shared" si="13"/>
        <v>47</v>
      </c>
      <c r="M176" s="42">
        <f t="shared" si="13"/>
        <v>382</v>
      </c>
      <c r="N176" s="42">
        <f t="shared" si="13"/>
        <v>553</v>
      </c>
      <c r="O176" s="42">
        <f t="shared" si="13"/>
        <v>-91</v>
      </c>
      <c r="P176" s="62"/>
    </row>
    <row r="177" spans="1:16" ht="15.75" customHeight="1" x14ac:dyDescent="0.35">
      <c r="A177" s="36"/>
      <c r="B177" s="36"/>
      <c r="C177" s="37"/>
      <c r="D177" s="38">
        <v>44143</v>
      </c>
      <c r="E177" s="43" t="s">
        <v>42</v>
      </c>
      <c r="F177" s="36" t="s">
        <v>24</v>
      </c>
      <c r="G177" s="36" t="s">
        <v>48</v>
      </c>
      <c r="H177" s="36"/>
      <c r="I177" s="36" t="s">
        <v>49</v>
      </c>
      <c r="J177" s="39">
        <v>134.5</v>
      </c>
      <c r="K177" s="36">
        <v>49</v>
      </c>
      <c r="L177" s="36">
        <f>19456-19443</f>
        <v>13</v>
      </c>
      <c r="M177" s="44">
        <v>111</v>
      </c>
      <c r="N177" s="44">
        <v>155</v>
      </c>
      <c r="O177" s="36">
        <v>-27</v>
      </c>
      <c r="P177" s="44"/>
    </row>
    <row r="178" spans="1:16" ht="15.75" customHeight="1" x14ac:dyDescent="0.35">
      <c r="A178" s="36"/>
      <c r="B178" s="36"/>
      <c r="C178" s="37"/>
      <c r="D178" s="38">
        <v>44144</v>
      </c>
      <c r="E178" s="43" t="s">
        <v>42</v>
      </c>
      <c r="F178" s="36" t="s">
        <v>35</v>
      </c>
      <c r="G178" s="36" t="s">
        <v>41</v>
      </c>
      <c r="H178" s="36"/>
      <c r="I178" s="36" t="s">
        <v>45</v>
      </c>
      <c r="J178" s="39">
        <v>154.5</v>
      </c>
      <c r="K178" s="36"/>
      <c r="L178" s="36">
        <f>19566-19538</f>
        <v>28</v>
      </c>
      <c r="M178" s="44">
        <v>165</v>
      </c>
      <c r="N178" s="44">
        <v>248</v>
      </c>
      <c r="O178" s="36"/>
      <c r="P178" s="36"/>
    </row>
    <row r="179" spans="1:16" ht="15.75" customHeight="1" x14ac:dyDescent="0.35">
      <c r="A179" s="36"/>
      <c r="B179" s="36">
        <v>428.45</v>
      </c>
      <c r="C179" s="37"/>
      <c r="D179" s="38">
        <v>44145</v>
      </c>
      <c r="E179" s="43" t="s">
        <v>50</v>
      </c>
      <c r="F179" s="36" t="s">
        <v>36</v>
      </c>
      <c r="G179" s="36" t="s">
        <v>41</v>
      </c>
      <c r="H179" s="36"/>
      <c r="I179" s="36" t="s">
        <v>45</v>
      </c>
      <c r="J179" s="39">
        <v>134.5</v>
      </c>
      <c r="K179" s="36"/>
      <c r="L179" s="36">
        <f>19648-19611</f>
        <v>37</v>
      </c>
      <c r="M179" s="44">
        <v>144</v>
      </c>
      <c r="N179" s="44">
        <v>165</v>
      </c>
      <c r="O179" s="36">
        <v>-31</v>
      </c>
      <c r="P179" s="36"/>
    </row>
    <row r="180" spans="1:16" ht="15.75" customHeight="1" x14ac:dyDescent="0.35">
      <c r="A180" s="36"/>
      <c r="B180" s="36">
        <v>283.58</v>
      </c>
      <c r="C180" s="37" t="s">
        <v>47</v>
      </c>
      <c r="D180" s="38">
        <v>44146</v>
      </c>
      <c r="E180" s="43" t="s">
        <v>42</v>
      </c>
      <c r="F180" s="36" t="s">
        <v>37</v>
      </c>
      <c r="G180" s="36" t="s">
        <v>41</v>
      </c>
      <c r="H180" s="36"/>
      <c r="I180" s="36" t="s">
        <v>45</v>
      </c>
      <c r="J180" s="39">
        <v>154.5</v>
      </c>
      <c r="K180" s="36"/>
      <c r="L180" s="36">
        <f>19719-19691</f>
        <v>28</v>
      </c>
      <c r="M180" s="44">
        <v>163</v>
      </c>
      <c r="N180" s="44">
        <v>280</v>
      </c>
      <c r="O180" s="36"/>
      <c r="P180" s="36"/>
    </row>
    <row r="181" spans="1:16" ht="15.75" customHeight="1" x14ac:dyDescent="0.35">
      <c r="A181" s="36"/>
      <c r="B181" s="36"/>
      <c r="C181" s="37"/>
      <c r="D181" s="38">
        <v>44147</v>
      </c>
      <c r="E181" s="43" t="s">
        <v>42</v>
      </c>
      <c r="F181" s="36" t="s">
        <v>38</v>
      </c>
      <c r="G181" s="36" t="s">
        <v>41</v>
      </c>
      <c r="H181" s="36"/>
      <c r="I181" s="36" t="s">
        <v>45</v>
      </c>
      <c r="J181" s="39">
        <v>134.5</v>
      </c>
      <c r="K181" s="36"/>
      <c r="L181" s="36">
        <f>19793-19760</f>
        <v>33</v>
      </c>
      <c r="M181" s="36"/>
      <c r="N181" s="36"/>
      <c r="O181" s="36">
        <v>-17</v>
      </c>
      <c r="P181" s="36"/>
    </row>
    <row r="182" spans="1:16" ht="15.75" customHeight="1" x14ac:dyDescent="0.35">
      <c r="A182" s="36"/>
      <c r="B182" s="36"/>
      <c r="C182" s="37"/>
      <c r="D182" s="38">
        <v>44148</v>
      </c>
      <c r="E182" s="43" t="s">
        <v>42</v>
      </c>
      <c r="F182" s="36" t="s">
        <v>39</v>
      </c>
      <c r="G182" s="36"/>
      <c r="H182" s="36"/>
      <c r="I182" s="36"/>
      <c r="J182" s="39"/>
      <c r="K182" s="36"/>
      <c r="L182" s="36"/>
      <c r="M182" s="36"/>
      <c r="N182" s="36"/>
      <c r="O182" s="36">
        <v>-11</v>
      </c>
      <c r="P182" s="36"/>
    </row>
    <row r="183" spans="1:16" ht="15.75" customHeight="1" x14ac:dyDescent="0.35">
      <c r="A183" s="36"/>
      <c r="B183" s="36"/>
      <c r="C183" s="37"/>
      <c r="D183" s="38">
        <v>44149</v>
      </c>
      <c r="E183" s="43" t="s">
        <v>42</v>
      </c>
      <c r="F183" s="36" t="s">
        <v>23</v>
      </c>
      <c r="G183" s="36" t="s">
        <v>48</v>
      </c>
      <c r="H183" s="36"/>
      <c r="I183" s="36" t="s">
        <v>45</v>
      </c>
      <c r="J183" s="39">
        <v>134.5</v>
      </c>
      <c r="K183" s="36"/>
      <c r="L183" s="36">
        <f>19890-19871</f>
        <v>19</v>
      </c>
      <c r="M183" s="44">
        <v>157</v>
      </c>
      <c r="N183" s="44">
        <v>286</v>
      </c>
      <c r="O183" s="36">
        <v>-13</v>
      </c>
      <c r="P183" s="36"/>
    </row>
    <row r="184" spans="1:16" ht="15.75" customHeight="1" x14ac:dyDescent="0.45">
      <c r="A184" s="59">
        <v>46</v>
      </c>
      <c r="B184" s="59">
        <f>SUM(B177:B183)</f>
        <v>712.03</v>
      </c>
      <c r="C184" s="60"/>
      <c r="D184" s="61"/>
      <c r="E184" s="13"/>
      <c r="F184" s="40" t="s">
        <v>28</v>
      </c>
      <c r="G184" s="40"/>
      <c r="H184" s="40"/>
      <c r="I184" s="40">
        <f>COUNTA(J177:J183)</f>
        <v>6</v>
      </c>
      <c r="J184" s="41">
        <f t="shared" ref="J184:O184" si="14">SUM(J177:J183)</f>
        <v>847</v>
      </c>
      <c r="K184" s="42">
        <f t="shared" si="14"/>
        <v>49</v>
      </c>
      <c r="L184" s="42">
        <f t="shared" si="14"/>
        <v>158</v>
      </c>
      <c r="M184" s="42">
        <f t="shared" si="14"/>
        <v>740</v>
      </c>
      <c r="N184" s="42">
        <f t="shared" si="14"/>
        <v>1134</v>
      </c>
      <c r="O184" s="42">
        <f t="shared" si="14"/>
        <v>-99</v>
      </c>
      <c r="P184" s="62"/>
    </row>
    <row r="185" spans="1:16" ht="15.75" customHeight="1" x14ac:dyDescent="0.35">
      <c r="A185" s="18"/>
      <c r="B185" s="18"/>
      <c r="C185" s="19"/>
      <c r="D185" s="20">
        <v>44150</v>
      </c>
      <c r="E185" s="48" t="s">
        <v>42</v>
      </c>
      <c r="F185" s="18" t="s">
        <v>24</v>
      </c>
      <c r="G185" s="18" t="s">
        <v>48</v>
      </c>
      <c r="H185" s="18"/>
      <c r="I185" s="18" t="s">
        <v>49</v>
      </c>
      <c r="J185" s="21">
        <v>134.5</v>
      </c>
      <c r="K185" s="18"/>
      <c r="L185" s="18">
        <f>19997-19983</f>
        <v>14</v>
      </c>
      <c r="M185" s="58">
        <v>94</v>
      </c>
      <c r="N185" s="58">
        <v>161</v>
      </c>
      <c r="O185" s="18">
        <v>-21</v>
      </c>
      <c r="P185" s="18"/>
    </row>
    <row r="186" spans="1:16" ht="15.75" customHeight="1" x14ac:dyDescent="0.35">
      <c r="A186" s="18"/>
      <c r="B186" s="18"/>
      <c r="C186" s="19"/>
      <c r="D186" s="20">
        <v>44151</v>
      </c>
      <c r="E186" s="48" t="s">
        <v>42</v>
      </c>
      <c r="F186" s="18" t="s">
        <v>35</v>
      </c>
      <c r="G186" s="18" t="s">
        <v>48</v>
      </c>
      <c r="H186" s="18"/>
      <c r="I186" s="18" t="s">
        <v>49</v>
      </c>
      <c r="J186" s="21">
        <v>134.5</v>
      </c>
      <c r="K186" s="18"/>
      <c r="L186" s="18">
        <f>20112-20089</f>
        <v>23</v>
      </c>
      <c r="M186" s="58">
        <v>161</v>
      </c>
      <c r="N186" s="58">
        <v>276</v>
      </c>
      <c r="O186" s="18"/>
      <c r="P186" s="18"/>
    </row>
    <row r="187" spans="1:16" ht="15.75" customHeight="1" x14ac:dyDescent="0.35">
      <c r="A187" s="18"/>
      <c r="B187" s="18">
        <v>275.27999999999997</v>
      </c>
      <c r="C187" s="19"/>
      <c r="D187" s="20">
        <v>44152</v>
      </c>
      <c r="E187" s="48" t="s">
        <v>19</v>
      </c>
      <c r="F187" s="18" t="s">
        <v>36</v>
      </c>
      <c r="G187" s="18" t="s">
        <v>48</v>
      </c>
      <c r="H187" s="18"/>
      <c r="I187" s="18" t="s">
        <v>45</v>
      </c>
      <c r="J187" s="21">
        <v>134.5</v>
      </c>
      <c r="K187" s="18"/>
      <c r="L187" s="18">
        <f>20229-20208</f>
        <v>21</v>
      </c>
      <c r="M187" s="18"/>
      <c r="N187" s="18"/>
      <c r="O187" s="18">
        <v>-29</v>
      </c>
      <c r="P187" s="18"/>
    </row>
    <row r="188" spans="1:16" ht="15.75" customHeight="1" x14ac:dyDescent="0.35">
      <c r="A188" s="18"/>
      <c r="B188" s="18">
        <v>415.87</v>
      </c>
      <c r="C188" s="19"/>
      <c r="D188" s="20">
        <v>44153</v>
      </c>
      <c r="E188" s="48" t="s">
        <v>42</v>
      </c>
      <c r="F188" s="18" t="s">
        <v>37</v>
      </c>
      <c r="G188" s="18" t="s">
        <v>48</v>
      </c>
      <c r="H188" s="18"/>
      <c r="I188" s="18" t="s">
        <v>45</v>
      </c>
      <c r="J188" s="21">
        <v>134.5</v>
      </c>
      <c r="K188" s="18"/>
      <c r="L188" s="18">
        <f>20345-20323</f>
        <v>22</v>
      </c>
      <c r="M188" s="18"/>
      <c r="N188" s="18"/>
      <c r="O188" s="18"/>
      <c r="P188" s="18"/>
    </row>
    <row r="189" spans="1:16" ht="15.75" customHeight="1" x14ac:dyDescent="0.35">
      <c r="A189" s="18"/>
      <c r="B189" s="18"/>
      <c r="C189" s="19"/>
      <c r="D189" s="20">
        <v>44154</v>
      </c>
      <c r="E189" s="48" t="s">
        <v>42</v>
      </c>
      <c r="F189" s="18" t="s">
        <v>38</v>
      </c>
      <c r="G189" s="18" t="s">
        <v>41</v>
      </c>
      <c r="H189" s="18"/>
      <c r="I189" s="18" t="s">
        <v>45</v>
      </c>
      <c r="J189" s="21">
        <v>90</v>
      </c>
      <c r="K189" s="18"/>
      <c r="L189" s="18"/>
      <c r="M189" s="18"/>
      <c r="N189" s="18"/>
      <c r="O189" s="18">
        <v>-35</v>
      </c>
      <c r="P189" s="18"/>
    </row>
    <row r="190" spans="1:16" ht="15.75" customHeight="1" x14ac:dyDescent="0.35">
      <c r="A190" s="18"/>
      <c r="B190" s="18"/>
      <c r="C190" s="19"/>
      <c r="D190" s="20">
        <v>44155</v>
      </c>
      <c r="E190" s="48" t="s">
        <v>42</v>
      </c>
      <c r="F190" s="18" t="s">
        <v>39</v>
      </c>
      <c r="G190" s="18" t="s">
        <v>48</v>
      </c>
      <c r="H190" s="18"/>
      <c r="I190" s="18" t="s">
        <v>49</v>
      </c>
      <c r="J190" s="21">
        <v>134.5</v>
      </c>
      <c r="K190" s="18"/>
      <c r="L190" s="18">
        <f>20553-20547</f>
        <v>6</v>
      </c>
      <c r="M190" s="58">
        <v>136</v>
      </c>
      <c r="N190" s="58">
        <v>250</v>
      </c>
      <c r="O190" s="18"/>
      <c r="P190" s="18"/>
    </row>
    <row r="191" spans="1:16" ht="15.75" customHeight="1" x14ac:dyDescent="0.35">
      <c r="A191" s="18"/>
      <c r="B191" s="18"/>
      <c r="C191" s="19"/>
      <c r="D191" s="20">
        <v>44156</v>
      </c>
      <c r="E191" s="48" t="s">
        <v>42</v>
      </c>
      <c r="F191" s="18" t="s">
        <v>23</v>
      </c>
      <c r="G191" s="18" t="s">
        <v>41</v>
      </c>
      <c r="H191" s="18"/>
      <c r="I191" s="18" t="s">
        <v>45</v>
      </c>
      <c r="J191" s="21">
        <v>154.5</v>
      </c>
      <c r="K191" s="18"/>
      <c r="L191" s="18"/>
      <c r="M191" s="18"/>
      <c r="N191" s="18"/>
      <c r="O191" s="18"/>
      <c r="P191" s="63"/>
    </row>
    <row r="192" spans="1:16" ht="15.75" customHeight="1" x14ac:dyDescent="0.45">
      <c r="A192" s="59">
        <v>47</v>
      </c>
      <c r="B192" s="59">
        <f>SUM(B185:B191)</f>
        <v>691.15</v>
      </c>
      <c r="C192" s="60"/>
      <c r="D192" s="61"/>
      <c r="E192" s="13"/>
      <c r="F192" s="40" t="s">
        <v>28</v>
      </c>
      <c r="G192" s="40"/>
      <c r="H192" s="40"/>
      <c r="I192" s="40">
        <f>COUNTA(J185:J191)</f>
        <v>7</v>
      </c>
      <c r="J192" s="41">
        <f t="shared" ref="J192:O192" si="15">SUM(J185:J191)</f>
        <v>917</v>
      </c>
      <c r="K192" s="42">
        <f t="shared" si="15"/>
        <v>0</v>
      </c>
      <c r="L192" s="42">
        <f t="shared" si="15"/>
        <v>86</v>
      </c>
      <c r="M192" s="42">
        <f t="shared" si="15"/>
        <v>391</v>
      </c>
      <c r="N192" s="42">
        <f t="shared" si="15"/>
        <v>687</v>
      </c>
      <c r="O192" s="42">
        <f t="shared" si="15"/>
        <v>-85</v>
      </c>
      <c r="P192" s="62"/>
    </row>
    <row r="193" spans="1:16" ht="15.75" customHeight="1" x14ac:dyDescent="0.35">
      <c r="A193" s="36"/>
      <c r="B193" s="36"/>
      <c r="C193" s="37"/>
      <c r="D193" s="38">
        <v>44157</v>
      </c>
      <c r="E193" s="43" t="s">
        <v>42</v>
      </c>
      <c r="F193" s="36" t="s">
        <v>24</v>
      </c>
      <c r="G193" s="36" t="s">
        <v>48</v>
      </c>
      <c r="H193" s="36"/>
      <c r="I193" s="36" t="s">
        <v>45</v>
      </c>
      <c r="J193" s="39">
        <v>150.25</v>
      </c>
      <c r="K193" s="36"/>
      <c r="L193" s="36">
        <f t="shared" ref="L193:L194" si="16">20834-20817</f>
        <v>17</v>
      </c>
      <c r="M193" s="44">
        <v>152</v>
      </c>
      <c r="N193" s="44">
        <v>266</v>
      </c>
      <c r="O193" s="36">
        <v>-31</v>
      </c>
      <c r="P193" s="36"/>
    </row>
    <row r="194" spans="1:16" ht="15.75" customHeight="1" x14ac:dyDescent="0.35">
      <c r="A194" s="36"/>
      <c r="B194" s="36"/>
      <c r="C194" s="37"/>
      <c r="D194" s="38">
        <v>44158</v>
      </c>
      <c r="E194" s="43" t="s">
        <v>42</v>
      </c>
      <c r="F194" s="36" t="s">
        <v>35</v>
      </c>
      <c r="G194" s="36" t="s">
        <v>41</v>
      </c>
      <c r="H194" s="36"/>
      <c r="I194" s="36" t="s">
        <v>49</v>
      </c>
      <c r="J194" s="39">
        <f>150.25+70</f>
        <v>220.25</v>
      </c>
      <c r="K194" s="36">
        <v>70</v>
      </c>
      <c r="L194" s="36">
        <f t="shared" si="16"/>
        <v>17</v>
      </c>
      <c r="M194" s="44">
        <v>82</v>
      </c>
      <c r="N194" s="44">
        <v>102</v>
      </c>
      <c r="O194" s="36"/>
      <c r="P194" s="36"/>
    </row>
    <row r="195" spans="1:16" ht="15.75" customHeight="1" x14ac:dyDescent="0.35">
      <c r="A195" s="36"/>
      <c r="B195" s="36">
        <v>256.77999999999997</v>
      </c>
      <c r="C195" s="37"/>
      <c r="D195" s="38">
        <v>44159</v>
      </c>
      <c r="E195" s="43" t="s">
        <v>42</v>
      </c>
      <c r="F195" s="36" t="s">
        <v>36</v>
      </c>
      <c r="G195" s="36" t="s">
        <v>41</v>
      </c>
      <c r="H195" s="36"/>
      <c r="I195" s="36" t="s">
        <v>49</v>
      </c>
      <c r="J195" s="39">
        <v>150.25</v>
      </c>
      <c r="K195" s="36"/>
      <c r="L195" s="36">
        <f>20942-20924</f>
        <v>18</v>
      </c>
      <c r="M195" s="44">
        <v>129</v>
      </c>
      <c r="N195" s="44">
        <v>272</v>
      </c>
      <c r="O195" s="36">
        <v>-31</v>
      </c>
      <c r="P195" s="36"/>
    </row>
    <row r="196" spans="1:16" ht="15.75" customHeight="1" x14ac:dyDescent="0.35">
      <c r="A196" s="36"/>
      <c r="B196" s="36">
        <v>468.56</v>
      </c>
      <c r="C196" s="37"/>
      <c r="D196" s="38">
        <v>44160</v>
      </c>
      <c r="E196" s="43" t="s">
        <v>42</v>
      </c>
      <c r="F196" s="36" t="s">
        <v>37</v>
      </c>
      <c r="G196" s="36" t="s">
        <v>48</v>
      </c>
      <c r="H196" s="36"/>
      <c r="I196" s="36" t="s">
        <v>45</v>
      </c>
      <c r="J196" s="39">
        <v>150.25</v>
      </c>
      <c r="K196" s="36"/>
      <c r="L196" s="36">
        <f>21023-21005</f>
        <v>18</v>
      </c>
      <c r="M196" s="44">
        <v>124</v>
      </c>
      <c r="N196" s="44">
        <v>255</v>
      </c>
      <c r="O196" s="36"/>
      <c r="P196" s="36"/>
    </row>
    <row r="197" spans="1:16" ht="15.75" customHeight="1" x14ac:dyDescent="0.35">
      <c r="A197" s="36"/>
      <c r="B197" s="36"/>
      <c r="C197" s="37"/>
      <c r="D197" s="38">
        <v>44161</v>
      </c>
      <c r="E197" s="43" t="s">
        <v>42</v>
      </c>
      <c r="F197" s="36" t="s">
        <v>38</v>
      </c>
      <c r="G197" s="36" t="s">
        <v>48</v>
      </c>
      <c r="H197" s="36"/>
      <c r="I197" s="36" t="s">
        <v>49</v>
      </c>
      <c r="J197" s="39">
        <v>150.25</v>
      </c>
      <c r="K197" s="36"/>
      <c r="L197" s="36">
        <f>21139-21119</f>
        <v>20</v>
      </c>
      <c r="M197" s="44">
        <v>170</v>
      </c>
      <c r="N197" s="44">
        <v>300</v>
      </c>
      <c r="O197" s="36">
        <v>-31</v>
      </c>
      <c r="P197" s="36"/>
    </row>
    <row r="198" spans="1:16" ht="15.75" customHeight="1" x14ac:dyDescent="0.35">
      <c r="A198" s="36"/>
      <c r="B198" s="36"/>
      <c r="C198" s="37"/>
      <c r="D198" s="38">
        <v>44162</v>
      </c>
      <c r="E198" s="43" t="s">
        <v>42</v>
      </c>
      <c r="F198" s="36" t="s">
        <v>39</v>
      </c>
      <c r="G198" s="36"/>
      <c r="H198" s="36"/>
      <c r="I198" s="36"/>
      <c r="J198" s="39"/>
      <c r="K198" s="36"/>
      <c r="L198" s="36"/>
      <c r="M198" s="36"/>
      <c r="N198" s="36"/>
      <c r="O198" s="36"/>
      <c r="P198" s="64"/>
    </row>
    <row r="199" spans="1:16" ht="15.75" customHeight="1" x14ac:dyDescent="0.35">
      <c r="A199" s="36"/>
      <c r="B199" s="36"/>
      <c r="C199" s="37"/>
      <c r="D199" s="38">
        <v>44163</v>
      </c>
      <c r="E199" s="43" t="s">
        <v>42</v>
      </c>
      <c r="F199" s="36" t="s">
        <v>23</v>
      </c>
      <c r="G199" s="36" t="s">
        <v>48</v>
      </c>
      <c r="H199" s="36"/>
      <c r="I199" s="36" t="s">
        <v>45</v>
      </c>
      <c r="J199" s="39">
        <v>170.25</v>
      </c>
      <c r="K199" s="36"/>
      <c r="L199" s="36">
        <f>21286-21233</f>
        <v>53</v>
      </c>
      <c r="M199" s="36"/>
      <c r="N199" s="36"/>
      <c r="O199" s="36"/>
      <c r="P199" s="64"/>
    </row>
    <row r="200" spans="1:16" ht="15.75" customHeight="1" x14ac:dyDescent="0.45">
      <c r="A200" s="59">
        <v>48</v>
      </c>
      <c r="B200" s="59">
        <f>SUM(B193:B199)</f>
        <v>725.33999999999992</v>
      </c>
      <c r="C200" s="60"/>
      <c r="D200" s="61"/>
      <c r="E200" s="13"/>
      <c r="F200" s="40" t="s">
        <v>28</v>
      </c>
      <c r="G200" s="40"/>
      <c r="H200" s="40"/>
      <c r="I200" s="40"/>
      <c r="J200" s="41">
        <f t="shared" ref="J200:O200" si="17">SUM(J193:J199)</f>
        <v>991.5</v>
      </c>
      <c r="K200" s="65">
        <f t="shared" si="17"/>
        <v>70</v>
      </c>
      <c r="L200" s="42">
        <f t="shared" si="17"/>
        <v>143</v>
      </c>
      <c r="M200" s="42">
        <f t="shared" si="17"/>
        <v>657</v>
      </c>
      <c r="N200" s="42">
        <f t="shared" si="17"/>
        <v>1195</v>
      </c>
      <c r="O200" s="42">
        <f t="shared" si="17"/>
        <v>-93</v>
      </c>
      <c r="P200" s="62"/>
    </row>
    <row r="201" spans="1:16" ht="15.75" customHeight="1" x14ac:dyDescent="0.35">
      <c r="A201" s="18"/>
      <c r="B201" s="18"/>
      <c r="C201" s="19"/>
      <c r="D201" s="20">
        <v>44164</v>
      </c>
      <c r="E201" s="48" t="s">
        <v>51</v>
      </c>
      <c r="F201" s="18" t="s">
        <v>24</v>
      </c>
      <c r="G201" s="18" t="s">
        <v>41</v>
      </c>
      <c r="H201" s="18"/>
      <c r="I201" s="18" t="s">
        <v>49</v>
      </c>
      <c r="J201" s="21">
        <v>150.25</v>
      </c>
      <c r="K201" s="18">
        <f>41+36</f>
        <v>77</v>
      </c>
      <c r="L201" s="18">
        <f>21381-21364</f>
        <v>17</v>
      </c>
      <c r="M201" s="58">
        <v>123</v>
      </c>
      <c r="N201" s="58">
        <v>217</v>
      </c>
      <c r="O201" s="18">
        <v>-43</v>
      </c>
      <c r="P201" s="18"/>
    </row>
    <row r="202" spans="1:16" ht="15.75" customHeight="1" x14ac:dyDescent="0.35">
      <c r="A202" s="18"/>
      <c r="B202" s="18"/>
      <c r="C202" s="19"/>
      <c r="D202" s="20">
        <v>44165</v>
      </c>
      <c r="E202" s="48" t="s">
        <v>52</v>
      </c>
      <c r="F202" s="18" t="s">
        <v>35</v>
      </c>
      <c r="G202" s="18" t="s">
        <v>41</v>
      </c>
      <c r="H202" s="18"/>
      <c r="I202" s="18" t="s">
        <v>45</v>
      </c>
      <c r="J202" s="21">
        <v>150.25</v>
      </c>
      <c r="K202" s="18"/>
      <c r="L202" s="18">
        <f>21470-21431</f>
        <v>39</v>
      </c>
      <c r="M202" s="18"/>
      <c r="N202" s="18"/>
      <c r="O202" s="18"/>
      <c r="P202" s="18"/>
    </row>
    <row r="203" spans="1:16" ht="15.75" customHeight="1" x14ac:dyDescent="0.35">
      <c r="A203" s="63"/>
      <c r="B203" s="18">
        <v>295.29000000000002</v>
      </c>
      <c r="C203" s="19"/>
      <c r="D203" s="20">
        <v>44166</v>
      </c>
      <c r="E203" s="48" t="s">
        <v>52</v>
      </c>
      <c r="F203" s="18" t="s">
        <v>36</v>
      </c>
      <c r="G203" s="18" t="s">
        <v>41</v>
      </c>
      <c r="H203" s="18"/>
      <c r="I203" s="18" t="s">
        <v>49</v>
      </c>
      <c r="J203" s="21">
        <v>150.25</v>
      </c>
      <c r="K203" s="18"/>
      <c r="L203" s="18">
        <f>215123-215093</f>
        <v>30</v>
      </c>
      <c r="M203" s="18"/>
      <c r="N203" s="18"/>
      <c r="O203" s="18"/>
      <c r="P203" s="18"/>
    </row>
    <row r="204" spans="1:16" ht="15.75" customHeight="1" x14ac:dyDescent="0.35">
      <c r="A204" s="18"/>
      <c r="B204" s="18">
        <v>521.38</v>
      </c>
      <c r="C204" s="19"/>
      <c r="D204" s="20">
        <v>44167</v>
      </c>
      <c r="E204" s="48" t="s">
        <v>51</v>
      </c>
      <c r="F204" s="18" t="s">
        <v>37</v>
      </c>
      <c r="G204" s="18" t="s">
        <v>41</v>
      </c>
      <c r="H204" s="18"/>
      <c r="I204" s="18" t="s">
        <v>45</v>
      </c>
      <c r="J204" s="21">
        <v>150.25</v>
      </c>
      <c r="K204" s="18"/>
      <c r="L204" s="18">
        <f>21624-21602</f>
        <v>22</v>
      </c>
      <c r="M204" s="18"/>
      <c r="N204" s="18"/>
      <c r="O204" s="18">
        <v>-37</v>
      </c>
      <c r="P204" s="18"/>
    </row>
    <row r="205" spans="1:16" ht="15.75" customHeight="1" x14ac:dyDescent="0.35">
      <c r="A205" s="18"/>
      <c r="B205" s="18"/>
      <c r="C205" s="19"/>
      <c r="D205" s="20">
        <v>44168</v>
      </c>
      <c r="E205" s="48" t="s">
        <v>53</v>
      </c>
      <c r="F205" s="18" t="s">
        <v>38</v>
      </c>
      <c r="G205" s="18" t="s">
        <v>41</v>
      </c>
      <c r="H205" s="18"/>
      <c r="I205" s="18" t="s">
        <v>45</v>
      </c>
      <c r="J205" s="21">
        <v>150.25</v>
      </c>
      <c r="K205" s="18"/>
      <c r="L205" s="18">
        <f>21741-21700</f>
        <v>41</v>
      </c>
      <c r="M205" s="18"/>
      <c r="N205" s="18"/>
      <c r="O205" s="18"/>
      <c r="P205" s="18"/>
    </row>
    <row r="206" spans="1:16" ht="15.75" customHeight="1" x14ac:dyDescent="0.35">
      <c r="A206" s="18"/>
      <c r="B206" s="18"/>
      <c r="C206" s="19"/>
      <c r="D206" s="20">
        <v>44169</v>
      </c>
      <c r="E206" s="48" t="s">
        <v>51</v>
      </c>
      <c r="F206" s="18" t="s">
        <v>39</v>
      </c>
      <c r="G206" s="18" t="s">
        <v>41</v>
      </c>
      <c r="H206" s="18"/>
      <c r="I206" s="18" t="s">
        <v>49</v>
      </c>
      <c r="J206" s="21">
        <v>150.25</v>
      </c>
      <c r="K206" s="18"/>
      <c r="L206" s="18">
        <f>21816-21778</f>
        <v>38</v>
      </c>
      <c r="M206" s="18"/>
      <c r="N206" s="18"/>
      <c r="O206" s="18">
        <v>-15</v>
      </c>
      <c r="P206" s="18"/>
    </row>
    <row r="207" spans="1:16" ht="15.75" customHeight="1" x14ac:dyDescent="0.35">
      <c r="A207" s="18"/>
      <c r="B207" s="18"/>
      <c r="C207" s="19"/>
      <c r="D207" s="20">
        <v>44170</v>
      </c>
      <c r="E207" s="48" t="s">
        <v>51</v>
      </c>
      <c r="F207" s="18" t="s">
        <v>23</v>
      </c>
      <c r="G207" s="18" t="s">
        <v>41</v>
      </c>
      <c r="H207" s="18"/>
      <c r="I207" s="18" t="s">
        <v>45</v>
      </c>
      <c r="J207" s="21"/>
      <c r="K207" s="18">
        <v>37</v>
      </c>
      <c r="L207" s="63"/>
      <c r="M207" s="63"/>
      <c r="N207" s="63"/>
      <c r="O207" s="18"/>
      <c r="P207" s="18"/>
    </row>
    <row r="208" spans="1:16" ht="15.75" customHeight="1" x14ac:dyDescent="0.45">
      <c r="A208" s="59">
        <v>49</v>
      </c>
      <c r="B208" s="59">
        <f>SUM(B201:B207)</f>
        <v>816.67000000000007</v>
      </c>
      <c r="C208" s="60"/>
      <c r="D208" s="61"/>
      <c r="E208" s="13"/>
      <c r="F208" s="40" t="s">
        <v>28</v>
      </c>
      <c r="G208" s="40"/>
      <c r="H208" s="40"/>
      <c r="I208" s="40"/>
      <c r="J208" s="41">
        <f t="shared" ref="J208:O208" si="18">SUM(J201:J207)</f>
        <v>901.5</v>
      </c>
      <c r="K208" s="42">
        <f t="shared" si="18"/>
        <v>114</v>
      </c>
      <c r="L208" s="42">
        <f t="shared" si="18"/>
        <v>187</v>
      </c>
      <c r="M208" s="42">
        <f t="shared" si="18"/>
        <v>123</v>
      </c>
      <c r="N208" s="42">
        <f t="shared" si="18"/>
        <v>217</v>
      </c>
      <c r="O208" s="42">
        <f t="shared" si="18"/>
        <v>-95</v>
      </c>
      <c r="P208" s="62"/>
    </row>
    <row r="209" spans="1:16" ht="15.75" customHeight="1" x14ac:dyDescent="0.35">
      <c r="A209" s="36"/>
      <c r="B209" s="36"/>
      <c r="C209" s="37"/>
      <c r="D209" s="38">
        <v>44171</v>
      </c>
      <c r="E209" s="43" t="s">
        <v>54</v>
      </c>
      <c r="F209" s="36" t="s">
        <v>24</v>
      </c>
      <c r="G209" s="36" t="s">
        <v>41</v>
      </c>
      <c r="H209" s="36"/>
      <c r="I209" s="36" t="s">
        <v>49</v>
      </c>
      <c r="J209" s="39">
        <v>150.25</v>
      </c>
      <c r="K209" s="36"/>
      <c r="L209" s="36">
        <f>21970-21862</f>
        <v>108</v>
      </c>
      <c r="M209" s="36"/>
      <c r="N209" s="36"/>
      <c r="O209" s="36">
        <v>-31</v>
      </c>
      <c r="P209" s="36"/>
    </row>
    <row r="210" spans="1:16" ht="15.75" customHeight="1" x14ac:dyDescent="0.35">
      <c r="A210" s="36"/>
      <c r="B210" s="36"/>
      <c r="C210" s="37"/>
      <c r="D210" s="38">
        <v>44172</v>
      </c>
      <c r="E210" s="43" t="s">
        <v>55</v>
      </c>
      <c r="F210" s="36" t="s">
        <v>35</v>
      </c>
      <c r="G210" s="36" t="s">
        <v>48</v>
      </c>
      <c r="H210" s="36"/>
      <c r="I210" s="36" t="s">
        <v>45</v>
      </c>
      <c r="J210" s="39">
        <v>160</v>
      </c>
      <c r="K210" s="36">
        <f>40+17+26+19</f>
        <v>102</v>
      </c>
      <c r="L210" s="36">
        <f>22208-22046</f>
        <v>162</v>
      </c>
      <c r="M210" s="36"/>
      <c r="N210" s="36"/>
      <c r="O210" s="36">
        <v>-17.05</v>
      </c>
      <c r="P210" s="36"/>
    </row>
    <row r="211" spans="1:16" ht="15.75" customHeight="1" x14ac:dyDescent="0.35">
      <c r="A211" s="36"/>
      <c r="B211" s="36">
        <v>513.67999999999995</v>
      </c>
      <c r="C211" s="37"/>
      <c r="D211" s="38">
        <v>44173</v>
      </c>
      <c r="E211" s="43" t="s">
        <v>55</v>
      </c>
      <c r="F211" s="36" t="s">
        <v>36</v>
      </c>
      <c r="G211" s="36" t="s">
        <v>48</v>
      </c>
      <c r="H211" s="36"/>
      <c r="I211" s="36" t="s">
        <v>45</v>
      </c>
      <c r="J211" s="39">
        <v>150.25</v>
      </c>
      <c r="K211" s="36">
        <v>70</v>
      </c>
      <c r="L211" s="36">
        <f>22322-22274</f>
        <v>48</v>
      </c>
      <c r="M211" s="44">
        <v>139</v>
      </c>
      <c r="N211" s="44">
        <v>304</v>
      </c>
      <c r="O211" s="36">
        <v>-37</v>
      </c>
      <c r="P211" s="36"/>
    </row>
    <row r="212" spans="1:16" ht="15.75" customHeight="1" x14ac:dyDescent="0.35">
      <c r="A212" s="36"/>
      <c r="B212" s="36">
        <v>594.14</v>
      </c>
      <c r="C212" s="37"/>
      <c r="D212" s="38">
        <v>44174</v>
      </c>
      <c r="E212" s="43" t="s">
        <v>55</v>
      </c>
      <c r="F212" s="36" t="s">
        <v>37</v>
      </c>
      <c r="G212" s="64" t="s">
        <v>48</v>
      </c>
      <c r="H212" s="36"/>
      <c r="I212" s="36" t="s">
        <v>45</v>
      </c>
      <c r="J212" s="39">
        <v>150.25</v>
      </c>
      <c r="K212" s="36">
        <v>48</v>
      </c>
      <c r="L212" s="36">
        <f>22444-22415</f>
        <v>29</v>
      </c>
      <c r="M212" s="44">
        <v>152</v>
      </c>
      <c r="N212" s="44">
        <v>299</v>
      </c>
      <c r="O212" s="36"/>
      <c r="P212" s="36"/>
    </row>
    <row r="213" spans="1:16" ht="15.75" customHeight="1" x14ac:dyDescent="0.35">
      <c r="A213" s="36"/>
      <c r="B213" s="36">
        <v>48</v>
      </c>
      <c r="C213" s="37"/>
      <c r="D213" s="38">
        <v>44175</v>
      </c>
      <c r="E213" s="43" t="s">
        <v>55</v>
      </c>
      <c r="F213" s="36" t="s">
        <v>38</v>
      </c>
      <c r="G213" s="36" t="s">
        <v>48</v>
      </c>
      <c r="H213" s="36"/>
      <c r="I213" s="36" t="s">
        <v>49</v>
      </c>
      <c r="J213" s="39">
        <v>150.25</v>
      </c>
      <c r="K213" s="36">
        <v>35</v>
      </c>
      <c r="L213" s="36">
        <f>22566-22536</f>
        <v>30</v>
      </c>
      <c r="M213" s="44">
        <v>160</v>
      </c>
      <c r="N213" s="44">
        <v>300</v>
      </c>
      <c r="O213" s="36">
        <v>-37</v>
      </c>
      <c r="P213" s="64"/>
    </row>
    <row r="214" spans="1:16" ht="15.75" customHeight="1" x14ac:dyDescent="0.35">
      <c r="A214" s="36"/>
      <c r="B214" s="36"/>
      <c r="C214" s="37"/>
      <c r="D214" s="38">
        <v>44176</v>
      </c>
      <c r="E214" s="43" t="s">
        <v>55</v>
      </c>
      <c r="F214" s="36" t="s">
        <v>39</v>
      </c>
      <c r="G214" s="36" t="s">
        <v>48</v>
      </c>
      <c r="H214" s="36"/>
      <c r="I214" s="36" t="s">
        <v>49</v>
      </c>
      <c r="J214" s="39">
        <v>150.25</v>
      </c>
      <c r="K214" s="36"/>
      <c r="L214" s="36">
        <f>22679-22656</f>
        <v>23</v>
      </c>
      <c r="M214" s="44">
        <v>145</v>
      </c>
      <c r="N214" s="44">
        <v>262</v>
      </c>
      <c r="O214" s="36"/>
      <c r="P214" s="36"/>
    </row>
    <row r="215" spans="1:16" ht="15.75" customHeight="1" x14ac:dyDescent="0.35">
      <c r="A215" s="36"/>
      <c r="B215" s="36"/>
      <c r="C215" s="37"/>
      <c r="D215" s="38">
        <v>44177</v>
      </c>
      <c r="E215" s="43" t="s">
        <v>55</v>
      </c>
      <c r="F215" s="36" t="s">
        <v>23</v>
      </c>
      <c r="G215" s="64" t="s">
        <v>48</v>
      </c>
      <c r="H215" s="36"/>
      <c r="I215" s="36" t="s">
        <v>45</v>
      </c>
      <c r="J215" s="39">
        <v>150.25</v>
      </c>
      <c r="K215" s="36"/>
      <c r="L215" s="36">
        <f>22794-22771</f>
        <v>23</v>
      </c>
      <c r="M215" s="44">
        <v>163</v>
      </c>
      <c r="N215" s="44">
        <v>304</v>
      </c>
      <c r="O215" s="64">
        <v>-37</v>
      </c>
      <c r="P215" s="64"/>
    </row>
    <row r="216" spans="1:16" ht="15.75" customHeight="1" x14ac:dyDescent="0.45">
      <c r="A216" s="59">
        <v>50</v>
      </c>
      <c r="B216" s="59">
        <f>SUM(B209:B215)</f>
        <v>1155.82</v>
      </c>
      <c r="C216" s="60"/>
      <c r="D216" s="61"/>
      <c r="E216" s="13"/>
      <c r="F216" s="40" t="s">
        <v>28</v>
      </c>
      <c r="G216" s="40"/>
      <c r="H216" s="40"/>
      <c r="I216" s="40"/>
      <c r="J216" s="41">
        <f t="shared" ref="J216:N216" si="19">SUM(J209:J215)</f>
        <v>1061.5</v>
      </c>
      <c r="K216" s="42">
        <f t="shared" si="19"/>
        <v>255</v>
      </c>
      <c r="L216" s="42">
        <f t="shared" si="19"/>
        <v>423</v>
      </c>
      <c r="M216" s="42">
        <f t="shared" si="19"/>
        <v>759</v>
      </c>
      <c r="N216" s="42">
        <f t="shared" si="19"/>
        <v>1469</v>
      </c>
      <c r="O216" s="42"/>
      <c r="P216" s="62"/>
    </row>
    <row r="217" spans="1:16" ht="15.75" customHeight="1" x14ac:dyDescent="0.35">
      <c r="A217" s="18"/>
      <c r="B217" s="18"/>
      <c r="C217" s="19"/>
      <c r="D217" s="20">
        <v>44178</v>
      </c>
      <c r="E217" s="48" t="s">
        <v>42</v>
      </c>
      <c r="F217" s="18" t="s">
        <v>24</v>
      </c>
      <c r="G217" s="18"/>
      <c r="H217" s="18"/>
      <c r="I217" s="18"/>
      <c r="J217" s="21"/>
      <c r="K217" s="18"/>
      <c r="L217" s="18"/>
      <c r="M217" s="18"/>
      <c r="N217" s="18"/>
      <c r="O217" s="18"/>
      <c r="P217" s="18"/>
    </row>
    <row r="218" spans="1:16" ht="15.75" customHeight="1" x14ac:dyDescent="0.35">
      <c r="A218" s="18"/>
      <c r="B218" s="18"/>
      <c r="C218" s="19"/>
      <c r="D218" s="20">
        <v>44179</v>
      </c>
      <c r="E218" s="48" t="s">
        <v>42</v>
      </c>
      <c r="F218" s="18" t="s">
        <v>35</v>
      </c>
      <c r="G218" s="18"/>
      <c r="H218" s="18"/>
      <c r="I218" s="18"/>
      <c r="J218" s="21"/>
      <c r="K218" s="18"/>
      <c r="L218" s="18"/>
      <c r="M218" s="18"/>
      <c r="N218" s="18"/>
      <c r="O218" s="18"/>
      <c r="P218" s="18"/>
    </row>
    <row r="219" spans="1:16" ht="15.75" customHeight="1" x14ac:dyDescent="0.35">
      <c r="A219" s="18"/>
      <c r="B219" s="18">
        <v>297.93</v>
      </c>
      <c r="C219" s="19"/>
      <c r="D219" s="20">
        <v>44180</v>
      </c>
      <c r="E219" s="48" t="s">
        <v>55</v>
      </c>
      <c r="F219" s="18" t="s">
        <v>36</v>
      </c>
      <c r="G219" s="18"/>
      <c r="H219" s="18"/>
      <c r="I219" s="18" t="s">
        <v>45</v>
      </c>
      <c r="J219" s="21">
        <v>150.25</v>
      </c>
      <c r="K219" s="18"/>
      <c r="L219" s="18"/>
      <c r="M219" s="18"/>
      <c r="N219" s="18"/>
      <c r="O219" s="18"/>
      <c r="P219" s="18"/>
    </row>
    <row r="220" spans="1:16" ht="15.75" customHeight="1" x14ac:dyDescent="0.35">
      <c r="A220" s="18"/>
      <c r="B220" s="18">
        <v>341.36</v>
      </c>
      <c r="C220" s="19"/>
      <c r="D220" s="20">
        <v>44181</v>
      </c>
      <c r="E220" s="48" t="s">
        <v>53</v>
      </c>
      <c r="F220" s="18" t="s">
        <v>37</v>
      </c>
      <c r="G220" s="18"/>
      <c r="H220" s="18"/>
      <c r="I220" s="18" t="s">
        <v>45</v>
      </c>
      <c r="J220" s="21">
        <v>150.25</v>
      </c>
      <c r="K220" s="18"/>
      <c r="L220" s="18">
        <f>22999-22958</f>
        <v>41</v>
      </c>
      <c r="M220" s="58">
        <v>174</v>
      </c>
      <c r="N220" s="58">
        <v>224</v>
      </c>
      <c r="O220" s="18">
        <f>-37-6</f>
        <v>-43</v>
      </c>
      <c r="P220" s="18"/>
    </row>
    <row r="221" spans="1:16" ht="15.75" customHeight="1" x14ac:dyDescent="0.35">
      <c r="A221" s="18"/>
      <c r="B221" s="18">
        <v>40</v>
      </c>
      <c r="C221" s="19"/>
      <c r="D221" s="20">
        <v>44182</v>
      </c>
      <c r="E221" s="48" t="s">
        <v>52</v>
      </c>
      <c r="F221" s="18" t="s">
        <v>38</v>
      </c>
      <c r="G221" s="18"/>
      <c r="H221" s="18"/>
      <c r="I221" s="18" t="s">
        <v>49</v>
      </c>
      <c r="J221" s="21">
        <v>150.25</v>
      </c>
      <c r="K221" s="18">
        <v>90</v>
      </c>
      <c r="L221" s="18">
        <f>23079-23049</f>
        <v>30</v>
      </c>
      <c r="M221" s="58">
        <v>181</v>
      </c>
      <c r="N221" s="58">
        <v>246</v>
      </c>
      <c r="O221" s="18"/>
      <c r="P221" s="58"/>
    </row>
    <row r="222" spans="1:16" ht="15.75" customHeight="1" x14ac:dyDescent="0.35">
      <c r="A222" s="18"/>
      <c r="B222" s="18"/>
      <c r="C222" s="19"/>
      <c r="D222" s="20">
        <v>44183</v>
      </c>
      <c r="E222" s="48" t="s">
        <v>55</v>
      </c>
      <c r="F222" s="18" t="s">
        <v>39</v>
      </c>
      <c r="G222" s="18"/>
      <c r="H222" s="18"/>
      <c r="I222" s="18" t="s">
        <v>45</v>
      </c>
      <c r="J222" s="21">
        <v>150.25</v>
      </c>
      <c r="K222" s="18"/>
      <c r="L222" s="18">
        <f>23155-23127</f>
        <v>28</v>
      </c>
      <c r="M222" s="58">
        <v>190</v>
      </c>
      <c r="N222" s="58">
        <v>281</v>
      </c>
      <c r="O222" s="18"/>
      <c r="P222" s="18"/>
    </row>
    <row r="223" spans="1:16" ht="15.75" customHeight="1" x14ac:dyDescent="0.35">
      <c r="A223" s="18"/>
      <c r="B223" s="18"/>
      <c r="C223" s="19"/>
      <c r="D223" s="20">
        <v>44184</v>
      </c>
      <c r="E223" s="48" t="s">
        <v>52</v>
      </c>
      <c r="F223" s="18" t="s">
        <v>23</v>
      </c>
      <c r="G223" s="18"/>
      <c r="H223" s="18"/>
      <c r="I223" s="18" t="s">
        <v>49</v>
      </c>
      <c r="J223" s="21">
        <v>150.25</v>
      </c>
      <c r="K223" s="18"/>
      <c r="L223" s="18">
        <f>23246-23216</f>
        <v>30</v>
      </c>
      <c r="M223" s="58">
        <v>189</v>
      </c>
      <c r="N223" s="58">
        <v>254</v>
      </c>
      <c r="O223" s="18">
        <v>-37</v>
      </c>
      <c r="P223" s="18"/>
    </row>
    <row r="224" spans="1:16" ht="15.75" customHeight="1" x14ac:dyDescent="0.45">
      <c r="A224" s="59">
        <v>51</v>
      </c>
      <c r="B224" s="59">
        <f>SUM(B217:B223)</f>
        <v>679.29</v>
      </c>
      <c r="C224" s="60"/>
      <c r="D224" s="61"/>
      <c r="E224" s="13"/>
      <c r="F224" s="40" t="s">
        <v>28</v>
      </c>
      <c r="G224" s="40"/>
      <c r="H224" s="40"/>
      <c r="I224" s="40"/>
      <c r="J224" s="41">
        <f t="shared" ref="J224:O224" si="20">SUM(J217:J223)</f>
        <v>751.25</v>
      </c>
      <c r="K224" s="42">
        <f t="shared" si="20"/>
        <v>90</v>
      </c>
      <c r="L224" s="42">
        <f t="shared" si="20"/>
        <v>129</v>
      </c>
      <c r="M224" s="42">
        <f t="shared" si="20"/>
        <v>734</v>
      </c>
      <c r="N224" s="42">
        <f t="shared" si="20"/>
        <v>1005</v>
      </c>
      <c r="O224" s="42">
        <f t="shared" si="20"/>
        <v>-80</v>
      </c>
      <c r="P224" s="62"/>
    </row>
    <row r="225" spans="1:16" ht="15.75" customHeight="1" x14ac:dyDescent="0.35">
      <c r="A225" s="36"/>
      <c r="B225" s="36"/>
      <c r="C225" s="37"/>
      <c r="D225" s="38">
        <v>44185</v>
      </c>
      <c r="E225" s="43" t="s">
        <v>55</v>
      </c>
      <c r="F225" s="36" t="s">
        <v>24</v>
      </c>
      <c r="G225" s="36"/>
      <c r="H225" s="36"/>
      <c r="I225" s="36" t="s">
        <v>45</v>
      </c>
      <c r="J225" s="39">
        <v>150.25</v>
      </c>
      <c r="K225" s="36">
        <v>25</v>
      </c>
      <c r="L225" s="36">
        <f>23321-23297</f>
        <v>24</v>
      </c>
      <c r="M225" s="44">
        <v>158</v>
      </c>
      <c r="N225" s="44">
        <v>296</v>
      </c>
      <c r="O225" s="36"/>
      <c r="P225" s="36"/>
    </row>
    <row r="226" spans="1:16" ht="15.75" customHeight="1" x14ac:dyDescent="0.35">
      <c r="A226" s="36"/>
      <c r="B226" s="36">
        <v>263.49</v>
      </c>
      <c r="C226" s="37"/>
      <c r="D226" s="38">
        <v>44186</v>
      </c>
      <c r="E226" s="43" t="s">
        <v>55</v>
      </c>
      <c r="F226" s="36" t="s">
        <v>35</v>
      </c>
      <c r="G226" s="36"/>
      <c r="H226" s="36"/>
      <c r="I226" s="36" t="s">
        <v>49</v>
      </c>
      <c r="J226" s="39">
        <v>150.25</v>
      </c>
      <c r="K226" s="36"/>
      <c r="L226" s="36">
        <f>23416-23379</f>
        <v>37</v>
      </c>
      <c r="M226" s="44">
        <v>175</v>
      </c>
      <c r="N226" s="44">
        <v>234</v>
      </c>
      <c r="O226" s="36">
        <v>-37</v>
      </c>
      <c r="P226" s="36"/>
    </row>
    <row r="227" spans="1:16" ht="15.75" customHeight="1" x14ac:dyDescent="0.35">
      <c r="A227" s="36"/>
      <c r="B227" s="36">
        <v>175.21</v>
      </c>
      <c r="C227" s="37"/>
      <c r="D227" s="38">
        <v>44187</v>
      </c>
      <c r="E227" s="43" t="s">
        <v>42</v>
      </c>
      <c r="F227" s="36" t="s">
        <v>36</v>
      </c>
      <c r="G227" s="36"/>
      <c r="H227" s="36"/>
      <c r="I227" s="36"/>
      <c r="J227" s="39"/>
      <c r="K227" s="36"/>
      <c r="L227" s="36"/>
      <c r="M227" s="36"/>
      <c r="N227" s="36"/>
      <c r="O227" s="36"/>
      <c r="P227" s="36"/>
    </row>
    <row r="228" spans="1:16" ht="15.75" customHeight="1" x14ac:dyDescent="0.35">
      <c r="A228" s="36"/>
      <c r="B228" s="36">
        <v>10</v>
      </c>
      <c r="C228" s="37"/>
      <c r="D228" s="38">
        <v>44188</v>
      </c>
      <c r="E228" s="43" t="s">
        <v>42</v>
      </c>
      <c r="F228" s="36" t="s">
        <v>37</v>
      </c>
      <c r="G228" s="36"/>
      <c r="H228" s="36"/>
      <c r="I228" s="36" t="s">
        <v>45</v>
      </c>
      <c r="J228" s="39">
        <v>150.25</v>
      </c>
      <c r="K228" s="36"/>
      <c r="L228" s="36">
        <f t="shared" ref="L228:L229" si="21">23487-23463</f>
        <v>24</v>
      </c>
      <c r="M228" s="44">
        <v>157</v>
      </c>
      <c r="N228" s="44">
        <v>300</v>
      </c>
      <c r="O228" s="36"/>
      <c r="P228" s="36"/>
    </row>
    <row r="229" spans="1:16" ht="15.75" customHeight="1" x14ac:dyDescent="0.35">
      <c r="A229" s="36"/>
      <c r="B229" s="36"/>
      <c r="C229" s="37"/>
      <c r="D229" s="38">
        <v>44189</v>
      </c>
      <c r="E229" s="43" t="s">
        <v>42</v>
      </c>
      <c r="F229" s="36" t="s">
        <v>38</v>
      </c>
      <c r="G229" s="36"/>
      <c r="H229" s="36"/>
      <c r="I229" s="36" t="s">
        <v>45</v>
      </c>
      <c r="J229" s="39">
        <v>150.25</v>
      </c>
      <c r="K229" s="36"/>
      <c r="L229" s="36">
        <f t="shared" si="21"/>
        <v>24</v>
      </c>
      <c r="M229" s="44">
        <v>157</v>
      </c>
      <c r="N229" s="44">
        <v>260</v>
      </c>
      <c r="O229" s="36"/>
      <c r="P229" s="64"/>
    </row>
    <row r="230" spans="1:16" ht="15.75" customHeight="1" x14ac:dyDescent="0.35">
      <c r="A230" s="36"/>
      <c r="B230" s="36"/>
      <c r="C230" s="37"/>
      <c r="D230" s="38">
        <v>44190</v>
      </c>
      <c r="E230" s="43" t="s">
        <v>42</v>
      </c>
      <c r="F230" s="36" t="s">
        <v>39</v>
      </c>
      <c r="G230" s="36"/>
      <c r="H230" s="36"/>
      <c r="I230" s="36"/>
      <c r="J230" s="39"/>
      <c r="K230" s="36"/>
      <c r="L230" s="36"/>
      <c r="M230" s="36"/>
      <c r="N230" s="36"/>
      <c r="O230" s="36"/>
      <c r="P230" s="36"/>
    </row>
    <row r="231" spans="1:16" ht="15.75" customHeight="1" x14ac:dyDescent="0.35">
      <c r="A231" s="36"/>
      <c r="B231" s="36"/>
      <c r="C231" s="37"/>
      <c r="D231" s="38">
        <v>44191</v>
      </c>
      <c r="E231" s="43" t="s">
        <v>42</v>
      </c>
      <c r="F231" s="36" t="s">
        <v>23</v>
      </c>
      <c r="G231" s="36"/>
      <c r="H231" s="36"/>
      <c r="I231" s="36"/>
      <c r="J231" s="39"/>
      <c r="K231" s="36"/>
      <c r="L231" s="36"/>
      <c r="M231" s="36"/>
      <c r="N231" s="36"/>
      <c r="O231" s="36"/>
      <c r="P231" s="36"/>
    </row>
    <row r="232" spans="1:16" ht="15.75" customHeight="1" x14ac:dyDescent="0.45">
      <c r="A232" s="59">
        <v>52</v>
      </c>
      <c r="B232" s="59">
        <f>SUM(B225:B231)</f>
        <v>448.70000000000005</v>
      </c>
      <c r="C232" s="60"/>
      <c r="D232" s="61"/>
      <c r="E232" s="13"/>
      <c r="F232" s="40" t="s">
        <v>28</v>
      </c>
      <c r="G232" s="40"/>
      <c r="H232" s="40"/>
      <c r="I232" s="40"/>
      <c r="J232" s="41">
        <f t="shared" ref="J232:O232" si="22">SUM(J225:J231)</f>
        <v>601</v>
      </c>
      <c r="K232" s="42">
        <f t="shared" si="22"/>
        <v>25</v>
      </c>
      <c r="L232" s="42">
        <f t="shared" si="22"/>
        <v>109</v>
      </c>
      <c r="M232" s="42">
        <f t="shared" si="22"/>
        <v>647</v>
      </c>
      <c r="N232" s="42">
        <f t="shared" si="22"/>
        <v>1090</v>
      </c>
      <c r="O232" s="42">
        <f t="shared" si="22"/>
        <v>-37</v>
      </c>
      <c r="P232" s="62"/>
    </row>
    <row r="233" spans="1:16" ht="15.75" customHeight="1" x14ac:dyDescent="0.35">
      <c r="A233" s="18"/>
      <c r="B233" s="18"/>
      <c r="C233" s="19"/>
      <c r="D233" s="20">
        <v>44192</v>
      </c>
      <c r="E233" s="48" t="s">
        <v>42</v>
      </c>
      <c r="F233" s="18" t="s">
        <v>24</v>
      </c>
      <c r="G233" s="18"/>
      <c r="H233" s="18"/>
      <c r="I233" s="18"/>
      <c r="J233" s="21"/>
      <c r="K233" s="18"/>
      <c r="L233" s="18"/>
      <c r="M233" s="18"/>
      <c r="N233" s="18"/>
      <c r="O233" s="18"/>
      <c r="P233" s="18"/>
    </row>
    <row r="234" spans="1:16" ht="15.75" customHeight="1" x14ac:dyDescent="0.35">
      <c r="A234" s="18"/>
      <c r="B234" s="18"/>
      <c r="C234" s="19"/>
      <c r="D234" s="20">
        <v>44193</v>
      </c>
      <c r="E234" s="48" t="s">
        <v>53</v>
      </c>
      <c r="F234" s="18" t="s">
        <v>35</v>
      </c>
      <c r="G234" s="18"/>
      <c r="H234" s="18"/>
      <c r="I234" s="18" t="s">
        <v>49</v>
      </c>
      <c r="J234" s="21">
        <v>130</v>
      </c>
      <c r="K234" s="18"/>
      <c r="L234" s="18">
        <f>23683-23633</f>
        <v>50</v>
      </c>
      <c r="M234" s="58">
        <v>185</v>
      </c>
      <c r="N234" s="58">
        <v>208</v>
      </c>
      <c r="O234" s="18">
        <f>-(35 +10)</f>
        <v>-45</v>
      </c>
      <c r="P234" s="18"/>
    </row>
    <row r="235" spans="1:16" ht="15.75" customHeight="1" x14ac:dyDescent="0.35">
      <c r="A235" s="18"/>
      <c r="B235" s="18">
        <v>65.33</v>
      </c>
      <c r="C235" s="19"/>
      <c r="D235" s="20">
        <v>44194</v>
      </c>
      <c r="E235" s="48" t="s">
        <v>52</v>
      </c>
      <c r="F235" s="18" t="s">
        <v>36</v>
      </c>
      <c r="G235" s="18"/>
      <c r="H235" s="18"/>
      <c r="I235" s="18" t="s">
        <v>45</v>
      </c>
      <c r="J235" s="21">
        <v>130</v>
      </c>
      <c r="K235" s="18"/>
      <c r="L235" s="18">
        <f>23750-23718</f>
        <v>32</v>
      </c>
      <c r="M235" s="58">
        <v>166</v>
      </c>
      <c r="N235" s="58">
        <v>202</v>
      </c>
      <c r="O235" s="18"/>
      <c r="P235" s="18"/>
    </row>
    <row r="236" spans="1:16" ht="15.75" customHeight="1" x14ac:dyDescent="0.35">
      <c r="A236" s="18"/>
      <c r="B236" s="18">
        <v>277.02999999999997</v>
      </c>
      <c r="C236" s="19"/>
      <c r="D236" s="20">
        <v>44195</v>
      </c>
      <c r="E236" s="48" t="s">
        <v>51</v>
      </c>
      <c r="F236" s="18" t="s">
        <v>37</v>
      </c>
      <c r="G236" s="18"/>
      <c r="H236" s="18"/>
      <c r="I236" s="18" t="s">
        <v>49</v>
      </c>
      <c r="J236" s="21">
        <v>130</v>
      </c>
      <c r="K236" s="18"/>
      <c r="L236" s="18">
        <f>23833-23809</f>
        <v>24</v>
      </c>
      <c r="M236" s="58">
        <v>152</v>
      </c>
      <c r="N236" s="58">
        <v>226</v>
      </c>
      <c r="O236" s="18"/>
      <c r="P236" s="18"/>
    </row>
    <row r="237" spans="1:16" ht="15.75" customHeight="1" x14ac:dyDescent="0.35">
      <c r="A237" s="18"/>
      <c r="B237" s="18"/>
      <c r="C237" s="19"/>
      <c r="D237" s="20">
        <v>44196</v>
      </c>
      <c r="E237" s="48" t="s">
        <v>51</v>
      </c>
      <c r="F237" s="18" t="s">
        <v>38</v>
      </c>
      <c r="G237" s="18"/>
      <c r="H237" s="18"/>
      <c r="I237" s="18" t="s">
        <v>45</v>
      </c>
      <c r="J237" s="21">
        <v>130</v>
      </c>
      <c r="K237" s="18"/>
      <c r="L237" s="18">
        <f>23913-23885</f>
        <v>28</v>
      </c>
      <c r="M237" s="58">
        <v>170</v>
      </c>
      <c r="N237" s="58">
        <v>220</v>
      </c>
      <c r="O237" s="18">
        <v>-35</v>
      </c>
      <c r="P237" s="18"/>
    </row>
    <row r="238" spans="1:16" ht="15.75" customHeight="1" x14ac:dyDescent="0.35">
      <c r="A238" s="18"/>
      <c r="B238" s="18"/>
      <c r="C238" s="19"/>
      <c r="D238" s="20">
        <v>44197</v>
      </c>
      <c r="E238" s="48" t="s">
        <v>51</v>
      </c>
      <c r="F238" s="18" t="s">
        <v>39</v>
      </c>
      <c r="G238" s="18"/>
      <c r="H238" s="18"/>
      <c r="I238" s="18"/>
      <c r="J238" s="21"/>
      <c r="K238" s="18"/>
      <c r="L238" s="18"/>
      <c r="M238" s="18"/>
      <c r="N238" s="18"/>
      <c r="O238" s="18"/>
      <c r="P238" s="18"/>
    </row>
    <row r="239" spans="1:16" ht="15.75" customHeight="1" x14ac:dyDescent="0.35">
      <c r="A239" s="18"/>
      <c r="B239" s="18"/>
      <c r="C239" s="19"/>
      <c r="D239" s="20">
        <v>44198</v>
      </c>
      <c r="E239" s="48" t="s">
        <v>51</v>
      </c>
      <c r="F239" s="18" t="s">
        <v>23</v>
      </c>
      <c r="G239" s="18"/>
      <c r="H239" s="18"/>
      <c r="I239" s="18"/>
      <c r="J239" s="21"/>
      <c r="K239" s="18"/>
      <c r="L239" s="18"/>
      <c r="M239" s="18"/>
      <c r="N239" s="18"/>
      <c r="O239" s="18"/>
      <c r="P239" s="18"/>
    </row>
    <row r="240" spans="1:16" ht="15.75" customHeight="1" x14ac:dyDescent="0.45">
      <c r="A240" s="59">
        <v>53</v>
      </c>
      <c r="B240" s="59">
        <f>SUM(B233:B239)</f>
        <v>342.35999999999996</v>
      </c>
      <c r="C240" s="60"/>
      <c r="D240" s="61"/>
      <c r="E240" s="13"/>
      <c r="F240" s="40" t="s">
        <v>28</v>
      </c>
      <c r="G240" s="40"/>
      <c r="H240" s="40"/>
      <c r="I240" s="40"/>
      <c r="J240" s="41">
        <f t="shared" ref="J240:O240" si="23">SUM(J233:J239)</f>
        <v>520</v>
      </c>
      <c r="K240" s="42">
        <f t="shared" si="23"/>
        <v>0</v>
      </c>
      <c r="L240" s="42">
        <f t="shared" si="23"/>
        <v>134</v>
      </c>
      <c r="M240" s="42">
        <f t="shared" si="23"/>
        <v>673</v>
      </c>
      <c r="N240" s="42">
        <f t="shared" si="23"/>
        <v>856</v>
      </c>
      <c r="O240" s="42">
        <f t="shared" si="23"/>
        <v>-80</v>
      </c>
      <c r="P240" s="62"/>
    </row>
    <row r="241" spans="1:16" ht="15.75" customHeight="1" x14ac:dyDescent="0.35">
      <c r="A241" s="36"/>
      <c r="B241" s="36"/>
      <c r="C241" s="37"/>
      <c r="D241" s="38">
        <v>44199</v>
      </c>
      <c r="E241" s="43" t="s">
        <v>52</v>
      </c>
      <c r="F241" s="36" t="s">
        <v>24</v>
      </c>
      <c r="G241" s="36"/>
      <c r="H241" s="36"/>
      <c r="I241" s="36" t="s">
        <v>45</v>
      </c>
      <c r="J241" s="39">
        <v>130</v>
      </c>
      <c r="K241" s="36">
        <v>40</v>
      </c>
      <c r="L241" s="36">
        <f>24001-23971</f>
        <v>30</v>
      </c>
      <c r="M241" s="44">
        <v>178</v>
      </c>
      <c r="N241" s="44">
        <v>234</v>
      </c>
      <c r="O241" s="36"/>
      <c r="P241" s="36"/>
    </row>
    <row r="242" spans="1:16" ht="15.75" customHeight="1" x14ac:dyDescent="0.35">
      <c r="A242" s="36"/>
      <c r="B242" s="36"/>
      <c r="C242" s="37"/>
      <c r="D242" s="38">
        <v>44200</v>
      </c>
      <c r="E242" s="43" t="s">
        <v>42</v>
      </c>
      <c r="F242" s="36" t="s">
        <v>35</v>
      </c>
      <c r="G242" s="36"/>
      <c r="H242" s="36"/>
      <c r="I242" s="36" t="s">
        <v>49</v>
      </c>
      <c r="J242" s="39">
        <v>130</v>
      </c>
      <c r="K242" s="36"/>
      <c r="L242" s="36">
        <f>24077-24044</f>
        <v>33</v>
      </c>
      <c r="M242" s="44">
        <v>179</v>
      </c>
      <c r="N242" s="44">
        <v>217</v>
      </c>
      <c r="O242" s="36">
        <v>-10</v>
      </c>
      <c r="P242" s="36"/>
    </row>
    <row r="243" spans="1:16" ht="15.75" customHeight="1" x14ac:dyDescent="0.35">
      <c r="A243" s="36"/>
      <c r="B243" s="36">
        <v>301.68</v>
      </c>
      <c r="C243" s="37"/>
      <c r="D243" s="38">
        <v>44201</v>
      </c>
      <c r="E243" s="43" t="s">
        <v>52</v>
      </c>
      <c r="F243" s="36" t="s">
        <v>36</v>
      </c>
      <c r="G243" s="36"/>
      <c r="H243" s="36"/>
      <c r="I243" s="36" t="s">
        <v>45</v>
      </c>
      <c r="J243" s="39">
        <v>90</v>
      </c>
      <c r="K243" s="36">
        <v>23</v>
      </c>
      <c r="L243" s="36">
        <v>0</v>
      </c>
      <c r="M243" s="36"/>
      <c r="N243" s="36"/>
      <c r="O243" s="36"/>
      <c r="P243" s="36"/>
    </row>
    <row r="244" spans="1:16" ht="15.75" customHeight="1" x14ac:dyDescent="0.35">
      <c r="A244" s="36"/>
      <c r="B244" s="36">
        <v>341.08</v>
      </c>
      <c r="C244" s="37"/>
      <c r="D244" s="38">
        <v>44202</v>
      </c>
      <c r="E244" s="43" t="s">
        <v>53</v>
      </c>
      <c r="F244" s="36" t="s">
        <v>37</v>
      </c>
      <c r="G244" s="36"/>
      <c r="H244" s="36"/>
      <c r="I244" s="36" t="s">
        <v>49</v>
      </c>
      <c r="J244" s="39">
        <v>130</v>
      </c>
      <c r="K244" s="36"/>
      <c r="L244" s="36">
        <f>24311-24266</f>
        <v>45</v>
      </c>
      <c r="M244" s="36"/>
      <c r="N244" s="36"/>
      <c r="O244" s="36">
        <v>-27</v>
      </c>
      <c r="P244" s="64"/>
    </row>
    <row r="245" spans="1:16" ht="15.75" customHeight="1" x14ac:dyDescent="0.35">
      <c r="A245" s="36"/>
      <c r="B245" s="36"/>
      <c r="C245" s="37"/>
      <c r="D245" s="38">
        <v>44203</v>
      </c>
      <c r="E245" s="43" t="s">
        <v>52</v>
      </c>
      <c r="F245" s="36" t="s">
        <v>38</v>
      </c>
      <c r="G245" s="36"/>
      <c r="H245" s="36"/>
      <c r="I245" s="36" t="s">
        <v>45</v>
      </c>
      <c r="J245" s="39">
        <v>130</v>
      </c>
      <c r="K245" s="36"/>
      <c r="L245" s="36">
        <f>24418-24363</f>
        <v>55</v>
      </c>
      <c r="M245" s="44">
        <v>170</v>
      </c>
      <c r="N245" s="44">
        <v>196</v>
      </c>
      <c r="O245" s="36"/>
      <c r="P245" s="36"/>
    </row>
    <row r="246" spans="1:16" ht="15.75" customHeight="1" x14ac:dyDescent="0.35">
      <c r="A246" s="36"/>
      <c r="B246" s="36"/>
      <c r="C246" s="37"/>
      <c r="D246" s="38">
        <v>44204</v>
      </c>
      <c r="E246" s="43" t="s">
        <v>51</v>
      </c>
      <c r="F246" s="36" t="s">
        <v>39</v>
      </c>
      <c r="G246" s="36"/>
      <c r="H246" s="36"/>
      <c r="I246" s="36" t="s">
        <v>45</v>
      </c>
      <c r="J246" s="39">
        <v>130</v>
      </c>
      <c r="K246" s="36"/>
      <c r="L246" s="36">
        <f>24510-24465</f>
        <v>45</v>
      </c>
      <c r="M246" s="44">
        <v>149</v>
      </c>
      <c r="N246" s="44">
        <v>178</v>
      </c>
      <c r="O246" s="36">
        <f>(-7.99-35)</f>
        <v>-42.99</v>
      </c>
      <c r="P246" s="36"/>
    </row>
    <row r="247" spans="1:16" ht="15.75" customHeight="1" x14ac:dyDescent="0.35">
      <c r="A247" s="36"/>
      <c r="B247" s="36"/>
      <c r="C247" s="37"/>
      <c r="D247" s="38">
        <v>44205</v>
      </c>
      <c r="E247" s="43" t="s">
        <v>42</v>
      </c>
      <c r="F247" s="36" t="s">
        <v>23</v>
      </c>
      <c r="G247" s="36"/>
      <c r="H247" s="36"/>
      <c r="I247" s="36"/>
      <c r="J247" s="39"/>
      <c r="K247" s="36"/>
      <c r="L247" s="36"/>
      <c r="M247" s="36"/>
      <c r="N247" s="36"/>
      <c r="O247" s="36"/>
      <c r="P247" s="36"/>
    </row>
    <row r="248" spans="1:16" ht="15.75" customHeight="1" x14ac:dyDescent="0.45">
      <c r="A248" s="59">
        <v>1</v>
      </c>
      <c r="B248" s="59">
        <f>SUM(B241:B247)</f>
        <v>642.76</v>
      </c>
      <c r="C248" s="60"/>
      <c r="D248" s="61"/>
      <c r="E248" s="13"/>
      <c r="F248" s="40" t="s">
        <v>28</v>
      </c>
      <c r="G248" s="40"/>
      <c r="H248" s="40"/>
      <c r="I248" s="40"/>
      <c r="J248" s="41">
        <f t="shared" ref="J248:O248" si="24">SUM(J241:J247)</f>
        <v>740</v>
      </c>
      <c r="K248" s="42">
        <f t="shared" si="24"/>
        <v>63</v>
      </c>
      <c r="L248" s="42">
        <f t="shared" si="24"/>
        <v>208</v>
      </c>
      <c r="M248" s="42">
        <f t="shared" si="24"/>
        <v>676</v>
      </c>
      <c r="N248" s="42">
        <f t="shared" si="24"/>
        <v>825</v>
      </c>
      <c r="O248" s="42">
        <f t="shared" si="24"/>
        <v>-79.990000000000009</v>
      </c>
      <c r="P248" s="62"/>
    </row>
    <row r="249" spans="1:16" ht="15.75" customHeight="1" x14ac:dyDescent="0.35">
      <c r="A249" s="18"/>
      <c r="B249" s="18"/>
      <c r="C249" s="19"/>
      <c r="D249" s="20">
        <v>44206</v>
      </c>
      <c r="E249" s="48" t="s">
        <v>42</v>
      </c>
      <c r="F249" s="18" t="s">
        <v>24</v>
      </c>
      <c r="G249" s="18"/>
      <c r="H249" s="18"/>
      <c r="I249" s="18"/>
      <c r="J249" s="21"/>
      <c r="K249" s="18"/>
      <c r="L249" s="18"/>
      <c r="M249" s="18"/>
      <c r="N249" s="18"/>
      <c r="O249" s="18"/>
      <c r="P249" s="18"/>
    </row>
    <row r="250" spans="1:16" ht="15.75" customHeight="1" x14ac:dyDescent="0.35">
      <c r="A250" s="18"/>
      <c r="B250" s="18">
        <v>156.96</v>
      </c>
      <c r="C250" s="19"/>
      <c r="D250" s="20">
        <v>44207</v>
      </c>
      <c r="E250" s="48" t="s">
        <v>53</v>
      </c>
      <c r="F250" s="18" t="s">
        <v>35</v>
      </c>
      <c r="G250" s="18"/>
      <c r="H250" s="18"/>
      <c r="I250" s="18" t="s">
        <v>45</v>
      </c>
      <c r="J250" s="21">
        <v>130</v>
      </c>
      <c r="K250" s="18"/>
      <c r="L250" s="18">
        <f>24616-24564</f>
        <v>52</v>
      </c>
      <c r="M250" s="58">
        <v>188</v>
      </c>
      <c r="N250" s="58">
        <v>212</v>
      </c>
      <c r="O250" s="18"/>
      <c r="P250" s="18"/>
    </row>
    <row r="251" spans="1:16" ht="15.75" customHeight="1" x14ac:dyDescent="0.35">
      <c r="A251" s="18"/>
      <c r="B251" s="18">
        <v>281.83999999999997</v>
      </c>
      <c r="C251" s="19"/>
      <c r="D251" s="20">
        <v>44208</v>
      </c>
      <c r="E251" s="48" t="s">
        <v>52</v>
      </c>
      <c r="F251" s="18" t="s">
        <v>36</v>
      </c>
      <c r="G251" s="18"/>
      <c r="H251" s="18"/>
      <c r="I251" s="18" t="s">
        <v>49</v>
      </c>
      <c r="J251" s="21">
        <v>130</v>
      </c>
      <c r="K251" s="18"/>
      <c r="L251" s="18">
        <f>24722-24660</f>
        <v>62</v>
      </c>
      <c r="M251" s="18"/>
      <c r="N251" s="18"/>
      <c r="O251" s="18">
        <v>-35</v>
      </c>
      <c r="P251" s="18"/>
    </row>
    <row r="252" spans="1:16" ht="15.75" customHeight="1" x14ac:dyDescent="0.35">
      <c r="A252" s="18"/>
      <c r="B252" s="18">
        <v>300</v>
      </c>
      <c r="C252" s="19"/>
      <c r="D252" s="20">
        <v>44209</v>
      </c>
      <c r="E252" s="48" t="s">
        <v>42</v>
      </c>
      <c r="F252" s="18" t="s">
        <v>37</v>
      </c>
      <c r="G252" s="18"/>
      <c r="H252" s="18"/>
      <c r="I252" s="18"/>
      <c r="J252" s="21"/>
      <c r="K252" s="18"/>
      <c r="L252" s="18"/>
      <c r="M252" s="18"/>
      <c r="N252" s="18"/>
      <c r="O252" s="18"/>
      <c r="P252" s="18"/>
    </row>
    <row r="253" spans="1:16" ht="15.75" customHeight="1" x14ac:dyDescent="0.35">
      <c r="A253" s="18"/>
      <c r="B253" s="18">
        <v>300</v>
      </c>
      <c r="C253" s="19"/>
      <c r="D253" s="20">
        <v>44210</v>
      </c>
      <c r="E253" s="48" t="s">
        <v>56</v>
      </c>
      <c r="F253" s="18" t="s">
        <v>38</v>
      </c>
      <c r="G253" s="18"/>
      <c r="H253" s="18"/>
      <c r="I253" s="18" t="s">
        <v>49</v>
      </c>
      <c r="J253" s="21">
        <v>130</v>
      </c>
      <c r="K253" s="18"/>
      <c r="L253" s="18">
        <f>24807-24780</f>
        <v>27</v>
      </c>
      <c r="M253" s="18"/>
      <c r="N253" s="18"/>
      <c r="O253" s="18"/>
      <c r="P253" s="18"/>
    </row>
    <row r="254" spans="1:16" ht="15.75" customHeight="1" x14ac:dyDescent="0.35">
      <c r="A254" s="18"/>
      <c r="B254" s="18"/>
      <c r="C254" s="19"/>
      <c r="D254" s="20">
        <v>44211</v>
      </c>
      <c r="E254" s="48" t="s">
        <v>57</v>
      </c>
      <c r="F254" s="18" t="s">
        <v>39</v>
      </c>
      <c r="G254" s="18"/>
      <c r="H254" s="18"/>
      <c r="I254" s="18" t="s">
        <v>45</v>
      </c>
      <c r="J254" s="21">
        <v>130</v>
      </c>
      <c r="K254" s="18"/>
      <c r="L254" s="18">
        <f>24890-24840</f>
        <v>50</v>
      </c>
      <c r="M254" s="18"/>
      <c r="N254" s="18"/>
      <c r="O254" s="18"/>
      <c r="P254" s="18"/>
    </row>
    <row r="255" spans="1:16" ht="15.75" customHeight="1" x14ac:dyDescent="0.35">
      <c r="A255" s="18"/>
      <c r="B255" s="18"/>
      <c r="C255" s="19"/>
      <c r="D255" s="20">
        <v>44212</v>
      </c>
      <c r="E255" s="48" t="s">
        <v>42</v>
      </c>
      <c r="F255" s="18" t="s">
        <v>23</v>
      </c>
      <c r="G255" s="18"/>
      <c r="H255" s="18"/>
      <c r="I255" s="18" t="s">
        <v>45</v>
      </c>
      <c r="J255" s="21">
        <v>80</v>
      </c>
      <c r="K255" s="18"/>
      <c r="L255" s="18">
        <f>24968-24943</f>
        <v>25</v>
      </c>
      <c r="M255" s="18"/>
      <c r="N255" s="18"/>
      <c r="O255" s="18">
        <v>-35</v>
      </c>
      <c r="P255" s="18"/>
    </row>
    <row r="256" spans="1:16" ht="15.75" customHeight="1" x14ac:dyDescent="0.45">
      <c r="A256" s="59">
        <v>2</v>
      </c>
      <c r="B256" s="59">
        <f>SUM(B249:B255)</f>
        <v>1038.8</v>
      </c>
      <c r="C256" s="60"/>
      <c r="D256" s="61"/>
      <c r="E256" s="13"/>
      <c r="F256" s="40" t="s">
        <v>28</v>
      </c>
      <c r="G256" s="40"/>
      <c r="H256" s="40"/>
      <c r="I256" s="40"/>
      <c r="J256" s="41">
        <f t="shared" ref="J256:O256" si="25">SUM(J249:J255)</f>
        <v>600</v>
      </c>
      <c r="K256" s="42">
        <f t="shared" si="25"/>
        <v>0</v>
      </c>
      <c r="L256" s="42">
        <f t="shared" si="25"/>
        <v>216</v>
      </c>
      <c r="M256" s="42">
        <f t="shared" si="25"/>
        <v>188</v>
      </c>
      <c r="N256" s="42">
        <f t="shared" si="25"/>
        <v>212</v>
      </c>
      <c r="O256" s="42">
        <f t="shared" si="25"/>
        <v>-70</v>
      </c>
      <c r="P256" s="62"/>
    </row>
    <row r="257" spans="1:16" ht="15.75" customHeight="1" x14ac:dyDescent="0.35">
      <c r="A257" s="36"/>
      <c r="B257" s="36"/>
      <c r="C257" s="37"/>
      <c r="D257" s="38">
        <v>44213</v>
      </c>
      <c r="E257" s="43" t="s">
        <v>57</v>
      </c>
      <c r="F257" s="36" t="s">
        <v>24</v>
      </c>
      <c r="G257" s="36"/>
      <c r="H257" s="36"/>
      <c r="I257" s="36" t="s">
        <v>49</v>
      </c>
      <c r="J257" s="39">
        <v>130</v>
      </c>
      <c r="K257" s="36"/>
      <c r="L257" s="36">
        <f>24041-24009</f>
        <v>32</v>
      </c>
      <c r="M257" s="44">
        <v>186</v>
      </c>
      <c r="N257" s="44">
        <v>275</v>
      </c>
      <c r="O257" s="36"/>
      <c r="P257" s="36"/>
    </row>
    <row r="258" spans="1:16" ht="15.75" customHeight="1" x14ac:dyDescent="0.35">
      <c r="A258" s="36"/>
      <c r="B258" s="36"/>
      <c r="C258" s="37"/>
      <c r="D258" s="38">
        <v>44214</v>
      </c>
      <c r="E258" s="43" t="s">
        <v>42</v>
      </c>
      <c r="F258" s="36" t="s">
        <v>35</v>
      </c>
      <c r="G258" s="36"/>
      <c r="H258" s="36"/>
      <c r="I258" s="36"/>
      <c r="J258" s="39"/>
      <c r="K258" s="36"/>
      <c r="L258" s="36"/>
      <c r="M258" s="36"/>
      <c r="N258" s="36"/>
      <c r="O258" s="36"/>
      <c r="P258" s="36"/>
    </row>
    <row r="259" spans="1:16" ht="15.75" customHeight="1" x14ac:dyDescent="0.35">
      <c r="A259" s="36"/>
      <c r="B259" s="36">
        <v>268.33999999999997</v>
      </c>
      <c r="C259" s="37"/>
      <c r="D259" s="38">
        <v>44215</v>
      </c>
      <c r="E259" s="43" t="s">
        <v>56</v>
      </c>
      <c r="F259" s="36" t="s">
        <v>36</v>
      </c>
      <c r="G259" s="36"/>
      <c r="H259" s="36"/>
      <c r="I259" s="36" t="s">
        <v>45</v>
      </c>
      <c r="J259" s="39">
        <v>130</v>
      </c>
      <c r="K259" s="36"/>
      <c r="L259" s="36">
        <f>25100-25077</f>
        <v>23</v>
      </c>
      <c r="M259" s="44">
        <v>126</v>
      </c>
      <c r="N259" s="44">
        <v>247</v>
      </c>
      <c r="O259" s="36"/>
      <c r="P259" s="64"/>
    </row>
    <row r="260" spans="1:16" ht="15.75" customHeight="1" x14ac:dyDescent="0.35">
      <c r="A260" s="36"/>
      <c r="B260" s="36">
        <v>139.47999999999999</v>
      </c>
      <c r="C260" s="37"/>
      <c r="D260" s="38">
        <v>44216</v>
      </c>
      <c r="E260" s="43" t="s">
        <v>57</v>
      </c>
      <c r="F260" s="36" t="s">
        <v>37</v>
      </c>
      <c r="G260" s="36"/>
      <c r="H260" s="36"/>
      <c r="I260" s="36" t="s">
        <v>49</v>
      </c>
      <c r="J260" s="39">
        <f>35+15+28</f>
        <v>78</v>
      </c>
      <c r="K260" s="36"/>
      <c r="L260" s="36">
        <v>10</v>
      </c>
      <c r="M260" s="36"/>
      <c r="N260" s="36"/>
      <c r="O260" s="36"/>
      <c r="P260" s="36"/>
    </row>
    <row r="261" spans="1:16" ht="15.75" customHeight="1" x14ac:dyDescent="0.35">
      <c r="A261" s="36"/>
      <c r="B261" s="36"/>
      <c r="C261" s="37"/>
      <c r="D261" s="38">
        <v>44217</v>
      </c>
      <c r="E261" s="43" t="s">
        <v>58</v>
      </c>
      <c r="F261" s="36" t="s">
        <v>38</v>
      </c>
      <c r="G261" s="36"/>
      <c r="H261" s="36"/>
      <c r="I261" s="36" t="s">
        <v>45</v>
      </c>
      <c r="J261" s="39">
        <v>130</v>
      </c>
      <c r="K261" s="36"/>
      <c r="L261" s="36">
        <f>25216-25172</f>
        <v>44</v>
      </c>
      <c r="M261" s="44">
        <v>172</v>
      </c>
      <c r="N261" s="44">
        <v>196</v>
      </c>
      <c r="O261" s="36">
        <v>-37</v>
      </c>
      <c r="P261" s="36"/>
    </row>
    <row r="262" spans="1:16" ht="15.75" customHeight="1" x14ac:dyDescent="0.35">
      <c r="A262" s="36"/>
      <c r="B262" s="36"/>
      <c r="C262" s="37"/>
      <c r="D262" s="38">
        <v>44218</v>
      </c>
      <c r="E262" s="43" t="s">
        <v>42</v>
      </c>
      <c r="F262" s="36" t="s">
        <v>39</v>
      </c>
      <c r="G262" s="36"/>
      <c r="H262" s="36"/>
      <c r="I262" s="36" t="s">
        <v>49</v>
      </c>
      <c r="J262" s="39"/>
      <c r="K262" s="36"/>
      <c r="L262" s="36"/>
      <c r="M262" s="36"/>
      <c r="N262" s="36"/>
      <c r="O262" s="36"/>
      <c r="P262" s="36"/>
    </row>
    <row r="263" spans="1:16" ht="15.75" customHeight="1" x14ac:dyDescent="0.35">
      <c r="A263" s="36"/>
      <c r="B263" s="36"/>
      <c r="C263" s="37"/>
      <c r="D263" s="38">
        <v>44219</v>
      </c>
      <c r="E263" s="43" t="s">
        <v>56</v>
      </c>
      <c r="F263" s="36" t="s">
        <v>23</v>
      </c>
      <c r="G263" s="36"/>
      <c r="H263" s="36"/>
      <c r="I263" s="36" t="s">
        <v>45</v>
      </c>
      <c r="J263" s="39">
        <v>65</v>
      </c>
      <c r="K263" s="36"/>
      <c r="L263" s="36"/>
      <c r="M263" s="36"/>
      <c r="N263" s="36"/>
      <c r="O263" s="36"/>
      <c r="P263" s="36"/>
    </row>
    <row r="264" spans="1:16" ht="15.75" customHeight="1" x14ac:dyDescent="0.45">
      <c r="A264" s="59">
        <v>3</v>
      </c>
      <c r="B264" s="59">
        <f>SUM(B257:B263)</f>
        <v>407.81999999999994</v>
      </c>
      <c r="C264" s="60"/>
      <c r="D264" s="61"/>
      <c r="E264" s="13"/>
      <c r="F264" s="40" t="s">
        <v>28</v>
      </c>
      <c r="G264" s="40"/>
      <c r="H264" s="40"/>
      <c r="I264" s="40"/>
      <c r="J264" s="41">
        <f t="shared" ref="J264:O264" si="26">SUM(J257:J263)</f>
        <v>533</v>
      </c>
      <c r="K264" s="42">
        <f t="shared" si="26"/>
        <v>0</v>
      </c>
      <c r="L264" s="42">
        <f t="shared" si="26"/>
        <v>109</v>
      </c>
      <c r="M264" s="42">
        <f t="shared" si="26"/>
        <v>484</v>
      </c>
      <c r="N264" s="42">
        <f t="shared" si="26"/>
        <v>718</v>
      </c>
      <c r="O264" s="42">
        <f t="shared" si="26"/>
        <v>-37</v>
      </c>
      <c r="P264" s="62"/>
    </row>
    <row r="265" spans="1:16" ht="15.75" customHeight="1" x14ac:dyDescent="0.35">
      <c r="A265" s="18"/>
      <c r="B265" s="18"/>
      <c r="C265" s="19"/>
      <c r="D265" s="20">
        <v>44220</v>
      </c>
      <c r="E265" s="48" t="s">
        <v>33</v>
      </c>
      <c r="F265" s="18" t="s">
        <v>24</v>
      </c>
      <c r="G265" s="18"/>
      <c r="H265" s="18"/>
      <c r="I265" s="18" t="s">
        <v>49</v>
      </c>
      <c r="J265" s="21">
        <v>130</v>
      </c>
      <c r="K265" s="18"/>
      <c r="L265" s="18">
        <v>30</v>
      </c>
      <c r="M265" s="18"/>
      <c r="N265" s="18"/>
      <c r="O265" s="18">
        <v>-15</v>
      </c>
      <c r="P265" s="18"/>
    </row>
    <row r="266" spans="1:16" ht="15.75" customHeight="1" x14ac:dyDescent="0.35">
      <c r="A266" s="18"/>
      <c r="B266" s="18">
        <v>408.84</v>
      </c>
      <c r="C266" s="19"/>
      <c r="D266" s="20">
        <v>44221</v>
      </c>
      <c r="E266" s="48" t="s">
        <v>42</v>
      </c>
      <c r="F266" s="18" t="s">
        <v>35</v>
      </c>
      <c r="G266" s="18"/>
      <c r="H266" s="63"/>
      <c r="I266" s="18"/>
      <c r="J266" s="21"/>
      <c r="K266" s="18"/>
      <c r="L266" s="18"/>
      <c r="M266" s="18"/>
      <c r="N266" s="18"/>
      <c r="O266" s="18"/>
      <c r="P266" s="18"/>
    </row>
    <row r="267" spans="1:16" ht="15.75" customHeight="1" x14ac:dyDescent="0.35">
      <c r="A267" s="18"/>
      <c r="B267" s="18">
        <v>-2.6</v>
      </c>
      <c r="C267" s="19"/>
      <c r="D267" s="20">
        <v>44222</v>
      </c>
      <c r="E267" s="48" t="s">
        <v>59</v>
      </c>
      <c r="F267" s="18" t="s">
        <v>36</v>
      </c>
      <c r="G267" s="18"/>
      <c r="H267" s="18"/>
      <c r="I267" s="18" t="s">
        <v>45</v>
      </c>
      <c r="J267" s="21">
        <v>130</v>
      </c>
      <c r="K267" s="18"/>
      <c r="L267" s="18">
        <f>25457-25439</f>
        <v>18</v>
      </c>
      <c r="M267" s="58">
        <v>97</v>
      </c>
      <c r="N267" s="58">
        <v>246</v>
      </c>
      <c r="O267" s="18">
        <v>-35</v>
      </c>
      <c r="P267" s="18"/>
    </row>
    <row r="268" spans="1:16" ht="15.75" customHeight="1" x14ac:dyDescent="0.35">
      <c r="A268" s="18"/>
      <c r="B268" s="18"/>
      <c r="C268" s="19"/>
      <c r="D268" s="20">
        <v>44223</v>
      </c>
      <c r="E268" s="48" t="s">
        <v>59</v>
      </c>
      <c r="F268" s="18" t="s">
        <v>37</v>
      </c>
      <c r="G268" s="18"/>
      <c r="H268" s="18"/>
      <c r="I268" s="18"/>
      <c r="J268" s="21"/>
      <c r="K268" s="18"/>
      <c r="L268" s="18"/>
      <c r="M268" s="18"/>
      <c r="N268" s="18"/>
      <c r="O268" s="18"/>
      <c r="P268" s="18"/>
    </row>
    <row r="269" spans="1:16" ht="15.75" customHeight="1" x14ac:dyDescent="0.35">
      <c r="A269" s="18"/>
      <c r="B269" s="18"/>
      <c r="C269" s="19"/>
      <c r="D269" s="20">
        <v>44224</v>
      </c>
      <c r="E269" s="48" t="s">
        <v>59</v>
      </c>
      <c r="F269" s="18" t="s">
        <v>38</v>
      </c>
      <c r="G269" s="18"/>
      <c r="H269" s="18"/>
      <c r="I269" s="18" t="s">
        <v>49</v>
      </c>
      <c r="J269" s="21">
        <v>130</v>
      </c>
      <c r="K269" s="18"/>
      <c r="L269" s="18">
        <f>25550-25525</f>
        <v>25</v>
      </c>
      <c r="M269" s="58">
        <v>145</v>
      </c>
      <c r="N269" s="58">
        <v>292</v>
      </c>
      <c r="O269" s="18"/>
      <c r="P269" s="18"/>
    </row>
    <row r="270" spans="1:16" ht="15.75" customHeight="1" x14ac:dyDescent="0.35">
      <c r="A270" s="18"/>
      <c r="B270" s="18"/>
      <c r="C270" s="19"/>
      <c r="D270" s="20">
        <v>44225</v>
      </c>
      <c r="E270" s="48" t="s">
        <v>59</v>
      </c>
      <c r="F270" s="18" t="s">
        <v>39</v>
      </c>
      <c r="G270" s="18"/>
      <c r="H270" s="18"/>
      <c r="I270" s="18" t="s">
        <v>49</v>
      </c>
      <c r="J270" s="21">
        <v>130</v>
      </c>
      <c r="K270" s="18"/>
      <c r="L270" s="63">
        <f>25605-25582</f>
        <v>23</v>
      </c>
      <c r="M270" s="66">
        <v>110</v>
      </c>
      <c r="N270" s="66">
        <v>245</v>
      </c>
      <c r="O270" s="18"/>
      <c r="P270" s="18"/>
    </row>
    <row r="271" spans="1:16" ht="15.75" customHeight="1" x14ac:dyDescent="0.35">
      <c r="A271" s="18"/>
      <c r="B271" s="18"/>
      <c r="C271" s="19"/>
      <c r="D271" s="20">
        <v>44226</v>
      </c>
      <c r="E271" s="48" t="s">
        <v>59</v>
      </c>
      <c r="F271" s="18" t="s">
        <v>23</v>
      </c>
      <c r="G271" s="18"/>
      <c r="H271" s="18"/>
      <c r="I271" s="18" t="s">
        <v>45</v>
      </c>
      <c r="J271" s="21">
        <v>65</v>
      </c>
      <c r="K271" s="18"/>
      <c r="L271" s="18">
        <v>9</v>
      </c>
      <c r="M271" s="58">
        <v>79</v>
      </c>
      <c r="N271" s="58">
        <v>143</v>
      </c>
      <c r="O271" s="18">
        <v>-35</v>
      </c>
      <c r="P271" s="18"/>
    </row>
    <row r="272" spans="1:16" ht="15.75" customHeight="1" x14ac:dyDescent="0.45">
      <c r="A272" s="59">
        <v>4</v>
      </c>
      <c r="B272" s="59">
        <f>SUM(B265:B271)</f>
        <v>406.23999999999995</v>
      </c>
      <c r="C272" s="60"/>
      <c r="D272" s="61"/>
      <c r="E272" s="13"/>
      <c r="F272" s="40" t="s">
        <v>28</v>
      </c>
      <c r="G272" s="40"/>
      <c r="H272" s="40"/>
      <c r="I272" s="40"/>
      <c r="J272" s="41">
        <f t="shared" ref="J272:O272" si="27">SUM(J265:J271)</f>
        <v>585</v>
      </c>
      <c r="K272" s="42">
        <f t="shared" si="27"/>
        <v>0</v>
      </c>
      <c r="L272" s="42">
        <f t="shared" si="27"/>
        <v>105</v>
      </c>
      <c r="M272" s="42">
        <f t="shared" si="27"/>
        <v>431</v>
      </c>
      <c r="N272" s="42">
        <f t="shared" si="27"/>
        <v>926</v>
      </c>
      <c r="O272" s="42">
        <f t="shared" si="27"/>
        <v>-85</v>
      </c>
      <c r="P272" s="62"/>
    </row>
    <row r="273" spans="1:16" ht="15.75" customHeight="1" x14ac:dyDescent="0.35">
      <c r="A273" s="36"/>
      <c r="B273" s="36"/>
      <c r="C273" s="37"/>
      <c r="D273" s="38">
        <v>44227</v>
      </c>
      <c r="E273" s="43" t="s">
        <v>59</v>
      </c>
      <c r="F273" s="36" t="s">
        <v>24</v>
      </c>
      <c r="G273" s="36"/>
      <c r="H273" s="36"/>
      <c r="I273" s="36" t="s">
        <v>49</v>
      </c>
      <c r="J273" s="39">
        <v>130</v>
      </c>
      <c r="K273" s="36"/>
      <c r="L273" s="36">
        <f>25718-25697</f>
        <v>21</v>
      </c>
      <c r="M273" s="44">
        <v>179</v>
      </c>
      <c r="N273" s="44">
        <v>287</v>
      </c>
      <c r="O273" s="36"/>
      <c r="P273" s="36"/>
    </row>
    <row r="274" spans="1:16" ht="15.75" customHeight="1" x14ac:dyDescent="0.35">
      <c r="A274" s="36"/>
      <c r="B274" s="36"/>
      <c r="C274" s="37"/>
      <c r="D274" s="38">
        <v>44228</v>
      </c>
      <c r="E274" s="43" t="s">
        <v>59</v>
      </c>
      <c r="F274" s="36" t="s">
        <v>35</v>
      </c>
      <c r="G274" s="36"/>
      <c r="H274" s="36"/>
      <c r="I274" s="36"/>
      <c r="J274" s="39"/>
      <c r="K274" s="36"/>
      <c r="L274" s="36"/>
      <c r="M274" s="36"/>
      <c r="N274" s="36"/>
      <c r="O274" s="36"/>
      <c r="P274" s="36"/>
    </row>
    <row r="275" spans="1:16" ht="15.75" customHeight="1" x14ac:dyDescent="0.35">
      <c r="A275" s="36"/>
      <c r="B275" s="36">
        <v>89.8</v>
      </c>
      <c r="C275" s="37"/>
      <c r="D275" s="38">
        <v>44229</v>
      </c>
      <c r="E275" s="43" t="s">
        <v>59</v>
      </c>
      <c r="F275" s="36" t="s">
        <v>36</v>
      </c>
      <c r="G275" s="36"/>
      <c r="H275" s="36"/>
      <c r="I275" s="36" t="s">
        <v>45</v>
      </c>
      <c r="J275" s="39">
        <v>130</v>
      </c>
      <c r="K275" s="36"/>
      <c r="L275" s="36">
        <f>25775-25752</f>
        <v>23</v>
      </c>
      <c r="M275" s="44">
        <v>103</v>
      </c>
      <c r="N275" s="44">
        <v>268</v>
      </c>
      <c r="O275" s="36"/>
      <c r="P275" s="36"/>
    </row>
    <row r="276" spans="1:16" ht="15.75" customHeight="1" x14ac:dyDescent="0.35">
      <c r="A276" s="36"/>
      <c r="B276" s="36">
        <v>277.36</v>
      </c>
      <c r="C276" s="37"/>
      <c r="D276" s="38">
        <v>44230</v>
      </c>
      <c r="E276" s="43" t="s">
        <v>59</v>
      </c>
      <c r="F276" s="36" t="s">
        <v>37</v>
      </c>
      <c r="G276" s="36"/>
      <c r="H276" s="36"/>
      <c r="I276" s="36" t="s">
        <v>49</v>
      </c>
      <c r="J276" s="36">
        <v>130</v>
      </c>
      <c r="K276" s="36"/>
      <c r="L276" s="36"/>
      <c r="M276" s="44">
        <v>167</v>
      </c>
      <c r="N276" s="44">
        <v>271</v>
      </c>
      <c r="O276" s="36">
        <v>-35</v>
      </c>
      <c r="P276" s="36"/>
    </row>
    <row r="277" spans="1:16" ht="15.75" customHeight="1" x14ac:dyDescent="0.35">
      <c r="A277" s="36"/>
      <c r="B277" s="36"/>
      <c r="C277" s="37"/>
      <c r="D277" s="38">
        <v>44231</v>
      </c>
      <c r="E277" s="43" t="s">
        <v>59</v>
      </c>
      <c r="F277" s="36" t="s">
        <v>38</v>
      </c>
      <c r="G277" s="36"/>
      <c r="H277" s="36"/>
      <c r="I277" s="36" t="s">
        <v>45</v>
      </c>
      <c r="J277" s="39">
        <v>75</v>
      </c>
      <c r="K277" s="36"/>
      <c r="L277" s="36">
        <f>25992-25969</f>
        <v>23</v>
      </c>
      <c r="M277" s="44">
        <v>191</v>
      </c>
      <c r="N277" s="44">
        <v>342</v>
      </c>
      <c r="O277" s="36"/>
      <c r="P277" s="36"/>
    </row>
    <row r="278" spans="1:16" ht="15.75" customHeight="1" x14ac:dyDescent="0.35">
      <c r="A278" s="36"/>
      <c r="B278" s="36"/>
      <c r="C278" s="37"/>
      <c r="D278" s="38">
        <v>44232</v>
      </c>
      <c r="E278" s="43" t="s">
        <v>59</v>
      </c>
      <c r="F278" s="36" t="s">
        <v>39</v>
      </c>
      <c r="G278" s="36"/>
      <c r="H278" s="36"/>
      <c r="I278" s="36"/>
      <c r="J278" s="39"/>
      <c r="K278" s="36"/>
      <c r="L278" s="36"/>
      <c r="M278" s="36"/>
      <c r="N278" s="36"/>
      <c r="O278" s="36"/>
      <c r="P278" s="36"/>
    </row>
    <row r="279" spans="1:16" ht="15.75" customHeight="1" x14ac:dyDescent="0.35">
      <c r="A279" s="36"/>
      <c r="B279" s="36"/>
      <c r="C279" s="37"/>
      <c r="D279" s="38">
        <v>44233</v>
      </c>
      <c r="E279" s="43" t="s">
        <v>59</v>
      </c>
      <c r="F279" s="36" t="s">
        <v>23</v>
      </c>
      <c r="G279" s="36"/>
      <c r="H279" s="36"/>
      <c r="I279" s="36" t="s">
        <v>45</v>
      </c>
      <c r="J279" s="39">
        <v>75</v>
      </c>
      <c r="K279" s="36"/>
      <c r="L279" s="36">
        <f>25948-25929</f>
        <v>19</v>
      </c>
      <c r="M279" s="44">
        <v>96</v>
      </c>
      <c r="N279" s="44">
        <v>143</v>
      </c>
      <c r="O279" s="36">
        <v>-23</v>
      </c>
      <c r="P279" s="36"/>
    </row>
    <row r="280" spans="1:16" ht="15.75" customHeight="1" x14ac:dyDescent="0.45">
      <c r="A280" s="59">
        <v>5</v>
      </c>
      <c r="B280" s="59">
        <f>SUM(B273:B279)</f>
        <v>367.16</v>
      </c>
      <c r="C280" s="60"/>
      <c r="D280" s="61"/>
      <c r="E280" s="13"/>
      <c r="F280" s="40" t="s">
        <v>28</v>
      </c>
      <c r="G280" s="40"/>
      <c r="H280" s="40"/>
      <c r="I280" s="40"/>
      <c r="J280" s="41">
        <f t="shared" ref="J280:O280" si="28">SUM(J273:J279)</f>
        <v>540</v>
      </c>
      <c r="K280" s="42">
        <f t="shared" si="28"/>
        <v>0</v>
      </c>
      <c r="L280" s="42">
        <f t="shared" si="28"/>
        <v>86</v>
      </c>
      <c r="M280" s="42">
        <f t="shared" si="28"/>
        <v>736</v>
      </c>
      <c r="N280" s="42">
        <f t="shared" si="28"/>
        <v>1311</v>
      </c>
      <c r="O280" s="42">
        <f t="shared" si="28"/>
        <v>-58</v>
      </c>
      <c r="P280" s="62"/>
    </row>
    <row r="281" spans="1:16" ht="15.75" customHeight="1" x14ac:dyDescent="0.35">
      <c r="A281" s="18"/>
      <c r="B281" s="18"/>
      <c r="C281" s="19"/>
      <c r="D281" s="20">
        <v>44234</v>
      </c>
      <c r="E281" s="48" t="s">
        <v>60</v>
      </c>
      <c r="F281" s="18" t="s">
        <v>24</v>
      </c>
      <c r="G281" s="18"/>
      <c r="H281" s="18"/>
      <c r="I281" s="18" t="s">
        <v>45</v>
      </c>
      <c r="J281" s="21">
        <v>130</v>
      </c>
      <c r="K281" s="18">
        <v>28</v>
      </c>
      <c r="L281" s="18">
        <f>26029-25980</f>
        <v>49</v>
      </c>
      <c r="M281" s="58">
        <v>28</v>
      </c>
      <c r="N281" s="58">
        <v>36</v>
      </c>
      <c r="O281" s="18">
        <v>-17</v>
      </c>
      <c r="P281" s="18"/>
    </row>
    <row r="282" spans="1:16" ht="15.75" customHeight="1" x14ac:dyDescent="0.35">
      <c r="A282" s="18"/>
      <c r="B282" s="18"/>
      <c r="C282" s="19"/>
      <c r="D282" s="20">
        <v>44235</v>
      </c>
      <c r="E282" s="48" t="s">
        <v>60</v>
      </c>
      <c r="F282" s="18" t="s">
        <v>35</v>
      </c>
      <c r="G282" s="18"/>
      <c r="H282" s="18"/>
      <c r="I282" s="18" t="s">
        <v>49</v>
      </c>
      <c r="J282" s="21">
        <v>130</v>
      </c>
      <c r="K282" s="18"/>
      <c r="L282" s="18">
        <f>26097-26067</f>
        <v>30</v>
      </c>
      <c r="M282" s="58">
        <v>181</v>
      </c>
      <c r="N282" s="58">
        <v>313</v>
      </c>
      <c r="O282" s="18">
        <v>-23</v>
      </c>
      <c r="P282" s="63"/>
    </row>
    <row r="283" spans="1:16" ht="15.75" customHeight="1" x14ac:dyDescent="0.35">
      <c r="A283" s="18"/>
      <c r="B283" s="18">
        <v>229.27</v>
      </c>
      <c r="C283" s="19"/>
      <c r="D283" s="20">
        <v>44236</v>
      </c>
      <c r="E283" s="48" t="s">
        <v>60</v>
      </c>
      <c r="F283" s="18" t="s">
        <v>36</v>
      </c>
      <c r="G283" s="18"/>
      <c r="H283" s="18"/>
      <c r="I283" s="18" t="s">
        <v>45</v>
      </c>
      <c r="J283" s="21">
        <v>130</v>
      </c>
      <c r="K283" s="18"/>
      <c r="L283" s="18">
        <f>26154-26138</f>
        <v>16</v>
      </c>
      <c r="M283" s="58">
        <v>102</v>
      </c>
      <c r="N283" s="58">
        <v>233</v>
      </c>
      <c r="O283" s="18">
        <v>-21</v>
      </c>
      <c r="P283" s="18"/>
    </row>
    <row r="284" spans="1:16" ht="15.75" customHeight="1" x14ac:dyDescent="0.35">
      <c r="A284" s="18"/>
      <c r="B284" s="18">
        <v>378.79</v>
      </c>
      <c r="C284" s="19"/>
      <c r="D284" s="20">
        <v>44237</v>
      </c>
      <c r="E284" s="48" t="s">
        <v>60</v>
      </c>
      <c r="F284" s="18" t="s">
        <v>37</v>
      </c>
      <c r="G284" s="18"/>
      <c r="H284" s="18"/>
      <c r="I284" s="18" t="s">
        <v>49</v>
      </c>
      <c r="J284" s="21">
        <v>130</v>
      </c>
      <c r="K284" s="18"/>
      <c r="L284" s="18">
        <f>26214-26190</f>
        <v>24</v>
      </c>
      <c r="M284" s="58">
        <v>150</v>
      </c>
      <c r="N284" s="58">
        <v>256</v>
      </c>
      <c r="O284" s="18"/>
      <c r="P284" s="18"/>
    </row>
    <row r="285" spans="1:16" ht="15.75" customHeight="1" x14ac:dyDescent="0.35">
      <c r="A285" s="18"/>
      <c r="B285" s="18"/>
      <c r="C285" s="19"/>
      <c r="D285" s="20">
        <v>44238</v>
      </c>
      <c r="E285" s="48" t="s">
        <v>60</v>
      </c>
      <c r="F285" s="18" t="s">
        <v>38</v>
      </c>
      <c r="G285" s="18"/>
      <c r="H285" s="18"/>
      <c r="I285" s="18"/>
      <c r="J285" s="21"/>
      <c r="K285" s="18"/>
      <c r="L285" s="18"/>
      <c r="M285" s="18"/>
      <c r="N285" s="18"/>
      <c r="O285" s="18"/>
      <c r="P285" s="18"/>
    </row>
    <row r="286" spans="1:16" ht="15.75" customHeight="1" x14ac:dyDescent="0.35">
      <c r="A286" s="18"/>
      <c r="B286" s="18"/>
      <c r="C286" s="19"/>
      <c r="D286" s="20">
        <v>44239</v>
      </c>
      <c r="E286" s="48" t="s">
        <v>60</v>
      </c>
      <c r="F286" s="18" t="s">
        <v>39</v>
      </c>
      <c r="G286" s="18"/>
      <c r="H286" s="18"/>
      <c r="I286" s="18" t="s">
        <v>45</v>
      </c>
      <c r="J286" s="21">
        <v>130</v>
      </c>
      <c r="K286" s="18"/>
      <c r="L286" s="18">
        <f>26265-26248</f>
        <v>17</v>
      </c>
      <c r="M286" s="18"/>
      <c r="N286" s="18"/>
      <c r="O286" s="18">
        <v>-21</v>
      </c>
      <c r="P286" s="18"/>
    </row>
    <row r="287" spans="1:16" ht="15.75" customHeight="1" x14ac:dyDescent="0.35">
      <c r="A287" s="18"/>
      <c r="B287" s="18"/>
      <c r="C287" s="19"/>
      <c r="D287" s="20">
        <v>44240</v>
      </c>
      <c r="E287" s="48" t="s">
        <v>60</v>
      </c>
      <c r="F287" s="18" t="s">
        <v>23</v>
      </c>
      <c r="G287" s="18"/>
      <c r="H287" s="18"/>
      <c r="I287" s="18" t="s">
        <v>49</v>
      </c>
      <c r="J287" s="21">
        <v>100</v>
      </c>
      <c r="K287" s="18"/>
      <c r="L287" s="18">
        <v>25</v>
      </c>
      <c r="M287" s="18"/>
      <c r="N287" s="18"/>
      <c r="O287" s="18"/>
      <c r="P287" s="18"/>
    </row>
    <row r="288" spans="1:16" ht="15.75" customHeight="1" x14ac:dyDescent="0.45">
      <c r="A288" s="59">
        <v>6</v>
      </c>
      <c r="B288" s="59">
        <f>SUM(B281:B287)</f>
        <v>608.06000000000006</v>
      </c>
      <c r="C288" s="60"/>
      <c r="D288" s="61"/>
      <c r="E288" s="13"/>
      <c r="F288" s="40" t="s">
        <v>28</v>
      </c>
      <c r="G288" s="40"/>
      <c r="H288" s="40"/>
      <c r="I288" s="40"/>
      <c r="J288" s="41">
        <f t="shared" ref="J288:O288" si="29">SUM(J281:J287)</f>
        <v>750</v>
      </c>
      <c r="K288" s="42">
        <f t="shared" si="29"/>
        <v>28</v>
      </c>
      <c r="L288" s="42">
        <f t="shared" si="29"/>
        <v>161</v>
      </c>
      <c r="M288" s="42">
        <f t="shared" si="29"/>
        <v>461</v>
      </c>
      <c r="N288" s="42">
        <f t="shared" si="29"/>
        <v>838</v>
      </c>
      <c r="O288" s="42">
        <f t="shared" si="29"/>
        <v>-82</v>
      </c>
      <c r="P288" s="62"/>
    </row>
    <row r="289" spans="1:16" ht="15.75" customHeight="1" x14ac:dyDescent="0.35">
      <c r="A289" s="36"/>
      <c r="B289" s="36"/>
      <c r="C289" s="37"/>
      <c r="D289" s="38">
        <v>44241</v>
      </c>
      <c r="E289" s="43" t="s">
        <v>60</v>
      </c>
      <c r="F289" s="36" t="s">
        <v>24</v>
      </c>
      <c r="G289" s="36"/>
      <c r="H289" s="36"/>
      <c r="I289" s="36" t="s">
        <v>45</v>
      </c>
      <c r="J289" s="39">
        <v>130</v>
      </c>
      <c r="K289" s="36"/>
      <c r="L289" s="36">
        <f>26373-26352</f>
        <v>21</v>
      </c>
      <c r="M289" s="44">
        <v>155</v>
      </c>
      <c r="N289" s="44">
        <v>303</v>
      </c>
      <c r="O289" s="36">
        <f>-21-10</f>
        <v>-31</v>
      </c>
      <c r="P289" s="36"/>
    </row>
    <row r="290" spans="1:16" ht="15.75" customHeight="1" x14ac:dyDescent="0.35">
      <c r="A290" s="36"/>
      <c r="B290" s="36"/>
      <c r="C290" s="37"/>
      <c r="D290" s="38">
        <v>44242</v>
      </c>
      <c r="E290" s="43" t="s">
        <v>60</v>
      </c>
      <c r="F290" s="36" t="s">
        <v>35</v>
      </c>
      <c r="G290" s="36"/>
      <c r="H290" s="36"/>
      <c r="I290" s="36" t="s">
        <v>49</v>
      </c>
      <c r="J290" s="39">
        <v>130</v>
      </c>
      <c r="K290" s="36"/>
      <c r="L290" s="36">
        <f>26430-26408</f>
        <v>22</v>
      </c>
      <c r="M290" s="36"/>
      <c r="N290" s="36"/>
      <c r="O290" s="36">
        <v>-21</v>
      </c>
      <c r="P290" s="36"/>
    </row>
    <row r="291" spans="1:16" ht="15.75" customHeight="1" x14ac:dyDescent="0.35">
      <c r="A291" s="36"/>
      <c r="B291" s="36">
        <v>304.10000000000002</v>
      </c>
      <c r="C291" s="37"/>
      <c r="D291" s="38">
        <v>44243</v>
      </c>
      <c r="E291" s="43" t="s">
        <v>60</v>
      </c>
      <c r="F291" s="36" t="s">
        <v>36</v>
      </c>
      <c r="G291" s="36"/>
      <c r="H291" s="36"/>
      <c r="I291" s="36" t="s">
        <v>45</v>
      </c>
      <c r="J291" s="39">
        <v>130</v>
      </c>
      <c r="K291" s="36"/>
      <c r="L291" s="36">
        <f>26482-26464</f>
        <v>18</v>
      </c>
      <c r="M291" s="44">
        <v>109</v>
      </c>
      <c r="N291" s="44">
        <v>276</v>
      </c>
      <c r="O291" s="36"/>
      <c r="P291" s="36"/>
    </row>
    <row r="292" spans="1:16" ht="15.75" customHeight="1" x14ac:dyDescent="0.35">
      <c r="A292" s="36"/>
      <c r="B292" s="36">
        <v>238.05</v>
      </c>
      <c r="C292" s="37"/>
      <c r="D292" s="38">
        <v>44244</v>
      </c>
      <c r="E292" s="43" t="s">
        <v>46</v>
      </c>
      <c r="F292" s="36" t="s">
        <v>37</v>
      </c>
      <c r="G292" s="36"/>
      <c r="H292" s="36"/>
      <c r="I292" s="36" t="s">
        <v>49</v>
      </c>
      <c r="J292" s="39">
        <v>90</v>
      </c>
      <c r="K292" s="36"/>
      <c r="L292" s="36">
        <v>80</v>
      </c>
      <c r="M292" s="36"/>
      <c r="N292" s="36"/>
      <c r="O292" s="36"/>
      <c r="P292" s="64"/>
    </row>
    <row r="293" spans="1:16" ht="15.75" customHeight="1" x14ac:dyDescent="0.35">
      <c r="A293" s="36"/>
      <c r="B293" s="36"/>
      <c r="C293" s="37"/>
      <c r="D293" s="38">
        <v>44245</v>
      </c>
      <c r="E293" s="43" t="s">
        <v>60</v>
      </c>
      <c r="F293" s="36" t="s">
        <v>38</v>
      </c>
      <c r="G293" s="36"/>
      <c r="H293" s="36"/>
      <c r="I293" s="36" t="s">
        <v>45</v>
      </c>
      <c r="J293" s="39">
        <v>103</v>
      </c>
      <c r="K293" s="36"/>
      <c r="L293" s="36">
        <f>26592-26580</f>
        <v>12</v>
      </c>
      <c r="M293" s="44">
        <v>19</v>
      </c>
      <c r="N293" s="44">
        <v>49</v>
      </c>
      <c r="O293" s="36">
        <v>-9.99</v>
      </c>
      <c r="P293" s="36"/>
    </row>
    <row r="294" spans="1:16" ht="15.75" customHeight="1" x14ac:dyDescent="0.35">
      <c r="A294" s="36"/>
      <c r="B294" s="36"/>
      <c r="C294" s="37"/>
      <c r="D294" s="38">
        <v>44246</v>
      </c>
      <c r="E294" s="43" t="s">
        <v>60</v>
      </c>
      <c r="F294" s="36" t="s">
        <v>39</v>
      </c>
      <c r="G294" s="36"/>
      <c r="H294" s="36"/>
      <c r="I294" s="36" t="s">
        <v>45</v>
      </c>
      <c r="J294" s="39"/>
      <c r="K294" s="36"/>
      <c r="L294" s="36"/>
      <c r="M294" s="36"/>
      <c r="N294" s="36"/>
      <c r="O294" s="36"/>
      <c r="P294" s="36"/>
    </row>
    <row r="295" spans="1:16" ht="15.75" customHeight="1" x14ac:dyDescent="0.35">
      <c r="A295" s="36"/>
      <c r="B295" s="36"/>
      <c r="C295" s="37"/>
      <c r="D295" s="38">
        <v>44247</v>
      </c>
      <c r="E295" s="43" t="s">
        <v>60</v>
      </c>
      <c r="F295" s="36" t="s">
        <v>23</v>
      </c>
      <c r="G295" s="36"/>
      <c r="H295" s="36"/>
      <c r="I295" s="36" t="s">
        <v>45</v>
      </c>
      <c r="J295" s="39">
        <v>130</v>
      </c>
      <c r="K295" s="36"/>
      <c r="L295" s="36">
        <f>26652-26630</f>
        <v>22</v>
      </c>
      <c r="M295" s="44">
        <v>136</v>
      </c>
      <c r="N295" s="44">
        <v>270</v>
      </c>
      <c r="O295" s="36">
        <v>-21</v>
      </c>
      <c r="P295" s="36"/>
    </row>
    <row r="296" spans="1:16" ht="15.75" customHeight="1" x14ac:dyDescent="0.45">
      <c r="A296" s="59">
        <v>7</v>
      </c>
      <c r="B296" s="59">
        <f>SUM(B289:B295)</f>
        <v>542.15000000000009</v>
      </c>
      <c r="C296" s="60"/>
      <c r="D296" s="61"/>
      <c r="E296" s="13"/>
      <c r="F296" s="40" t="s">
        <v>28</v>
      </c>
      <c r="G296" s="40"/>
      <c r="H296" s="40"/>
      <c r="I296" s="40"/>
      <c r="J296" s="41">
        <f t="shared" ref="J296:O296" si="30">SUM(J289:J295)</f>
        <v>713</v>
      </c>
      <c r="K296" s="42">
        <f t="shared" si="30"/>
        <v>0</v>
      </c>
      <c r="L296" s="42">
        <f t="shared" si="30"/>
        <v>175</v>
      </c>
      <c r="M296" s="42">
        <f t="shared" si="30"/>
        <v>419</v>
      </c>
      <c r="N296" s="42">
        <f t="shared" si="30"/>
        <v>898</v>
      </c>
      <c r="O296" s="42">
        <f t="shared" si="30"/>
        <v>-82.990000000000009</v>
      </c>
      <c r="P296" s="62"/>
    </row>
    <row r="297" spans="1:16" ht="15.75" customHeight="1" x14ac:dyDescent="0.35">
      <c r="A297" s="18"/>
      <c r="B297" s="18"/>
      <c r="C297" s="19"/>
      <c r="D297" s="20">
        <v>44248</v>
      </c>
      <c r="E297" s="48" t="s">
        <v>59</v>
      </c>
      <c r="F297" s="18" t="s">
        <v>24</v>
      </c>
      <c r="G297" s="18"/>
      <c r="H297" s="18"/>
      <c r="I297" s="18" t="s">
        <v>45</v>
      </c>
      <c r="J297" s="21">
        <v>130</v>
      </c>
      <c r="K297" s="18">
        <f>14+9+16</f>
        <v>39</v>
      </c>
      <c r="L297" s="18">
        <f>26722-26689</f>
        <v>33</v>
      </c>
      <c r="M297" s="58">
        <v>174</v>
      </c>
      <c r="N297" s="58">
        <v>274</v>
      </c>
      <c r="O297" s="18"/>
      <c r="P297" s="18"/>
    </row>
    <row r="298" spans="1:16" ht="15.75" customHeight="1" x14ac:dyDescent="0.35">
      <c r="A298" s="18"/>
      <c r="B298" s="18"/>
      <c r="C298" s="19"/>
      <c r="D298" s="20">
        <v>44249</v>
      </c>
      <c r="E298" s="48" t="s">
        <v>59</v>
      </c>
      <c r="F298" s="18" t="s">
        <v>35</v>
      </c>
      <c r="G298" s="18"/>
      <c r="H298" s="18"/>
      <c r="I298" s="18"/>
      <c r="J298" s="21"/>
      <c r="K298" s="18"/>
      <c r="L298" s="18"/>
      <c r="M298" s="18"/>
      <c r="N298" s="18"/>
      <c r="O298" s="18"/>
      <c r="P298" s="18"/>
    </row>
    <row r="299" spans="1:16" ht="15.75" customHeight="1" x14ac:dyDescent="0.35">
      <c r="A299" s="18"/>
      <c r="B299" s="18">
        <v>108.71</v>
      </c>
      <c r="C299" s="19"/>
      <c r="D299" s="20">
        <v>44250</v>
      </c>
      <c r="E299" s="48" t="s">
        <v>59</v>
      </c>
      <c r="F299" s="18" t="s">
        <v>36</v>
      </c>
      <c r="G299" s="18"/>
      <c r="H299" s="18"/>
      <c r="I299" s="18" t="s">
        <v>45</v>
      </c>
      <c r="J299" s="21">
        <v>130</v>
      </c>
      <c r="K299" s="18"/>
      <c r="L299" s="18">
        <f>26786-26762</f>
        <v>24</v>
      </c>
      <c r="M299" s="58">
        <v>187</v>
      </c>
      <c r="N299" s="58">
        <v>292</v>
      </c>
      <c r="O299" s="18">
        <v>-21</v>
      </c>
      <c r="P299" s="18"/>
    </row>
    <row r="300" spans="1:16" ht="15.75" customHeight="1" x14ac:dyDescent="0.35">
      <c r="A300" s="18"/>
      <c r="B300" s="18">
        <v>388.73</v>
      </c>
      <c r="C300" s="19"/>
      <c r="D300" s="20">
        <v>44251</v>
      </c>
      <c r="E300" s="48" t="s">
        <v>59</v>
      </c>
      <c r="F300" s="18" t="s">
        <v>37</v>
      </c>
      <c r="G300" s="18"/>
      <c r="H300" s="18"/>
      <c r="I300" s="18" t="s">
        <v>49</v>
      </c>
      <c r="J300" s="21">
        <v>130</v>
      </c>
      <c r="K300" s="18"/>
      <c r="L300" s="18">
        <f>26855-26829</f>
        <v>26</v>
      </c>
      <c r="M300" s="58">
        <v>158</v>
      </c>
      <c r="N300" s="58">
        <v>295</v>
      </c>
      <c r="O300" s="18"/>
      <c r="P300" s="18"/>
    </row>
    <row r="301" spans="1:16" ht="15.75" customHeight="1" x14ac:dyDescent="0.35">
      <c r="A301" s="18"/>
      <c r="B301" s="18"/>
      <c r="C301" s="19"/>
      <c r="D301" s="20">
        <v>44252</v>
      </c>
      <c r="E301" s="48" t="s">
        <v>59</v>
      </c>
      <c r="F301" s="18" t="s">
        <v>38</v>
      </c>
      <c r="G301" s="18"/>
      <c r="H301" s="18"/>
      <c r="I301" s="18" t="s">
        <v>49</v>
      </c>
      <c r="J301" s="21">
        <f>31+14+20+17+9</f>
        <v>91</v>
      </c>
      <c r="K301" s="18"/>
      <c r="L301" s="18">
        <v>25</v>
      </c>
      <c r="M301" s="18"/>
      <c r="N301" s="18"/>
      <c r="O301" s="18"/>
      <c r="P301" s="18"/>
    </row>
    <row r="302" spans="1:16" ht="15.75" customHeight="1" x14ac:dyDescent="0.35">
      <c r="A302" s="18"/>
      <c r="B302" s="18"/>
      <c r="C302" s="19"/>
      <c r="D302" s="20">
        <v>44253</v>
      </c>
      <c r="E302" s="48" t="s">
        <v>59</v>
      </c>
      <c r="F302" s="18" t="s">
        <v>39</v>
      </c>
      <c r="G302" s="18"/>
      <c r="H302" s="18"/>
      <c r="I302" s="18"/>
      <c r="J302" s="21"/>
      <c r="K302" s="18"/>
      <c r="L302" s="18"/>
      <c r="M302" s="18"/>
      <c r="N302" s="18"/>
      <c r="O302" s="18"/>
      <c r="P302" s="18"/>
    </row>
    <row r="303" spans="1:16" ht="15.75" customHeight="1" x14ac:dyDescent="0.35">
      <c r="A303" s="18"/>
      <c r="B303" s="18"/>
      <c r="C303" s="19"/>
      <c r="D303" s="20">
        <v>44254</v>
      </c>
      <c r="E303" s="48" t="s">
        <v>59</v>
      </c>
      <c r="F303" s="18" t="s">
        <v>23</v>
      </c>
      <c r="G303" s="18"/>
      <c r="H303" s="18"/>
      <c r="I303" s="18" t="s">
        <v>49</v>
      </c>
      <c r="J303" s="21">
        <v>150</v>
      </c>
      <c r="K303" s="18"/>
      <c r="L303" s="18">
        <f>26959-26936</f>
        <v>23</v>
      </c>
      <c r="M303" s="58">
        <v>170</v>
      </c>
      <c r="N303" s="58">
        <v>345</v>
      </c>
      <c r="O303" s="18">
        <v>-21</v>
      </c>
      <c r="P303" s="18"/>
    </row>
    <row r="304" spans="1:16" ht="15.75" customHeight="1" x14ac:dyDescent="0.45">
      <c r="A304" s="59">
        <v>8</v>
      </c>
      <c r="B304" s="59">
        <f>SUM(B297:B303)</f>
        <v>497.44</v>
      </c>
      <c r="C304" s="60"/>
      <c r="D304" s="61"/>
      <c r="E304" s="13"/>
      <c r="F304" s="40" t="s">
        <v>28</v>
      </c>
      <c r="G304" s="40"/>
      <c r="H304" s="40"/>
      <c r="I304" s="40"/>
      <c r="J304" s="41">
        <f t="shared" ref="J304:O304" si="31">SUM(J297:J303)</f>
        <v>631</v>
      </c>
      <c r="K304" s="42">
        <f t="shared" si="31"/>
        <v>39</v>
      </c>
      <c r="L304" s="42">
        <f t="shared" si="31"/>
        <v>131</v>
      </c>
      <c r="M304" s="42">
        <f t="shared" si="31"/>
        <v>689</v>
      </c>
      <c r="N304" s="42">
        <f t="shared" si="31"/>
        <v>1206</v>
      </c>
      <c r="O304" s="42">
        <f t="shared" si="31"/>
        <v>-42</v>
      </c>
      <c r="P304" s="62"/>
    </row>
    <row r="305" spans="1:16" ht="15.75" customHeight="1" x14ac:dyDescent="0.35">
      <c r="A305" s="36"/>
      <c r="B305" s="36"/>
      <c r="C305" s="37"/>
      <c r="D305" s="38">
        <v>44255</v>
      </c>
      <c r="E305" s="43" t="s">
        <v>59</v>
      </c>
      <c r="F305" s="36" t="s">
        <v>24</v>
      </c>
      <c r="G305" s="36"/>
      <c r="H305" s="36"/>
      <c r="I305" s="36" t="s">
        <v>45</v>
      </c>
      <c r="J305" s="39">
        <v>130</v>
      </c>
      <c r="K305" s="36"/>
      <c r="L305" s="36">
        <f>27013-26995</f>
        <v>18</v>
      </c>
      <c r="M305" s="44">
        <v>125</v>
      </c>
      <c r="N305" s="44">
        <v>254</v>
      </c>
      <c r="O305" s="36"/>
      <c r="P305" s="36"/>
    </row>
    <row r="306" spans="1:16" ht="15.75" customHeight="1" x14ac:dyDescent="0.35">
      <c r="A306" s="36"/>
      <c r="B306" s="36"/>
      <c r="C306" s="37"/>
      <c r="D306" s="38">
        <v>44256</v>
      </c>
      <c r="E306" s="43" t="s">
        <v>59</v>
      </c>
      <c r="F306" s="36" t="s">
        <v>35</v>
      </c>
      <c r="G306" s="36"/>
      <c r="H306" s="36"/>
      <c r="I306" s="36" t="s">
        <v>45</v>
      </c>
      <c r="J306" s="39">
        <v>130</v>
      </c>
      <c r="K306" s="36"/>
      <c r="L306" s="36">
        <f>27068-27049</f>
        <v>19</v>
      </c>
      <c r="M306" s="44">
        <v>88</v>
      </c>
      <c r="N306" s="44">
        <v>224</v>
      </c>
      <c r="O306" s="36">
        <v>-21</v>
      </c>
      <c r="P306" s="64"/>
    </row>
    <row r="307" spans="1:16" ht="15.75" customHeight="1" x14ac:dyDescent="0.35">
      <c r="A307" s="36"/>
      <c r="B307" s="36">
        <v>368.4</v>
      </c>
      <c r="C307" s="37"/>
      <c r="D307" s="38">
        <v>44257</v>
      </c>
      <c r="E307" s="43" t="s">
        <v>59</v>
      </c>
      <c r="F307" s="36" t="s">
        <v>36</v>
      </c>
      <c r="G307" s="36"/>
      <c r="H307" s="36"/>
      <c r="I307" s="36"/>
      <c r="J307" s="39"/>
      <c r="K307" s="36"/>
      <c r="L307" s="36"/>
      <c r="M307" s="36"/>
      <c r="N307" s="36"/>
      <c r="O307" s="36"/>
      <c r="P307" s="36"/>
    </row>
    <row r="308" spans="1:16" ht="15.75" customHeight="1" x14ac:dyDescent="0.35">
      <c r="A308" s="36"/>
      <c r="B308" s="36">
        <v>279.58</v>
      </c>
      <c r="C308" s="37"/>
      <c r="D308" s="38">
        <v>44258</v>
      </c>
      <c r="E308" s="43" t="s">
        <v>59</v>
      </c>
      <c r="F308" s="36" t="s">
        <v>37</v>
      </c>
      <c r="G308" s="36"/>
      <c r="H308" s="36"/>
      <c r="I308" s="36" t="s">
        <v>45</v>
      </c>
      <c r="J308" s="39">
        <v>130</v>
      </c>
      <c r="K308" s="36"/>
      <c r="L308" s="36">
        <f>27124-27103</f>
        <v>21</v>
      </c>
      <c r="M308" s="44">
        <v>128</v>
      </c>
      <c r="N308" s="44">
        <v>286</v>
      </c>
      <c r="O308" s="36"/>
      <c r="P308" s="64"/>
    </row>
    <row r="309" spans="1:16" ht="15.75" customHeight="1" x14ac:dyDescent="0.35">
      <c r="A309" s="36"/>
      <c r="B309" s="36"/>
      <c r="C309" s="37"/>
      <c r="D309" s="38">
        <v>44259</v>
      </c>
      <c r="E309" s="43" t="s">
        <v>59</v>
      </c>
      <c r="F309" s="36" t="s">
        <v>38</v>
      </c>
      <c r="G309" s="36"/>
      <c r="H309" s="36"/>
      <c r="I309" s="36" t="s">
        <v>49</v>
      </c>
      <c r="J309" s="39">
        <v>130</v>
      </c>
      <c r="K309" s="36"/>
      <c r="L309" s="36">
        <f>27184-27161</f>
        <v>23</v>
      </c>
      <c r="M309" s="44">
        <v>169</v>
      </c>
      <c r="N309" s="44">
        <v>312</v>
      </c>
      <c r="O309" s="36">
        <v>-21</v>
      </c>
      <c r="P309" s="36"/>
    </row>
    <row r="310" spans="1:16" ht="15.75" customHeight="1" x14ac:dyDescent="0.35">
      <c r="A310" s="36"/>
      <c r="B310" s="36"/>
      <c r="C310" s="37"/>
      <c r="D310" s="38">
        <v>44260</v>
      </c>
      <c r="E310" s="43" t="s">
        <v>59</v>
      </c>
      <c r="F310" s="36" t="s">
        <v>39</v>
      </c>
      <c r="G310" s="36"/>
      <c r="H310" s="36"/>
      <c r="I310" s="36" t="s">
        <v>49</v>
      </c>
      <c r="J310" s="39">
        <v>130</v>
      </c>
      <c r="K310" s="36"/>
      <c r="L310" s="36">
        <f>27245-27217</f>
        <v>28</v>
      </c>
      <c r="M310" s="44">
        <v>187</v>
      </c>
      <c r="N310" s="44">
        <v>288</v>
      </c>
      <c r="O310" s="36"/>
      <c r="P310" s="64"/>
    </row>
    <row r="311" spans="1:16" ht="15.75" customHeight="1" x14ac:dyDescent="0.35">
      <c r="A311" s="36"/>
      <c r="B311" s="36"/>
      <c r="C311" s="37"/>
      <c r="D311" s="38">
        <v>44261</v>
      </c>
      <c r="E311" s="43" t="s">
        <v>59</v>
      </c>
      <c r="F311" s="36" t="s">
        <v>23</v>
      </c>
      <c r="G311" s="36"/>
      <c r="H311" s="36"/>
      <c r="I311" s="36" t="s">
        <v>45</v>
      </c>
      <c r="J311" s="39">
        <v>130</v>
      </c>
      <c r="K311" s="36">
        <v>23</v>
      </c>
      <c r="L311" s="36">
        <f>27320-27280</f>
        <v>40</v>
      </c>
      <c r="M311" s="44">
        <v>145</v>
      </c>
      <c r="N311" s="44">
        <v>271</v>
      </c>
      <c r="O311" s="36">
        <v>-21</v>
      </c>
      <c r="P311" s="64"/>
    </row>
    <row r="312" spans="1:16" ht="15.75" customHeight="1" x14ac:dyDescent="0.45">
      <c r="A312" s="59">
        <v>9</v>
      </c>
      <c r="B312" s="59">
        <f>SUM(B305:B311)</f>
        <v>647.98</v>
      </c>
      <c r="C312" s="60"/>
      <c r="D312" s="61"/>
      <c r="E312" s="13"/>
      <c r="F312" s="40" t="s">
        <v>28</v>
      </c>
      <c r="G312" s="40"/>
      <c r="H312" s="40"/>
      <c r="I312" s="40"/>
      <c r="J312" s="41">
        <f t="shared" ref="J312:O312" si="32">SUM(J305:J311)</f>
        <v>780</v>
      </c>
      <c r="K312" s="42">
        <f t="shared" si="32"/>
        <v>23</v>
      </c>
      <c r="L312" s="42">
        <f t="shared" si="32"/>
        <v>149</v>
      </c>
      <c r="M312" s="42">
        <f t="shared" si="32"/>
        <v>842</v>
      </c>
      <c r="N312" s="42">
        <f t="shared" si="32"/>
        <v>1635</v>
      </c>
      <c r="O312" s="42">
        <f t="shared" si="32"/>
        <v>-63</v>
      </c>
      <c r="P312" s="62"/>
    </row>
    <row r="313" spans="1:16" ht="15.75" customHeight="1" x14ac:dyDescent="0.35">
      <c r="A313" s="18"/>
      <c r="B313" s="18"/>
      <c r="C313" s="19"/>
      <c r="D313" s="20">
        <v>44262</v>
      </c>
      <c r="E313" s="48" t="s">
        <v>59</v>
      </c>
      <c r="F313" s="18" t="s">
        <v>24</v>
      </c>
      <c r="G313" s="18"/>
      <c r="H313" s="18"/>
      <c r="I313" s="18" t="s">
        <v>45</v>
      </c>
      <c r="J313" s="21">
        <v>130</v>
      </c>
      <c r="K313" s="18"/>
      <c r="L313" s="18">
        <f>27391-27370</f>
        <v>21</v>
      </c>
      <c r="M313" s="58">
        <v>178</v>
      </c>
      <c r="N313" s="58">
        <v>261</v>
      </c>
      <c r="O313" s="18"/>
      <c r="P313" s="18"/>
    </row>
    <row r="314" spans="1:16" ht="15.75" customHeight="1" x14ac:dyDescent="0.35">
      <c r="A314" s="18"/>
      <c r="B314" s="18"/>
      <c r="C314" s="19"/>
      <c r="D314" s="20">
        <v>44263</v>
      </c>
      <c r="E314" s="48" t="s">
        <v>59</v>
      </c>
      <c r="F314" s="18" t="s">
        <v>35</v>
      </c>
      <c r="G314" s="18"/>
      <c r="H314" s="18"/>
      <c r="I314" s="18"/>
      <c r="J314" s="21"/>
      <c r="K314" s="18"/>
      <c r="L314" s="18"/>
      <c r="M314" s="18"/>
      <c r="N314" s="18"/>
      <c r="O314" s="18"/>
      <c r="P314" s="18"/>
    </row>
    <row r="315" spans="1:16" ht="15.75" customHeight="1" x14ac:dyDescent="0.35">
      <c r="A315" s="18"/>
      <c r="B315" s="18">
        <v>342.02</v>
      </c>
      <c r="C315" s="19"/>
      <c r="D315" s="20">
        <v>44264</v>
      </c>
      <c r="E315" s="48" t="s">
        <v>59</v>
      </c>
      <c r="F315" s="18" t="s">
        <v>36</v>
      </c>
      <c r="G315" s="18"/>
      <c r="H315" s="18"/>
      <c r="I315" s="18" t="s">
        <v>45</v>
      </c>
      <c r="J315" s="21">
        <v>130</v>
      </c>
      <c r="K315" s="18"/>
      <c r="L315" s="18">
        <f>27453-27434</f>
        <v>19</v>
      </c>
      <c r="M315" s="58">
        <v>168</v>
      </c>
      <c r="N315" s="58">
        <v>280</v>
      </c>
      <c r="O315" s="18">
        <v>-21</v>
      </c>
      <c r="P315" s="18"/>
    </row>
    <row r="316" spans="1:16" ht="15.75" customHeight="1" x14ac:dyDescent="0.35">
      <c r="A316" s="18"/>
      <c r="B316" s="18">
        <v>154.13</v>
      </c>
      <c r="C316" s="19"/>
      <c r="D316" s="20">
        <v>44265</v>
      </c>
      <c r="E316" s="48" t="s">
        <v>59</v>
      </c>
      <c r="F316" s="18" t="s">
        <v>37</v>
      </c>
      <c r="G316" s="18"/>
      <c r="H316" s="18"/>
      <c r="I316" s="18" t="s">
        <v>49</v>
      </c>
      <c r="J316" s="21">
        <v>130</v>
      </c>
      <c r="K316" s="18">
        <v>14</v>
      </c>
      <c r="L316" s="18">
        <f>27517-27491</f>
        <v>26</v>
      </c>
      <c r="M316" s="58">
        <v>137</v>
      </c>
      <c r="N316" s="58">
        <v>292</v>
      </c>
      <c r="O316" s="18"/>
      <c r="P316" s="18"/>
    </row>
    <row r="317" spans="1:16" ht="15.75" customHeight="1" x14ac:dyDescent="0.35">
      <c r="A317" s="18"/>
      <c r="B317" s="18"/>
      <c r="C317" s="19"/>
      <c r="D317" s="20">
        <v>44266</v>
      </c>
      <c r="E317" s="48" t="s">
        <v>59</v>
      </c>
      <c r="F317" s="18" t="s">
        <v>38</v>
      </c>
      <c r="G317" s="18"/>
      <c r="H317" s="18"/>
      <c r="I317" s="18" t="s">
        <v>45</v>
      </c>
      <c r="J317" s="21">
        <v>130</v>
      </c>
      <c r="K317" s="18"/>
      <c r="L317" s="18">
        <f>27579-27560</f>
        <v>19</v>
      </c>
      <c r="M317" s="58">
        <v>126</v>
      </c>
      <c r="N317" s="58">
        <v>284</v>
      </c>
      <c r="O317" s="18">
        <v>-21</v>
      </c>
      <c r="P317" s="18"/>
    </row>
    <row r="318" spans="1:16" ht="15.75" customHeight="1" x14ac:dyDescent="0.35">
      <c r="A318" s="18"/>
      <c r="B318" s="18"/>
      <c r="C318" s="19"/>
      <c r="D318" s="20">
        <v>44267</v>
      </c>
      <c r="E318" s="48" t="s">
        <v>59</v>
      </c>
      <c r="F318" s="18" t="s">
        <v>39</v>
      </c>
      <c r="G318" s="18"/>
      <c r="H318" s="18"/>
      <c r="I318" s="18" t="s">
        <v>45</v>
      </c>
      <c r="J318" s="21">
        <v>130</v>
      </c>
      <c r="K318" s="18"/>
      <c r="L318" s="18">
        <f>27644-27621</f>
        <v>23</v>
      </c>
      <c r="M318" s="58">
        <v>180</v>
      </c>
      <c r="N318" s="58">
        <v>261</v>
      </c>
      <c r="O318" s="63"/>
      <c r="P318" s="18"/>
    </row>
    <row r="319" spans="1:16" ht="15.75" customHeight="1" x14ac:dyDescent="0.35">
      <c r="A319" s="18"/>
      <c r="B319" s="18"/>
      <c r="C319" s="19"/>
      <c r="D319" s="20">
        <v>44268</v>
      </c>
      <c r="E319" s="48" t="s">
        <v>59</v>
      </c>
      <c r="F319" s="18" t="s">
        <v>23</v>
      </c>
      <c r="G319" s="18"/>
      <c r="H319" s="18"/>
      <c r="I319" s="18"/>
      <c r="J319" s="21"/>
      <c r="K319" s="18"/>
      <c r="L319" s="18"/>
      <c r="M319" s="18"/>
      <c r="N319" s="18"/>
      <c r="O319" s="18"/>
      <c r="P319" s="18"/>
    </row>
    <row r="320" spans="1:16" ht="15.75" customHeight="1" x14ac:dyDescent="0.45">
      <c r="A320" s="59">
        <v>10</v>
      </c>
      <c r="B320" s="59">
        <f>SUM(B313:B319)</f>
        <v>496.15</v>
      </c>
      <c r="C320" s="60"/>
      <c r="D320" s="61"/>
      <c r="E320" s="13"/>
      <c r="F320" s="40" t="s">
        <v>28</v>
      </c>
      <c r="G320" s="40"/>
      <c r="H320" s="40"/>
      <c r="I320" s="40"/>
      <c r="J320" s="41">
        <f t="shared" ref="J320:O320" si="33">SUM(J313:J319)</f>
        <v>650</v>
      </c>
      <c r="K320" s="42">
        <f t="shared" si="33"/>
        <v>14</v>
      </c>
      <c r="L320" s="42">
        <f t="shared" si="33"/>
        <v>108</v>
      </c>
      <c r="M320" s="42">
        <f t="shared" si="33"/>
        <v>789</v>
      </c>
      <c r="N320" s="42">
        <f t="shared" si="33"/>
        <v>1378</v>
      </c>
      <c r="O320" s="42">
        <f t="shared" si="33"/>
        <v>-42</v>
      </c>
      <c r="P320" s="62"/>
    </row>
    <row r="321" spans="1:16" ht="15.75" customHeight="1" x14ac:dyDescent="0.35">
      <c r="A321" s="36"/>
      <c r="B321" s="36"/>
      <c r="C321" s="37"/>
      <c r="D321" s="38">
        <v>44269</v>
      </c>
      <c r="E321" s="43" t="s">
        <v>59</v>
      </c>
      <c r="F321" s="36" t="s">
        <v>24</v>
      </c>
      <c r="G321" s="36"/>
      <c r="H321" s="36"/>
      <c r="I321" s="36" t="s">
        <v>45</v>
      </c>
      <c r="J321" s="39">
        <v>130</v>
      </c>
      <c r="K321" s="36"/>
      <c r="L321" s="36">
        <f>27717-27688</f>
        <v>29</v>
      </c>
      <c r="M321" s="44">
        <v>144</v>
      </c>
      <c r="N321" s="44">
        <v>293</v>
      </c>
      <c r="O321" s="36">
        <v>-21</v>
      </c>
      <c r="P321" s="36"/>
    </row>
    <row r="322" spans="1:16" ht="15.75" customHeight="1" x14ac:dyDescent="0.35">
      <c r="A322" s="36"/>
      <c r="B322" s="36"/>
      <c r="C322" s="37"/>
      <c r="D322" s="38">
        <v>44270</v>
      </c>
      <c r="E322" s="43" t="s">
        <v>59</v>
      </c>
      <c r="F322" s="36" t="s">
        <v>35</v>
      </c>
      <c r="G322" s="36"/>
      <c r="H322" s="36"/>
      <c r="I322" s="36" t="s">
        <v>49</v>
      </c>
      <c r="J322" s="39">
        <v>130</v>
      </c>
      <c r="K322" s="36"/>
      <c r="L322" s="36">
        <f>27783-27760</f>
        <v>23</v>
      </c>
      <c r="M322" s="44">
        <v>132</v>
      </c>
      <c r="N322" s="44">
        <v>263</v>
      </c>
      <c r="O322" s="36"/>
      <c r="P322" s="36"/>
    </row>
    <row r="323" spans="1:16" ht="15.75" customHeight="1" x14ac:dyDescent="0.35">
      <c r="A323" s="36"/>
      <c r="B323" s="36">
        <v>199.85</v>
      </c>
      <c r="C323" s="37"/>
      <c r="D323" s="38">
        <v>44271</v>
      </c>
      <c r="E323" s="43" t="s">
        <v>59</v>
      </c>
      <c r="F323" s="36" t="s">
        <v>36</v>
      </c>
      <c r="G323" s="36"/>
      <c r="H323" s="36"/>
      <c r="I323" s="36" t="s">
        <v>45</v>
      </c>
      <c r="J323" s="39">
        <v>130</v>
      </c>
      <c r="K323" s="36"/>
      <c r="L323" s="36">
        <f>27856-27826</f>
        <v>30</v>
      </c>
      <c r="M323" s="44">
        <v>185</v>
      </c>
      <c r="N323" s="44">
        <v>291</v>
      </c>
      <c r="O323" s="36">
        <v>-23</v>
      </c>
      <c r="P323" s="64"/>
    </row>
    <row r="324" spans="1:16" ht="15.75" customHeight="1" x14ac:dyDescent="0.35">
      <c r="A324" s="36"/>
      <c r="B324" s="36">
        <v>479.19</v>
      </c>
      <c r="C324" s="37"/>
      <c r="D324" s="38">
        <v>44272</v>
      </c>
      <c r="E324" s="43" t="s">
        <v>59</v>
      </c>
      <c r="F324" s="36" t="s">
        <v>37</v>
      </c>
      <c r="G324" s="36"/>
      <c r="H324" s="36"/>
      <c r="I324" s="36" t="s">
        <v>49</v>
      </c>
      <c r="J324" s="39">
        <v>130</v>
      </c>
      <c r="K324" s="36">
        <f>(19+25)*1.5</f>
        <v>66</v>
      </c>
      <c r="L324" s="36">
        <f>27939-27902</f>
        <v>37</v>
      </c>
      <c r="M324" s="44">
        <v>167</v>
      </c>
      <c r="N324" s="44">
        <v>251</v>
      </c>
      <c r="O324" s="36"/>
      <c r="P324" s="64"/>
    </row>
    <row r="325" spans="1:16" ht="15.75" customHeight="1" x14ac:dyDescent="0.35">
      <c r="A325" s="36"/>
      <c r="B325" s="36"/>
      <c r="C325" s="37"/>
      <c r="D325" s="38">
        <v>44273</v>
      </c>
      <c r="E325" s="43" t="s">
        <v>59</v>
      </c>
      <c r="F325" s="36" t="s">
        <v>38</v>
      </c>
      <c r="G325" s="36"/>
      <c r="H325" s="36"/>
      <c r="I325" s="36" t="s">
        <v>49</v>
      </c>
      <c r="J325" s="39">
        <v>130</v>
      </c>
      <c r="K325" s="36"/>
      <c r="L325" s="36">
        <v>24</v>
      </c>
      <c r="M325" s="44">
        <v>169</v>
      </c>
      <c r="N325" s="44">
        <v>250</v>
      </c>
      <c r="O325" s="36">
        <v>-21</v>
      </c>
      <c r="P325" s="36"/>
    </row>
    <row r="326" spans="1:16" ht="15.75" customHeight="1" x14ac:dyDescent="0.35">
      <c r="A326" s="36"/>
      <c r="B326" s="36"/>
      <c r="C326" s="37"/>
      <c r="D326" s="38">
        <v>44274</v>
      </c>
      <c r="E326" s="43" t="s">
        <v>59</v>
      </c>
      <c r="F326" s="36" t="s">
        <v>39</v>
      </c>
      <c r="G326" s="36"/>
      <c r="H326" s="36"/>
      <c r="I326" s="36" t="s">
        <v>45</v>
      </c>
      <c r="J326" s="39">
        <v>130</v>
      </c>
      <c r="K326" s="36"/>
      <c r="L326" s="64">
        <v>25</v>
      </c>
      <c r="M326" s="67">
        <v>154</v>
      </c>
      <c r="N326" s="67">
        <v>293</v>
      </c>
      <c r="O326" s="64">
        <v>-21</v>
      </c>
      <c r="P326" s="36"/>
    </row>
    <row r="327" spans="1:16" ht="15.75" customHeight="1" x14ac:dyDescent="0.35">
      <c r="A327" s="36"/>
      <c r="B327" s="36"/>
      <c r="C327" s="37"/>
      <c r="D327" s="38">
        <v>44275</v>
      </c>
      <c r="E327" s="43" t="s">
        <v>59</v>
      </c>
      <c r="F327" s="36" t="s">
        <v>23</v>
      </c>
      <c r="G327" s="36"/>
      <c r="H327" s="36"/>
      <c r="I327" s="36"/>
      <c r="J327" s="39"/>
      <c r="K327" s="36"/>
      <c r="L327" s="36"/>
      <c r="M327" s="36"/>
      <c r="N327" s="36"/>
      <c r="O327" s="36"/>
      <c r="P327" s="36"/>
    </row>
    <row r="328" spans="1:16" ht="15.75" customHeight="1" x14ac:dyDescent="0.45">
      <c r="A328" s="59">
        <v>11</v>
      </c>
      <c r="B328" s="59">
        <f>SUM(B321:B327)</f>
        <v>679.04</v>
      </c>
      <c r="C328" s="60" t="s">
        <v>47</v>
      </c>
      <c r="D328" s="61"/>
      <c r="E328" s="13"/>
      <c r="F328" s="40" t="s">
        <v>28</v>
      </c>
      <c r="G328" s="40"/>
      <c r="H328" s="40"/>
      <c r="I328" s="40"/>
      <c r="J328" s="41">
        <f t="shared" ref="J328:O328" si="34">SUM(J321:J327)</f>
        <v>780</v>
      </c>
      <c r="K328" s="42">
        <f t="shared" si="34"/>
        <v>66</v>
      </c>
      <c r="L328" s="42">
        <f t="shared" si="34"/>
        <v>168</v>
      </c>
      <c r="M328" s="42">
        <f t="shared" si="34"/>
        <v>951</v>
      </c>
      <c r="N328" s="42">
        <f t="shared" si="34"/>
        <v>1641</v>
      </c>
      <c r="O328" s="42">
        <f t="shared" si="34"/>
        <v>-86</v>
      </c>
      <c r="P328" s="62"/>
    </row>
    <row r="329" spans="1:16" ht="15.75" customHeight="1" x14ac:dyDescent="0.35">
      <c r="A329" s="18"/>
      <c r="B329" s="18"/>
      <c r="C329" s="19"/>
      <c r="D329" s="20">
        <v>44276</v>
      </c>
      <c r="E329" s="48" t="s">
        <v>42</v>
      </c>
      <c r="F329" s="18" t="s">
        <v>24</v>
      </c>
      <c r="G329" s="18"/>
      <c r="H329" s="18"/>
      <c r="I329" s="18" t="s">
        <v>45</v>
      </c>
      <c r="J329" s="21">
        <v>138</v>
      </c>
      <c r="K329" s="18"/>
      <c r="L329" s="18">
        <f>28233-28205</f>
        <v>28</v>
      </c>
      <c r="M329" s="58">
        <v>180</v>
      </c>
      <c r="N329" s="58">
        <v>323</v>
      </c>
      <c r="O329" s="18"/>
      <c r="P329" s="18"/>
    </row>
    <row r="330" spans="1:16" ht="15.75" customHeight="1" x14ac:dyDescent="0.35">
      <c r="A330" s="18"/>
      <c r="B330" s="18"/>
      <c r="C330" s="19"/>
      <c r="D330" s="20">
        <v>44277</v>
      </c>
      <c r="E330" s="48" t="s">
        <v>42</v>
      </c>
      <c r="F330" s="18" t="s">
        <v>35</v>
      </c>
      <c r="G330" s="18"/>
      <c r="H330" s="18"/>
      <c r="I330" s="18" t="s">
        <v>45</v>
      </c>
      <c r="J330" s="21">
        <v>138</v>
      </c>
      <c r="K330" s="18">
        <v>26</v>
      </c>
      <c r="L330" s="18">
        <f>28304-28276</f>
        <v>28</v>
      </c>
      <c r="M330" s="58">
        <v>112</v>
      </c>
      <c r="N330" s="58">
        <v>258</v>
      </c>
      <c r="O330" s="18">
        <v>-21</v>
      </c>
      <c r="P330" s="18"/>
    </row>
    <row r="331" spans="1:16" ht="15.75" customHeight="1" x14ac:dyDescent="0.35">
      <c r="A331" s="18"/>
      <c r="B331" s="18">
        <v>253.76</v>
      </c>
      <c r="C331" s="19"/>
      <c r="D331" s="20">
        <v>44278</v>
      </c>
      <c r="E331" s="48" t="s">
        <v>42</v>
      </c>
      <c r="F331" s="18" t="s">
        <v>36</v>
      </c>
      <c r="G331" s="18"/>
      <c r="H331" s="18"/>
      <c r="I331" s="18" t="s">
        <v>45</v>
      </c>
      <c r="J331" s="21">
        <v>138</v>
      </c>
      <c r="K331" s="18"/>
      <c r="L331" s="63">
        <f>28360-28339</f>
        <v>21</v>
      </c>
      <c r="M331" s="66">
        <v>179</v>
      </c>
      <c r="N331" s="66">
        <v>264</v>
      </c>
      <c r="O331" s="18"/>
      <c r="P331" s="18"/>
    </row>
    <row r="332" spans="1:16" ht="15.75" customHeight="1" x14ac:dyDescent="0.35">
      <c r="A332" s="18"/>
      <c r="B332" s="18">
        <v>292.18</v>
      </c>
      <c r="C332" s="19"/>
      <c r="D332" s="20">
        <v>44279</v>
      </c>
      <c r="E332" s="48" t="s">
        <v>42</v>
      </c>
      <c r="F332" s="18" t="s">
        <v>37</v>
      </c>
      <c r="G332" s="18"/>
      <c r="H332" s="18"/>
      <c r="I332" s="18"/>
      <c r="J332" s="21"/>
      <c r="K332" s="18"/>
      <c r="L332" s="18"/>
      <c r="M332" s="18"/>
      <c r="N332" s="18"/>
      <c r="O332" s="18"/>
      <c r="P332" s="18"/>
    </row>
    <row r="333" spans="1:16" ht="15.75" customHeight="1" x14ac:dyDescent="0.35">
      <c r="A333" s="18"/>
      <c r="B333" s="18"/>
      <c r="C333" s="19"/>
      <c r="D333" s="20">
        <v>44280</v>
      </c>
      <c r="E333" s="48" t="s">
        <v>42</v>
      </c>
      <c r="F333" s="18" t="s">
        <v>38</v>
      </c>
      <c r="G333" s="18"/>
      <c r="H333" s="18"/>
      <c r="I333" s="18" t="s">
        <v>49</v>
      </c>
      <c r="J333" s="21">
        <v>138</v>
      </c>
      <c r="K333" s="18"/>
      <c r="L333" s="18">
        <f>28436-28408</f>
        <v>28</v>
      </c>
      <c r="M333" s="58">
        <v>165</v>
      </c>
      <c r="N333" s="58">
        <v>286</v>
      </c>
      <c r="O333" s="18">
        <v>-21</v>
      </c>
      <c r="P333" s="18"/>
    </row>
    <row r="334" spans="1:16" ht="15.75" customHeight="1" x14ac:dyDescent="0.35">
      <c r="A334" s="18"/>
      <c r="B334" s="18"/>
      <c r="C334" s="19"/>
      <c r="D334" s="20">
        <v>44281</v>
      </c>
      <c r="E334" s="48" t="s">
        <v>42</v>
      </c>
      <c r="F334" s="18" t="s">
        <v>39</v>
      </c>
      <c r="G334" s="18"/>
      <c r="H334" s="18"/>
      <c r="I334" s="18" t="s">
        <v>49</v>
      </c>
      <c r="J334" s="21">
        <v>138</v>
      </c>
      <c r="K334" s="18"/>
      <c r="L334" s="18">
        <f>28500-28476</f>
        <v>24</v>
      </c>
      <c r="M334" s="58">
        <v>123</v>
      </c>
      <c r="N334" s="58">
        <v>279</v>
      </c>
      <c r="O334" s="18"/>
      <c r="P334" s="18"/>
    </row>
    <row r="335" spans="1:16" ht="15.75" customHeight="1" x14ac:dyDescent="0.35">
      <c r="A335" s="18"/>
      <c r="B335" s="18"/>
      <c r="C335" s="19"/>
      <c r="D335" s="20">
        <v>44282</v>
      </c>
      <c r="E335" s="48" t="s">
        <v>42</v>
      </c>
      <c r="F335" s="18" t="s">
        <v>23</v>
      </c>
      <c r="G335" s="18"/>
      <c r="H335" s="18"/>
      <c r="I335" s="18"/>
      <c r="J335" s="21"/>
      <c r="K335" s="18"/>
      <c r="L335" s="18"/>
      <c r="M335" s="18"/>
      <c r="N335" s="18"/>
      <c r="O335" s="18"/>
      <c r="P335" s="18"/>
    </row>
    <row r="336" spans="1:16" ht="15.75" customHeight="1" x14ac:dyDescent="0.45">
      <c r="A336" s="59">
        <v>12</v>
      </c>
      <c r="B336" s="59">
        <f>SUM(B329:B335)</f>
        <v>545.94000000000005</v>
      </c>
      <c r="C336" s="60" t="s">
        <v>47</v>
      </c>
      <c r="D336" s="61"/>
      <c r="E336" s="13"/>
      <c r="F336" s="40" t="s">
        <v>28</v>
      </c>
      <c r="G336" s="40"/>
      <c r="H336" s="40"/>
      <c r="I336" s="40"/>
      <c r="J336" s="41">
        <f t="shared" ref="J336:O336" si="35">SUM(J329:J335)</f>
        <v>690</v>
      </c>
      <c r="K336" s="42">
        <f t="shared" si="35"/>
        <v>26</v>
      </c>
      <c r="L336" s="42">
        <f t="shared" si="35"/>
        <v>129</v>
      </c>
      <c r="M336" s="42">
        <f t="shared" si="35"/>
        <v>759</v>
      </c>
      <c r="N336" s="42">
        <f t="shared" si="35"/>
        <v>1410</v>
      </c>
      <c r="O336" s="42">
        <f t="shared" si="35"/>
        <v>-42</v>
      </c>
      <c r="P336" s="62"/>
    </row>
    <row r="337" spans="1:16" ht="15.75" customHeight="1" x14ac:dyDescent="0.35">
      <c r="A337" s="36"/>
      <c r="B337" s="36"/>
      <c r="C337" s="37"/>
      <c r="D337" s="38">
        <v>44283</v>
      </c>
      <c r="E337" s="43" t="s">
        <v>42</v>
      </c>
      <c r="F337" s="36" t="s">
        <v>24</v>
      </c>
      <c r="G337" s="36"/>
      <c r="H337" s="36"/>
      <c r="I337" s="36" t="s">
        <v>61</v>
      </c>
      <c r="J337" s="39">
        <v>138</v>
      </c>
      <c r="K337" s="36"/>
      <c r="L337" s="36"/>
      <c r="M337" s="44">
        <v>186</v>
      </c>
      <c r="N337" s="44">
        <v>278</v>
      </c>
      <c r="O337" s="36">
        <v>-21</v>
      </c>
      <c r="P337" s="36"/>
    </row>
    <row r="338" spans="1:16" ht="15.75" customHeight="1" x14ac:dyDescent="0.35">
      <c r="A338" s="36"/>
      <c r="B338" s="36"/>
      <c r="C338" s="37"/>
      <c r="D338" s="38">
        <v>44284</v>
      </c>
      <c r="E338" s="43" t="s">
        <v>42</v>
      </c>
      <c r="F338" s="36" t="s">
        <v>35</v>
      </c>
      <c r="G338" s="36"/>
      <c r="H338" s="36"/>
      <c r="I338" s="36"/>
      <c r="J338" s="39"/>
      <c r="K338" s="36"/>
      <c r="L338" s="36"/>
      <c r="M338" s="36"/>
      <c r="N338" s="36"/>
      <c r="O338" s="36"/>
      <c r="P338" s="36"/>
    </row>
    <row r="339" spans="1:16" ht="15.75" customHeight="1" x14ac:dyDescent="0.35">
      <c r="A339" s="36"/>
      <c r="B339" s="36">
        <v>373.17</v>
      </c>
      <c r="C339" s="37"/>
      <c r="D339" s="38">
        <v>44285</v>
      </c>
      <c r="E339" s="43" t="s">
        <v>42</v>
      </c>
      <c r="F339" s="36" t="s">
        <v>36</v>
      </c>
      <c r="G339" s="36"/>
      <c r="H339" s="36"/>
      <c r="I339" s="36" t="s">
        <v>49</v>
      </c>
      <c r="J339" s="39">
        <v>138</v>
      </c>
      <c r="K339" s="36"/>
      <c r="L339" s="36">
        <f>28641-28617</f>
        <v>24</v>
      </c>
      <c r="M339" s="44">
        <v>105</v>
      </c>
      <c r="N339" s="44">
        <v>218</v>
      </c>
      <c r="O339" s="36"/>
      <c r="P339" s="36"/>
    </row>
    <row r="340" spans="1:16" ht="15.75" customHeight="1" x14ac:dyDescent="0.35">
      <c r="A340" s="36"/>
      <c r="B340" s="36">
        <v>291.67</v>
      </c>
      <c r="C340" s="37"/>
      <c r="D340" s="38">
        <v>44286</v>
      </c>
      <c r="E340" s="43" t="s">
        <v>42</v>
      </c>
      <c r="F340" s="36" t="s">
        <v>37</v>
      </c>
      <c r="G340" s="36"/>
      <c r="H340" s="36"/>
      <c r="I340" s="36" t="s">
        <v>49</v>
      </c>
      <c r="J340" s="39">
        <v>138</v>
      </c>
      <c r="K340" s="36"/>
      <c r="L340" s="64">
        <f>28713-28683</f>
        <v>30</v>
      </c>
      <c r="M340" s="67">
        <v>158</v>
      </c>
      <c r="N340" s="67">
        <v>252</v>
      </c>
      <c r="O340" s="36">
        <v>-27</v>
      </c>
      <c r="P340" s="68"/>
    </row>
    <row r="341" spans="1:16" ht="15.75" customHeight="1" x14ac:dyDescent="0.35">
      <c r="A341" s="36"/>
      <c r="B341" s="36"/>
      <c r="C341" s="37"/>
      <c r="D341" s="38">
        <v>44287</v>
      </c>
      <c r="E341" s="43" t="s">
        <v>42</v>
      </c>
      <c r="F341" s="36" t="s">
        <v>38</v>
      </c>
      <c r="G341" s="36"/>
      <c r="H341" s="36"/>
      <c r="I341" s="36" t="s">
        <v>45</v>
      </c>
      <c r="J341" s="39">
        <v>138</v>
      </c>
      <c r="K341" s="36"/>
      <c r="L341" s="36">
        <f>28776-28756</f>
        <v>20</v>
      </c>
      <c r="M341" s="44">
        <v>99</v>
      </c>
      <c r="N341" s="44">
        <v>240</v>
      </c>
      <c r="O341" s="36"/>
      <c r="P341" s="64"/>
    </row>
    <row r="342" spans="1:16" ht="15.75" customHeight="1" x14ac:dyDescent="0.35">
      <c r="A342" s="36"/>
      <c r="B342" s="36"/>
      <c r="C342" s="37"/>
      <c r="D342" s="38">
        <v>44288</v>
      </c>
      <c r="E342" s="43" t="s">
        <v>42</v>
      </c>
      <c r="F342" s="36" t="s">
        <v>39</v>
      </c>
      <c r="G342" s="36"/>
      <c r="H342" s="36"/>
      <c r="I342" s="36" t="s">
        <v>45</v>
      </c>
      <c r="J342" s="39">
        <v>138</v>
      </c>
      <c r="K342" s="36"/>
      <c r="L342" s="36">
        <f>28829-28809</f>
        <v>20</v>
      </c>
      <c r="M342" s="44">
        <v>93</v>
      </c>
      <c r="N342" s="44">
        <v>255</v>
      </c>
      <c r="O342" s="36"/>
      <c r="P342" s="36"/>
    </row>
    <row r="343" spans="1:16" ht="15.75" customHeight="1" x14ac:dyDescent="0.35">
      <c r="A343" s="36"/>
      <c r="B343" s="36"/>
      <c r="C343" s="37"/>
      <c r="D343" s="38">
        <v>44289</v>
      </c>
      <c r="E343" s="43" t="s">
        <v>42</v>
      </c>
      <c r="F343" s="36" t="s">
        <v>23</v>
      </c>
      <c r="G343" s="36"/>
      <c r="H343" s="36"/>
      <c r="I343" s="36" t="s">
        <v>45</v>
      </c>
      <c r="J343" s="39">
        <v>138</v>
      </c>
      <c r="K343" s="36"/>
      <c r="L343" s="36">
        <v>35</v>
      </c>
      <c r="M343" s="44">
        <v>178</v>
      </c>
      <c r="N343" s="44">
        <v>310</v>
      </c>
      <c r="O343" s="36"/>
      <c r="P343" s="36"/>
    </row>
    <row r="344" spans="1:16" ht="15.75" customHeight="1" x14ac:dyDescent="0.45">
      <c r="A344" s="59">
        <v>13</v>
      </c>
      <c r="B344" s="59">
        <f>SUM(B337:B343)</f>
        <v>664.84</v>
      </c>
      <c r="C344" s="60" t="s">
        <v>47</v>
      </c>
      <c r="D344" s="61"/>
      <c r="E344" s="13"/>
      <c r="F344" s="40" t="s">
        <v>28</v>
      </c>
      <c r="G344" s="40"/>
      <c r="H344" s="40"/>
      <c r="I344" s="40"/>
      <c r="J344" s="41">
        <f t="shared" ref="J344:O344" si="36">SUM(J337:J343)</f>
        <v>828</v>
      </c>
      <c r="K344" s="42">
        <f t="shared" si="36"/>
        <v>0</v>
      </c>
      <c r="L344" s="42">
        <f t="shared" si="36"/>
        <v>129</v>
      </c>
      <c r="M344" s="42">
        <f t="shared" si="36"/>
        <v>819</v>
      </c>
      <c r="N344" s="42">
        <f t="shared" si="36"/>
        <v>1553</v>
      </c>
      <c r="O344" s="42">
        <f t="shared" si="36"/>
        <v>-48</v>
      </c>
      <c r="P344" s="62"/>
    </row>
    <row r="345" spans="1:16" ht="15.75" customHeight="1" x14ac:dyDescent="0.35">
      <c r="A345" s="18"/>
      <c r="B345" s="18"/>
      <c r="C345" s="19"/>
      <c r="D345" s="20">
        <v>44290</v>
      </c>
      <c r="E345" s="48" t="s">
        <v>42</v>
      </c>
      <c r="F345" s="18" t="s">
        <v>24</v>
      </c>
      <c r="G345" s="18"/>
      <c r="H345" s="18"/>
      <c r="I345" s="18" t="s">
        <v>45</v>
      </c>
      <c r="J345" s="21">
        <v>138</v>
      </c>
      <c r="K345" s="18"/>
      <c r="L345" s="18">
        <f>29001-28982</f>
        <v>19</v>
      </c>
      <c r="M345" s="58">
        <v>98</v>
      </c>
      <c r="N345" s="58">
        <v>205</v>
      </c>
      <c r="O345" s="18">
        <v>-21</v>
      </c>
      <c r="P345" s="18"/>
    </row>
    <row r="346" spans="1:16" ht="15.75" customHeight="1" x14ac:dyDescent="0.35">
      <c r="A346" s="18"/>
      <c r="B346" s="18"/>
      <c r="C346" s="19"/>
      <c r="D346" s="20">
        <v>44291</v>
      </c>
      <c r="E346" s="48" t="s">
        <v>42</v>
      </c>
      <c r="F346" s="18" t="s">
        <v>35</v>
      </c>
      <c r="G346" s="18"/>
      <c r="H346" s="18"/>
      <c r="I346" s="18"/>
      <c r="J346" s="21"/>
      <c r="K346" s="18"/>
      <c r="L346" s="18"/>
      <c r="M346" s="18"/>
      <c r="N346" s="18"/>
      <c r="O346" s="18"/>
      <c r="P346" s="63"/>
    </row>
    <row r="347" spans="1:16" ht="15.75" customHeight="1" x14ac:dyDescent="0.35">
      <c r="A347" s="18"/>
      <c r="B347" s="18"/>
      <c r="C347" s="19"/>
      <c r="D347" s="20">
        <v>44292</v>
      </c>
      <c r="E347" s="48" t="s">
        <v>42</v>
      </c>
      <c r="F347" s="18" t="s">
        <v>36</v>
      </c>
      <c r="G347" s="18"/>
      <c r="H347" s="18"/>
      <c r="I347" s="18" t="s">
        <v>45</v>
      </c>
      <c r="J347" s="21">
        <v>138</v>
      </c>
      <c r="K347" s="18"/>
      <c r="L347" s="18">
        <f>29069-29040</f>
        <v>29</v>
      </c>
      <c r="M347" s="58">
        <v>99</v>
      </c>
      <c r="N347" s="58">
        <v>237</v>
      </c>
      <c r="O347" s="18"/>
      <c r="P347" s="18"/>
    </row>
    <row r="348" spans="1:16" ht="15.75" customHeight="1" x14ac:dyDescent="0.35">
      <c r="A348" s="69"/>
      <c r="B348" s="69">
        <v>204.44</v>
      </c>
      <c r="C348" s="70"/>
      <c r="D348" s="71">
        <v>44293</v>
      </c>
      <c r="E348" s="72" t="s">
        <v>42</v>
      </c>
      <c r="F348" s="69" t="s">
        <v>37</v>
      </c>
      <c r="G348" s="69"/>
      <c r="H348" s="69"/>
      <c r="I348" s="69" t="s">
        <v>45</v>
      </c>
      <c r="J348" s="73">
        <v>150</v>
      </c>
      <c r="K348" s="69"/>
      <c r="L348" s="69">
        <v>100</v>
      </c>
      <c r="M348" s="74">
        <v>57</v>
      </c>
      <c r="N348" s="74">
        <v>70</v>
      </c>
      <c r="O348" s="69"/>
      <c r="P348" s="69"/>
    </row>
    <row r="349" spans="1:16" ht="15.75" customHeight="1" x14ac:dyDescent="0.35">
      <c r="A349" s="69"/>
      <c r="B349" s="69"/>
      <c r="C349" s="70"/>
      <c r="D349" s="71">
        <v>44294</v>
      </c>
      <c r="E349" s="72" t="s">
        <v>42</v>
      </c>
      <c r="F349" s="69" t="s">
        <v>38</v>
      </c>
      <c r="G349" s="69"/>
      <c r="H349" s="69"/>
      <c r="I349" s="69" t="s">
        <v>45</v>
      </c>
      <c r="J349" s="73">
        <v>150</v>
      </c>
      <c r="K349" s="69"/>
      <c r="L349" s="69">
        <v>20</v>
      </c>
      <c r="M349" s="74">
        <v>55</v>
      </c>
      <c r="N349" s="74">
        <v>80</v>
      </c>
      <c r="O349" s="69"/>
      <c r="P349" s="69"/>
    </row>
    <row r="350" spans="1:16" ht="15.75" customHeight="1" x14ac:dyDescent="0.35">
      <c r="A350" s="69"/>
      <c r="B350" s="69"/>
      <c r="C350" s="70"/>
      <c r="D350" s="71">
        <v>44295</v>
      </c>
      <c r="E350" s="72" t="s">
        <v>42</v>
      </c>
      <c r="F350" s="69" t="s">
        <v>39</v>
      </c>
      <c r="G350" s="69"/>
      <c r="H350" s="69"/>
      <c r="I350" s="69" t="s">
        <v>45</v>
      </c>
      <c r="J350" s="73">
        <v>150</v>
      </c>
      <c r="K350" s="69"/>
      <c r="L350" s="69">
        <v>20</v>
      </c>
      <c r="M350" s="74">
        <v>30</v>
      </c>
      <c r="N350" s="74">
        <v>40</v>
      </c>
      <c r="O350" s="69"/>
      <c r="P350" s="69"/>
    </row>
    <row r="351" spans="1:16" ht="15.75" customHeight="1" x14ac:dyDescent="0.35">
      <c r="A351" s="18"/>
      <c r="B351" s="18"/>
      <c r="C351" s="19"/>
      <c r="D351" s="20">
        <v>44296</v>
      </c>
      <c r="E351" s="48" t="s">
        <v>42</v>
      </c>
      <c r="F351" s="18" t="s">
        <v>23</v>
      </c>
      <c r="G351" s="18"/>
      <c r="H351" s="18"/>
      <c r="I351" s="18" t="s">
        <v>45</v>
      </c>
      <c r="J351" s="21">
        <v>138</v>
      </c>
      <c r="K351" s="18"/>
      <c r="L351" s="18">
        <f>29116-29097</f>
        <v>19</v>
      </c>
      <c r="M351" s="58">
        <v>148</v>
      </c>
      <c r="N351" s="58">
        <v>273</v>
      </c>
      <c r="O351" s="18"/>
      <c r="P351" s="18"/>
    </row>
    <row r="352" spans="1:16" ht="15.75" customHeight="1" x14ac:dyDescent="0.45">
      <c r="A352" s="59">
        <v>14</v>
      </c>
      <c r="B352" s="59">
        <f>SUM(B345:B351)</f>
        <v>204.44</v>
      </c>
      <c r="C352" s="60" t="s">
        <v>47</v>
      </c>
      <c r="D352" s="61"/>
      <c r="E352" s="13"/>
      <c r="F352" s="40" t="s">
        <v>28</v>
      </c>
      <c r="G352" s="40"/>
      <c r="H352" s="40"/>
      <c r="I352" s="40">
        <f>COUNT(J345:J351)</f>
        <v>6</v>
      </c>
      <c r="J352" s="41">
        <f t="shared" ref="J352:O352" si="37">SUM(J345:J351)</f>
        <v>864</v>
      </c>
      <c r="K352" s="42">
        <f t="shared" si="37"/>
        <v>0</v>
      </c>
      <c r="L352" s="42">
        <f t="shared" si="37"/>
        <v>207</v>
      </c>
      <c r="M352" s="42">
        <f t="shared" si="37"/>
        <v>487</v>
      </c>
      <c r="N352" s="42">
        <f t="shared" si="37"/>
        <v>905</v>
      </c>
      <c r="O352" s="42">
        <f t="shared" si="37"/>
        <v>-21</v>
      </c>
      <c r="P352" s="62"/>
    </row>
    <row r="353" spans="1:16" ht="15.75" customHeight="1" x14ac:dyDescent="0.35">
      <c r="A353" s="36"/>
      <c r="B353" s="36"/>
      <c r="C353" s="37"/>
      <c r="D353" s="38">
        <v>44297</v>
      </c>
      <c r="E353" s="43" t="s">
        <v>42</v>
      </c>
      <c r="F353" s="36" t="s">
        <v>24</v>
      </c>
      <c r="G353" s="36"/>
      <c r="H353" s="36" t="s">
        <v>45</v>
      </c>
      <c r="I353" s="36"/>
      <c r="J353" s="39">
        <v>138</v>
      </c>
      <c r="K353" s="36"/>
      <c r="L353" s="36">
        <v>23</v>
      </c>
      <c r="M353" s="44">
        <v>168</v>
      </c>
      <c r="N353" s="44">
        <v>297</v>
      </c>
      <c r="O353" s="36"/>
      <c r="P353" s="36"/>
    </row>
    <row r="354" spans="1:16" ht="15.75" customHeight="1" x14ac:dyDescent="0.35">
      <c r="A354" s="36"/>
      <c r="B354" s="36"/>
      <c r="C354" s="37"/>
      <c r="D354" s="38">
        <v>44298</v>
      </c>
      <c r="E354" s="43" t="s">
        <v>42</v>
      </c>
      <c r="F354" s="36" t="s">
        <v>35</v>
      </c>
      <c r="G354" s="36"/>
      <c r="H354" s="36"/>
      <c r="I354" s="36"/>
      <c r="J354" s="39"/>
      <c r="K354" s="36"/>
      <c r="L354" s="36"/>
      <c r="M354" s="36"/>
      <c r="N354" s="36"/>
      <c r="O354" s="36"/>
      <c r="P354" s="36"/>
    </row>
    <row r="355" spans="1:16" ht="15.75" customHeight="1" x14ac:dyDescent="0.35">
      <c r="A355" s="36"/>
      <c r="B355" s="36">
        <v>491.33</v>
      </c>
      <c r="C355" s="37"/>
      <c r="D355" s="38">
        <v>44299</v>
      </c>
      <c r="E355" s="43" t="s">
        <v>42</v>
      </c>
      <c r="F355" s="36" t="s">
        <v>36</v>
      </c>
      <c r="G355" s="36"/>
      <c r="H355" s="36" t="s">
        <v>45</v>
      </c>
      <c r="I355" s="36"/>
      <c r="J355" s="39">
        <v>138</v>
      </c>
      <c r="K355" s="36"/>
      <c r="L355" s="36">
        <v>24</v>
      </c>
      <c r="M355" s="36"/>
      <c r="N355" s="36"/>
      <c r="O355" s="36">
        <v>-21</v>
      </c>
      <c r="P355" s="36"/>
    </row>
    <row r="356" spans="1:16" ht="15.75" customHeight="1" x14ac:dyDescent="0.35">
      <c r="A356" s="36"/>
      <c r="B356" s="36"/>
      <c r="C356" s="37"/>
      <c r="D356" s="38">
        <v>44300</v>
      </c>
      <c r="E356" s="43" t="s">
        <v>42</v>
      </c>
      <c r="F356" s="36" t="s">
        <v>37</v>
      </c>
      <c r="G356" s="36"/>
      <c r="H356" s="36" t="s">
        <v>45</v>
      </c>
      <c r="I356" s="36"/>
      <c r="J356" s="39">
        <v>138</v>
      </c>
      <c r="K356" s="36"/>
      <c r="L356" s="36">
        <v>15</v>
      </c>
      <c r="M356" s="44">
        <v>71</v>
      </c>
      <c r="N356" s="44">
        <v>191</v>
      </c>
      <c r="O356" s="36"/>
      <c r="P356" s="64"/>
    </row>
    <row r="357" spans="1:16" ht="15.75" customHeight="1" x14ac:dyDescent="0.35">
      <c r="A357" s="36"/>
      <c r="B357" s="36"/>
      <c r="C357" s="37"/>
      <c r="D357" s="38">
        <v>44301</v>
      </c>
      <c r="E357" s="43" t="s">
        <v>42</v>
      </c>
      <c r="F357" s="36" t="s">
        <v>38</v>
      </c>
      <c r="G357" s="36"/>
      <c r="H357" s="36"/>
      <c r="I357" s="36"/>
      <c r="J357" s="39"/>
      <c r="K357" s="36"/>
      <c r="L357" s="36"/>
      <c r="M357" s="36"/>
      <c r="N357" s="36"/>
      <c r="O357" s="36"/>
      <c r="P357" s="36"/>
    </row>
    <row r="358" spans="1:16" ht="15.75" customHeight="1" x14ac:dyDescent="0.35">
      <c r="A358" s="36"/>
      <c r="B358" s="36"/>
      <c r="C358" s="37"/>
      <c r="D358" s="38">
        <v>44302</v>
      </c>
      <c r="E358" s="43" t="s">
        <v>42</v>
      </c>
      <c r="F358" s="36" t="s">
        <v>39</v>
      </c>
      <c r="G358" s="36"/>
      <c r="H358" s="36" t="s">
        <v>45</v>
      </c>
      <c r="I358" s="36"/>
      <c r="J358" s="39">
        <v>138</v>
      </c>
      <c r="K358" s="36"/>
      <c r="L358" s="36">
        <f>29406-29379</f>
        <v>27</v>
      </c>
      <c r="M358" s="44">
        <v>129</v>
      </c>
      <c r="N358" s="44">
        <v>196</v>
      </c>
      <c r="O358" s="36">
        <v>-21</v>
      </c>
      <c r="P358" s="36"/>
    </row>
    <row r="359" spans="1:16" ht="15.75" customHeight="1" x14ac:dyDescent="0.35">
      <c r="A359" s="36"/>
      <c r="B359" s="36"/>
      <c r="C359" s="37"/>
      <c r="D359" s="38">
        <v>44303</v>
      </c>
      <c r="E359" s="43" t="s">
        <v>42</v>
      </c>
      <c r="F359" s="36" t="s">
        <v>23</v>
      </c>
      <c r="G359" s="36"/>
      <c r="H359" s="36" t="s">
        <v>45</v>
      </c>
      <c r="I359" s="36"/>
      <c r="J359" s="39">
        <v>138</v>
      </c>
      <c r="K359" s="36"/>
      <c r="L359" s="36">
        <f>29466-29440</f>
        <v>26</v>
      </c>
      <c r="M359" s="44">
        <v>162</v>
      </c>
      <c r="N359" s="44">
        <v>292</v>
      </c>
      <c r="O359" s="36"/>
      <c r="P359" s="36"/>
    </row>
    <row r="360" spans="1:16" ht="15.75" customHeight="1" x14ac:dyDescent="0.45">
      <c r="A360" s="59">
        <v>15</v>
      </c>
      <c r="B360" s="59">
        <f>SUM(B353:B359)</f>
        <v>491.33</v>
      </c>
      <c r="C360" s="60" t="s">
        <v>47</v>
      </c>
      <c r="D360" s="61"/>
      <c r="E360" s="13"/>
      <c r="F360" s="40" t="s">
        <v>28</v>
      </c>
      <c r="G360" s="40"/>
      <c r="H360" s="40"/>
      <c r="I360" s="40">
        <f>COUNT(J353:J359)</f>
        <v>5</v>
      </c>
      <c r="J360" s="41">
        <f t="shared" ref="J360:O360" si="38">SUM(J353:J359)</f>
        <v>690</v>
      </c>
      <c r="K360" s="42">
        <f t="shared" si="38"/>
        <v>0</v>
      </c>
      <c r="L360" s="42">
        <f t="shared" si="38"/>
        <v>115</v>
      </c>
      <c r="M360" s="42">
        <f t="shared" si="38"/>
        <v>530</v>
      </c>
      <c r="N360" s="42">
        <f t="shared" si="38"/>
        <v>976</v>
      </c>
      <c r="O360" s="42">
        <f t="shared" si="38"/>
        <v>-42</v>
      </c>
      <c r="P360" s="62"/>
    </row>
    <row r="361" spans="1:16" ht="15.75" customHeight="1" x14ac:dyDescent="0.35">
      <c r="A361" s="18"/>
      <c r="B361" s="18"/>
      <c r="C361" s="19"/>
      <c r="D361" s="20">
        <v>44304</v>
      </c>
      <c r="E361" s="48" t="s">
        <v>54</v>
      </c>
      <c r="F361" s="18" t="s">
        <v>24</v>
      </c>
      <c r="G361" s="18"/>
      <c r="H361" s="18" t="s">
        <v>45</v>
      </c>
      <c r="I361" s="18"/>
      <c r="J361" s="21">
        <v>130</v>
      </c>
      <c r="K361" s="18"/>
      <c r="L361" s="18">
        <f>29534-29505</f>
        <v>29</v>
      </c>
      <c r="M361" s="58">
        <v>155</v>
      </c>
      <c r="N361" s="58">
        <v>259</v>
      </c>
      <c r="O361" s="18">
        <v>-27</v>
      </c>
      <c r="P361" s="18"/>
    </row>
    <row r="362" spans="1:16" ht="15.75" customHeight="1" x14ac:dyDescent="0.35">
      <c r="A362" s="18"/>
      <c r="B362" s="18">
        <v>438.75</v>
      </c>
      <c r="C362" s="19"/>
      <c r="D362" s="20">
        <v>44305</v>
      </c>
      <c r="E362" s="48" t="s">
        <v>54</v>
      </c>
      <c r="F362" s="18" t="s">
        <v>35</v>
      </c>
      <c r="G362" s="18"/>
      <c r="H362" s="18"/>
      <c r="I362" s="18"/>
      <c r="J362" s="21"/>
      <c r="K362" s="18"/>
      <c r="L362" s="18"/>
      <c r="M362" s="18"/>
      <c r="N362" s="18"/>
      <c r="O362" s="18"/>
      <c r="P362" s="18"/>
    </row>
    <row r="363" spans="1:16" ht="15.75" customHeight="1" x14ac:dyDescent="0.35">
      <c r="A363" s="18"/>
      <c r="B363" s="18"/>
      <c r="C363" s="19"/>
      <c r="D363" s="20">
        <v>44306</v>
      </c>
      <c r="E363" s="48" t="s">
        <v>54</v>
      </c>
      <c r="F363" s="18" t="s">
        <v>36</v>
      </c>
      <c r="G363" s="18"/>
      <c r="H363" s="18" t="s">
        <v>45</v>
      </c>
      <c r="I363" s="18"/>
      <c r="J363" s="21">
        <v>120</v>
      </c>
      <c r="K363" s="18"/>
      <c r="L363" s="18">
        <f>29623-29597</f>
        <v>26</v>
      </c>
      <c r="M363" s="58">
        <v>165</v>
      </c>
      <c r="N363" s="58">
        <v>262</v>
      </c>
      <c r="O363" s="18"/>
      <c r="P363" s="18"/>
    </row>
    <row r="364" spans="1:16" ht="15.75" customHeight="1" x14ac:dyDescent="0.35">
      <c r="A364" s="18"/>
      <c r="B364" s="18"/>
      <c r="C364" s="19"/>
      <c r="D364" s="20">
        <v>44307</v>
      </c>
      <c r="E364" s="48" t="s">
        <v>54</v>
      </c>
      <c r="F364" s="18" t="s">
        <v>37</v>
      </c>
      <c r="G364" s="18"/>
      <c r="H364" s="18" t="s">
        <v>45</v>
      </c>
      <c r="I364" s="18"/>
      <c r="J364" s="21">
        <v>120</v>
      </c>
      <c r="K364" s="18"/>
      <c r="L364" s="18">
        <f>29711-29692</f>
        <v>19</v>
      </c>
      <c r="M364" s="58">
        <v>79</v>
      </c>
      <c r="N364" s="58">
        <v>183</v>
      </c>
      <c r="O364" s="18">
        <v>-17</v>
      </c>
      <c r="P364" s="18"/>
    </row>
    <row r="365" spans="1:16" ht="15.75" customHeight="1" x14ac:dyDescent="0.35">
      <c r="A365" s="18"/>
      <c r="B365" s="18"/>
      <c r="C365" s="19"/>
      <c r="D365" s="20">
        <v>44308</v>
      </c>
      <c r="E365" s="48" t="s">
        <v>54</v>
      </c>
      <c r="F365" s="18" t="s">
        <v>38</v>
      </c>
      <c r="G365" s="18"/>
      <c r="H365" s="18"/>
      <c r="I365" s="18"/>
      <c r="J365" s="21"/>
      <c r="K365" s="18"/>
      <c r="L365" s="18"/>
      <c r="M365" s="18"/>
      <c r="N365" s="18"/>
      <c r="O365" s="18"/>
      <c r="P365" s="18"/>
    </row>
    <row r="366" spans="1:16" ht="15.75" customHeight="1" x14ac:dyDescent="0.35">
      <c r="A366" s="18"/>
      <c r="B366" s="18"/>
      <c r="C366" s="19"/>
      <c r="D366" s="20">
        <v>44309</v>
      </c>
      <c r="E366" s="48" t="s">
        <v>54</v>
      </c>
      <c r="F366" s="18" t="s">
        <v>39</v>
      </c>
      <c r="G366" s="18"/>
      <c r="H366" s="18" t="s">
        <v>45</v>
      </c>
      <c r="I366" s="18"/>
      <c r="J366" s="21">
        <v>120</v>
      </c>
      <c r="K366" s="18"/>
      <c r="L366" s="18">
        <f>6411-6391</f>
        <v>20</v>
      </c>
      <c r="M366" s="58">
        <v>116</v>
      </c>
      <c r="N366" s="58">
        <v>206</v>
      </c>
      <c r="O366" s="18">
        <v>-15</v>
      </c>
      <c r="P366" s="18"/>
    </row>
    <row r="367" spans="1:16" ht="15.75" customHeight="1" x14ac:dyDescent="0.35">
      <c r="A367" s="18"/>
      <c r="B367" s="18"/>
      <c r="C367" s="19"/>
      <c r="D367" s="20">
        <v>44310</v>
      </c>
      <c r="E367" s="48" t="s">
        <v>54</v>
      </c>
      <c r="F367" s="18" t="s">
        <v>23</v>
      </c>
      <c r="G367" s="18"/>
      <c r="H367" s="18" t="s">
        <v>45</v>
      </c>
      <c r="I367" s="18"/>
      <c r="J367" s="21">
        <v>120</v>
      </c>
      <c r="K367" s="18"/>
      <c r="L367" s="18">
        <f>6466-6443</f>
        <v>23</v>
      </c>
      <c r="M367" s="18"/>
      <c r="N367" s="18"/>
      <c r="O367" s="18"/>
      <c r="P367" s="18"/>
    </row>
    <row r="368" spans="1:16" ht="15.75" customHeight="1" x14ac:dyDescent="0.45">
      <c r="A368" s="59">
        <v>16</v>
      </c>
      <c r="B368" s="59">
        <f>SUM(B361:B367)</f>
        <v>438.75</v>
      </c>
      <c r="C368" s="60" t="s">
        <v>47</v>
      </c>
      <c r="D368" s="61"/>
      <c r="E368" s="13"/>
      <c r="F368" s="40" t="s">
        <v>28</v>
      </c>
      <c r="G368" s="40"/>
      <c r="H368" s="40"/>
      <c r="I368" s="40">
        <f>COUNT(J361:J367)</f>
        <v>5</v>
      </c>
      <c r="J368" s="41">
        <f t="shared" ref="J368:O368" si="39">SUM(J361:J367)</f>
        <v>610</v>
      </c>
      <c r="K368" s="42">
        <f t="shared" si="39"/>
        <v>0</v>
      </c>
      <c r="L368" s="42">
        <f t="shared" si="39"/>
        <v>117</v>
      </c>
      <c r="M368" s="42">
        <f t="shared" si="39"/>
        <v>515</v>
      </c>
      <c r="N368" s="42">
        <f t="shared" si="39"/>
        <v>910</v>
      </c>
      <c r="O368" s="42">
        <f t="shared" si="39"/>
        <v>-59</v>
      </c>
      <c r="P368" s="62"/>
    </row>
    <row r="369" spans="1:16" ht="15.75" customHeight="1" x14ac:dyDescent="0.35">
      <c r="A369" s="36"/>
      <c r="B369" s="36"/>
      <c r="C369" s="37"/>
      <c r="D369" s="38">
        <v>44311</v>
      </c>
      <c r="E369" s="43" t="s">
        <v>54</v>
      </c>
      <c r="F369" s="36" t="s">
        <v>24</v>
      </c>
      <c r="G369" s="36"/>
      <c r="H369" s="36"/>
      <c r="I369" s="36"/>
      <c r="J369" s="39"/>
      <c r="K369" s="36"/>
      <c r="L369" s="36"/>
      <c r="M369" s="36"/>
      <c r="N369" s="36"/>
      <c r="O369" s="36"/>
      <c r="P369" s="36"/>
    </row>
    <row r="370" spans="1:16" ht="15.75" customHeight="1" x14ac:dyDescent="0.35">
      <c r="A370" s="36"/>
      <c r="B370" s="36"/>
      <c r="C370" s="37"/>
      <c r="D370" s="38">
        <v>44312</v>
      </c>
      <c r="E370" s="43" t="s">
        <v>54</v>
      </c>
      <c r="F370" s="36" t="s">
        <v>35</v>
      </c>
      <c r="G370" s="36"/>
      <c r="H370" s="36" t="s">
        <v>45</v>
      </c>
      <c r="I370" s="36"/>
      <c r="J370" s="39">
        <v>120</v>
      </c>
      <c r="K370" s="36"/>
      <c r="L370" s="36">
        <f>6531.7-6512.3</f>
        <v>19.399999999999636</v>
      </c>
      <c r="M370" s="44">
        <v>113</v>
      </c>
      <c r="N370" s="44">
        <v>253</v>
      </c>
      <c r="O370" s="36">
        <v>-27</v>
      </c>
      <c r="P370" s="36"/>
    </row>
    <row r="371" spans="1:16" ht="15.75" customHeight="1" x14ac:dyDescent="0.35">
      <c r="A371" s="36"/>
      <c r="B371" s="36"/>
      <c r="C371" s="37"/>
      <c r="D371" s="38">
        <v>44313</v>
      </c>
      <c r="E371" s="43" t="s">
        <v>54</v>
      </c>
      <c r="F371" s="36" t="s">
        <v>36</v>
      </c>
      <c r="G371" s="36"/>
      <c r="H371" s="36" t="s">
        <v>45</v>
      </c>
      <c r="I371" s="36"/>
      <c r="J371" s="39">
        <v>120</v>
      </c>
      <c r="K371" s="36"/>
      <c r="L371" s="36">
        <f>6593.9-6572.8</f>
        <v>21.099999999999454</v>
      </c>
      <c r="M371" s="44">
        <v>102</v>
      </c>
      <c r="N371" s="44">
        <v>179</v>
      </c>
      <c r="O371" s="36"/>
      <c r="P371" s="36"/>
    </row>
    <row r="372" spans="1:16" ht="15.75" customHeight="1" x14ac:dyDescent="0.35">
      <c r="A372" s="36"/>
      <c r="B372" s="36">
        <v>451.84</v>
      </c>
      <c r="C372" s="37"/>
      <c r="D372" s="38">
        <v>44314</v>
      </c>
      <c r="E372" s="43" t="s">
        <v>54</v>
      </c>
      <c r="F372" s="36" t="s">
        <v>37</v>
      </c>
      <c r="G372" s="36"/>
      <c r="H372" s="36" t="s">
        <v>45</v>
      </c>
      <c r="I372" s="36"/>
      <c r="J372" s="39">
        <v>120</v>
      </c>
      <c r="K372" s="36"/>
      <c r="L372" s="36">
        <f>6650.3-6631.2</f>
        <v>19.100000000000364</v>
      </c>
      <c r="M372" s="44">
        <v>104</v>
      </c>
      <c r="N372" s="44">
        <v>214</v>
      </c>
      <c r="O372" s="36">
        <v>-21</v>
      </c>
      <c r="P372" s="64"/>
    </row>
    <row r="373" spans="1:16" ht="15.75" customHeight="1" x14ac:dyDescent="0.35">
      <c r="A373" s="36"/>
      <c r="B373" s="36"/>
      <c r="C373" s="37"/>
      <c r="D373" s="38">
        <v>44315</v>
      </c>
      <c r="E373" s="43" t="s">
        <v>54</v>
      </c>
      <c r="F373" s="36" t="s">
        <v>38</v>
      </c>
      <c r="G373" s="36"/>
      <c r="H373" s="36" t="s">
        <v>45</v>
      </c>
      <c r="I373" s="36"/>
      <c r="J373" s="39">
        <v>120</v>
      </c>
      <c r="K373" s="36"/>
      <c r="L373" s="36">
        <f>6707.5-6685</f>
        <v>22.5</v>
      </c>
      <c r="M373" s="44">
        <v>155</v>
      </c>
      <c r="N373" s="44">
        <v>278</v>
      </c>
      <c r="O373" s="36"/>
      <c r="P373" s="36"/>
    </row>
    <row r="374" spans="1:16" ht="15.75" customHeight="1" x14ac:dyDescent="0.35">
      <c r="A374" s="36"/>
      <c r="B374" s="36"/>
      <c r="C374" s="37"/>
      <c r="D374" s="38">
        <v>44316</v>
      </c>
      <c r="E374" s="43" t="s">
        <v>54</v>
      </c>
      <c r="F374" s="36" t="s">
        <v>39</v>
      </c>
      <c r="G374" s="36"/>
      <c r="H374" s="36"/>
      <c r="I374" s="36"/>
      <c r="J374" s="39"/>
      <c r="K374" s="36"/>
      <c r="L374" s="36"/>
      <c r="M374" s="36"/>
      <c r="N374" s="36"/>
      <c r="O374" s="36"/>
      <c r="P374" s="36"/>
    </row>
    <row r="375" spans="1:16" ht="15.75" customHeight="1" x14ac:dyDescent="0.35">
      <c r="A375" s="36"/>
      <c r="B375" s="36"/>
      <c r="C375" s="37"/>
      <c r="D375" s="38">
        <v>44317</v>
      </c>
      <c r="E375" s="43" t="s">
        <v>54</v>
      </c>
      <c r="F375" s="36" t="s">
        <v>23</v>
      </c>
      <c r="G375" s="36"/>
      <c r="H375" s="36" t="s">
        <v>45</v>
      </c>
      <c r="I375" s="36"/>
      <c r="J375" s="39">
        <v>120</v>
      </c>
      <c r="K375" s="36"/>
      <c r="L375" s="36">
        <f>6773.4-6751</f>
        <v>22.399999999999636</v>
      </c>
      <c r="M375" s="44">
        <v>118</v>
      </c>
      <c r="N375" s="44">
        <v>244</v>
      </c>
      <c r="O375" s="36">
        <v>-21</v>
      </c>
      <c r="P375" s="36"/>
    </row>
    <row r="376" spans="1:16" ht="15.75" customHeight="1" x14ac:dyDescent="0.45">
      <c r="A376" s="59">
        <v>17</v>
      </c>
      <c r="B376" s="59">
        <f>SUM(B369:B375)</f>
        <v>451.84</v>
      </c>
      <c r="C376" s="60" t="s">
        <v>47</v>
      </c>
      <c r="D376" s="61"/>
      <c r="E376" s="13"/>
      <c r="F376" s="40" t="s">
        <v>28</v>
      </c>
      <c r="G376" s="40"/>
      <c r="H376" s="40"/>
      <c r="I376" s="40">
        <f>COUNT(J369:J375)</f>
        <v>5</v>
      </c>
      <c r="J376" s="41">
        <f t="shared" ref="J376:O376" si="40">SUM(J369:J375)</f>
        <v>600</v>
      </c>
      <c r="K376" s="42">
        <f t="shared" si="40"/>
        <v>0</v>
      </c>
      <c r="L376" s="42">
        <f t="shared" si="40"/>
        <v>104.49999999999909</v>
      </c>
      <c r="M376" s="42">
        <f t="shared" si="40"/>
        <v>592</v>
      </c>
      <c r="N376" s="42">
        <f t="shared" si="40"/>
        <v>1168</v>
      </c>
      <c r="O376" s="42">
        <f t="shared" si="40"/>
        <v>-69</v>
      </c>
      <c r="P376" s="62"/>
    </row>
    <row r="377" spans="1:16" ht="15.75" customHeight="1" x14ac:dyDescent="0.35">
      <c r="A377" s="18"/>
      <c r="B377" s="18"/>
      <c r="C377" s="19"/>
      <c r="D377" s="20">
        <v>44318</v>
      </c>
      <c r="E377" s="48" t="s">
        <v>54</v>
      </c>
      <c r="F377" s="18" t="s">
        <v>24</v>
      </c>
      <c r="G377" s="18"/>
      <c r="H377" s="18" t="s">
        <v>45</v>
      </c>
      <c r="I377" s="18"/>
      <c r="J377" s="21">
        <v>130</v>
      </c>
      <c r="K377" s="18"/>
      <c r="L377" s="18">
        <f>6829.4-6805.1</f>
        <v>24.299999999999272</v>
      </c>
      <c r="M377" s="58">
        <v>138</v>
      </c>
      <c r="N377" s="58">
        <v>219</v>
      </c>
      <c r="O377" s="18"/>
      <c r="P377" s="18"/>
    </row>
    <row r="378" spans="1:16" ht="15.75" customHeight="1" x14ac:dyDescent="0.35">
      <c r="A378" s="18"/>
      <c r="B378" s="18"/>
      <c r="C378" s="19"/>
      <c r="D378" s="20">
        <v>44319</v>
      </c>
      <c r="E378" s="48" t="s">
        <v>54</v>
      </c>
      <c r="F378" s="18" t="s">
        <v>35</v>
      </c>
      <c r="G378" s="18"/>
      <c r="H378" s="18"/>
      <c r="I378" s="18"/>
      <c r="J378" s="21"/>
      <c r="K378" s="18"/>
      <c r="L378" s="18"/>
      <c r="M378" s="18"/>
      <c r="N378" s="18"/>
      <c r="O378" s="18"/>
      <c r="P378" s="18"/>
    </row>
    <row r="379" spans="1:16" ht="15.75" customHeight="1" x14ac:dyDescent="0.35">
      <c r="A379" s="18"/>
      <c r="B379" s="18"/>
      <c r="C379" s="19"/>
      <c r="D379" s="20">
        <v>44320</v>
      </c>
      <c r="E379" s="48" t="s">
        <v>54</v>
      </c>
      <c r="F379" s="18" t="s">
        <v>36</v>
      </c>
      <c r="G379" s="18"/>
      <c r="H379" s="18" t="s">
        <v>45</v>
      </c>
      <c r="I379" s="18"/>
      <c r="J379" s="21">
        <v>120</v>
      </c>
      <c r="K379" s="18"/>
      <c r="L379" s="18">
        <v>15</v>
      </c>
      <c r="M379" s="58">
        <v>84</v>
      </c>
      <c r="N379" s="58">
        <v>227</v>
      </c>
      <c r="O379" s="18"/>
      <c r="P379" s="18"/>
    </row>
    <row r="380" spans="1:16" ht="15.75" customHeight="1" x14ac:dyDescent="0.35">
      <c r="A380" s="18"/>
      <c r="B380" s="18">
        <v>435.38</v>
      </c>
      <c r="C380" s="19"/>
      <c r="D380" s="20">
        <v>44321</v>
      </c>
      <c r="E380" s="48" t="s">
        <v>54</v>
      </c>
      <c r="F380" s="18" t="s">
        <v>37</v>
      </c>
      <c r="G380" s="18"/>
      <c r="H380" s="18" t="s">
        <v>45</v>
      </c>
      <c r="I380" s="18"/>
      <c r="J380" s="21">
        <v>120</v>
      </c>
      <c r="K380" s="18"/>
      <c r="L380" s="18">
        <f>6963.5-6933.1</f>
        <v>30.399999999999636</v>
      </c>
      <c r="M380" s="58">
        <v>158</v>
      </c>
      <c r="N380" s="58">
        <v>261</v>
      </c>
      <c r="O380" s="18">
        <v>-27.8</v>
      </c>
      <c r="P380" s="18"/>
    </row>
    <row r="381" spans="1:16" ht="15.75" customHeight="1" x14ac:dyDescent="0.35">
      <c r="A381" s="18"/>
      <c r="B381" s="18"/>
      <c r="C381" s="19"/>
      <c r="D381" s="20">
        <v>44322</v>
      </c>
      <c r="E381" s="48" t="s">
        <v>54</v>
      </c>
      <c r="F381" s="18" t="s">
        <v>38</v>
      </c>
      <c r="G381" s="18"/>
      <c r="H381" s="18" t="s">
        <v>45</v>
      </c>
      <c r="I381" s="18"/>
      <c r="J381" s="21">
        <v>120</v>
      </c>
      <c r="K381" s="18"/>
      <c r="L381" s="18">
        <f>7018.2-6993.1</f>
        <v>25.099999999999454</v>
      </c>
      <c r="M381" s="58">
        <v>137</v>
      </c>
      <c r="N381" s="58">
        <v>276</v>
      </c>
      <c r="O381" s="18"/>
      <c r="P381" s="18"/>
    </row>
    <row r="382" spans="1:16" ht="15.75" customHeight="1" x14ac:dyDescent="0.35">
      <c r="A382" s="18"/>
      <c r="B382" s="18"/>
      <c r="C382" s="19"/>
      <c r="D382" s="20">
        <v>44323</v>
      </c>
      <c r="E382" s="48" t="s">
        <v>54</v>
      </c>
      <c r="F382" s="18" t="s">
        <v>39</v>
      </c>
      <c r="G382" s="18"/>
      <c r="H382" s="18" t="s">
        <v>45</v>
      </c>
      <c r="I382" s="18"/>
      <c r="J382" s="21">
        <v>120</v>
      </c>
      <c r="K382" s="18"/>
      <c r="L382" s="18">
        <f>7071.5-7052.1</f>
        <v>19.399999999999636</v>
      </c>
      <c r="M382" s="58">
        <v>108</v>
      </c>
      <c r="N382" s="58">
        <v>241</v>
      </c>
      <c r="O382" s="18">
        <v>-27</v>
      </c>
      <c r="P382" s="18"/>
    </row>
    <row r="383" spans="1:16" ht="15.75" customHeight="1" x14ac:dyDescent="0.35">
      <c r="A383" s="18"/>
      <c r="B383" s="18"/>
      <c r="C383" s="19"/>
      <c r="D383" s="20">
        <v>44324</v>
      </c>
      <c r="E383" s="48" t="s">
        <v>54</v>
      </c>
      <c r="F383" s="18" t="s">
        <v>23</v>
      </c>
      <c r="G383" s="18"/>
      <c r="H383" s="18"/>
      <c r="I383" s="18"/>
      <c r="J383" s="21"/>
      <c r="K383" s="18"/>
      <c r="L383" s="18"/>
      <c r="M383" s="18"/>
      <c r="N383" s="18"/>
      <c r="O383" s="18">
        <v>-65</v>
      </c>
      <c r="P383" s="18"/>
    </row>
    <row r="384" spans="1:16" ht="15.75" customHeight="1" x14ac:dyDescent="0.45">
      <c r="A384" s="59">
        <v>18</v>
      </c>
      <c r="B384" s="59">
        <f>SUM(B377:B383)</f>
        <v>435.38</v>
      </c>
      <c r="C384" s="60" t="s">
        <v>47</v>
      </c>
      <c r="D384" s="61"/>
      <c r="E384" s="13"/>
      <c r="F384" s="40" t="s">
        <v>28</v>
      </c>
      <c r="G384" s="40"/>
      <c r="H384" s="40"/>
      <c r="I384" s="40">
        <f>COUNT(J377:J383)</f>
        <v>5</v>
      </c>
      <c r="J384" s="41">
        <f t="shared" ref="J384:O384" si="41">SUM(J377:J383)</f>
        <v>610</v>
      </c>
      <c r="K384" s="42">
        <f t="shared" si="41"/>
        <v>0</v>
      </c>
      <c r="L384" s="42">
        <f t="shared" si="41"/>
        <v>114.199999999998</v>
      </c>
      <c r="M384" s="42">
        <f t="shared" si="41"/>
        <v>625</v>
      </c>
      <c r="N384" s="42">
        <f t="shared" si="41"/>
        <v>1224</v>
      </c>
      <c r="O384" s="42">
        <f t="shared" si="41"/>
        <v>-119.8</v>
      </c>
      <c r="P384" s="62"/>
    </row>
    <row r="385" spans="1:16" ht="15.75" customHeight="1" x14ac:dyDescent="0.35">
      <c r="A385" s="36"/>
      <c r="B385" s="36"/>
      <c r="C385" s="37"/>
      <c r="D385" s="38">
        <v>44325</v>
      </c>
      <c r="E385" s="43" t="s">
        <v>54</v>
      </c>
      <c r="F385" s="36" t="s">
        <v>24</v>
      </c>
      <c r="G385" s="36"/>
      <c r="H385" s="36" t="s">
        <v>45</v>
      </c>
      <c r="I385" s="36"/>
      <c r="J385" s="39">
        <v>130</v>
      </c>
      <c r="K385" s="36"/>
      <c r="L385" s="36">
        <v>21.3</v>
      </c>
      <c r="M385" s="44">
        <v>116</v>
      </c>
      <c r="N385" s="44">
        <v>215</v>
      </c>
      <c r="O385" s="36"/>
      <c r="P385" s="36"/>
    </row>
    <row r="386" spans="1:16" ht="15.75" customHeight="1" x14ac:dyDescent="0.35">
      <c r="A386" s="36"/>
      <c r="B386" s="36"/>
      <c r="C386" s="37"/>
      <c r="D386" s="38">
        <v>44326</v>
      </c>
      <c r="E386" s="43" t="s">
        <v>54</v>
      </c>
      <c r="F386" s="36" t="s">
        <v>35</v>
      </c>
      <c r="G386" s="36"/>
      <c r="H386" s="36" t="s">
        <v>45</v>
      </c>
      <c r="I386" s="36"/>
      <c r="J386" s="39">
        <v>120</v>
      </c>
      <c r="K386" s="36"/>
      <c r="L386" s="36">
        <f>7184.1-7163.8</f>
        <v>20.300000000000182</v>
      </c>
      <c r="M386" s="44">
        <v>85</v>
      </c>
      <c r="N386" s="44">
        <v>186</v>
      </c>
      <c r="O386" s="36"/>
      <c r="P386" s="36"/>
    </row>
    <row r="387" spans="1:16" ht="15.75" customHeight="1" x14ac:dyDescent="0.35">
      <c r="A387" s="36"/>
      <c r="B387" s="36"/>
      <c r="C387" s="37"/>
      <c r="D387" s="38">
        <v>44327</v>
      </c>
      <c r="E387" s="43" t="s">
        <v>54</v>
      </c>
      <c r="F387" s="36" t="s">
        <v>36</v>
      </c>
      <c r="G387" s="36"/>
      <c r="H387" s="36"/>
      <c r="I387" s="36"/>
      <c r="J387" s="39"/>
      <c r="K387" s="36"/>
      <c r="L387" s="36"/>
      <c r="M387" s="36"/>
      <c r="N387" s="36"/>
      <c r="O387" s="36"/>
      <c r="P387" s="36"/>
    </row>
    <row r="388" spans="1:16" ht="15.75" customHeight="1" x14ac:dyDescent="0.35">
      <c r="A388" s="36"/>
      <c r="B388" s="36">
        <v>449.68</v>
      </c>
      <c r="C388" s="37"/>
      <c r="D388" s="38">
        <v>44328</v>
      </c>
      <c r="E388" s="43" t="s">
        <v>54</v>
      </c>
      <c r="F388" s="36" t="s">
        <v>37</v>
      </c>
      <c r="G388" s="36"/>
      <c r="H388" s="36" t="s">
        <v>45</v>
      </c>
      <c r="I388" s="36"/>
      <c r="J388" s="39">
        <v>120</v>
      </c>
      <c r="K388" s="36"/>
      <c r="L388" s="36">
        <f>7244.7-7221.7</f>
        <v>23</v>
      </c>
      <c r="M388" s="44">
        <v>106</v>
      </c>
      <c r="N388" s="44">
        <v>230</v>
      </c>
      <c r="O388" s="36">
        <v>-23</v>
      </c>
      <c r="P388" s="64"/>
    </row>
    <row r="389" spans="1:16" ht="15.75" customHeight="1" x14ac:dyDescent="0.35">
      <c r="A389" s="36"/>
      <c r="B389" s="36"/>
      <c r="C389" s="37"/>
      <c r="D389" s="38">
        <v>44329</v>
      </c>
      <c r="E389" s="43" t="s">
        <v>54</v>
      </c>
      <c r="F389" s="36" t="s">
        <v>38</v>
      </c>
      <c r="G389" s="36"/>
      <c r="H389" s="36" t="s">
        <v>45</v>
      </c>
      <c r="I389" s="36"/>
      <c r="J389" s="39">
        <v>120</v>
      </c>
      <c r="K389" s="36"/>
      <c r="L389" s="36">
        <v>25</v>
      </c>
      <c r="M389" s="44">
        <v>153</v>
      </c>
      <c r="N389" s="44">
        <v>264</v>
      </c>
      <c r="O389" s="36"/>
      <c r="P389" s="36"/>
    </row>
    <row r="390" spans="1:16" ht="15.75" customHeight="1" x14ac:dyDescent="0.35">
      <c r="A390" s="36"/>
      <c r="B390" s="36"/>
      <c r="C390" s="37"/>
      <c r="D390" s="38">
        <v>44330</v>
      </c>
      <c r="E390" s="43" t="s">
        <v>54</v>
      </c>
      <c r="F390" s="36" t="s">
        <v>39</v>
      </c>
      <c r="G390" s="36"/>
      <c r="H390" s="36"/>
      <c r="I390" s="36"/>
      <c r="J390" s="39"/>
      <c r="K390" s="36"/>
      <c r="L390" s="36"/>
      <c r="M390" s="36"/>
      <c r="N390" s="36"/>
      <c r="O390" s="36"/>
      <c r="P390" s="36"/>
    </row>
    <row r="391" spans="1:16" ht="15.75" customHeight="1" x14ac:dyDescent="0.35">
      <c r="A391" s="36"/>
      <c r="B391" s="36"/>
      <c r="C391" s="37"/>
      <c r="D391" s="38">
        <v>44331</v>
      </c>
      <c r="E391" s="43" t="s">
        <v>62</v>
      </c>
      <c r="F391" s="36" t="s">
        <v>23</v>
      </c>
      <c r="G391" s="36"/>
      <c r="H391" s="36" t="s">
        <v>45</v>
      </c>
      <c r="I391" s="36"/>
      <c r="J391" s="39">
        <v>120</v>
      </c>
      <c r="K391" s="36"/>
      <c r="L391" s="36">
        <f>7363-7339</f>
        <v>24</v>
      </c>
      <c r="M391" s="44">
        <v>143</v>
      </c>
      <c r="N391" s="44">
        <v>280</v>
      </c>
      <c r="O391" s="36">
        <v>-25</v>
      </c>
      <c r="P391" s="36"/>
    </row>
    <row r="392" spans="1:16" ht="15.75" customHeight="1" x14ac:dyDescent="0.45">
      <c r="A392" s="59">
        <f>A384+1</f>
        <v>19</v>
      </c>
      <c r="B392" s="59">
        <f>SUM(B385:B391)</f>
        <v>449.68</v>
      </c>
      <c r="C392" s="60" t="s">
        <v>47</v>
      </c>
      <c r="D392" s="61"/>
      <c r="E392" s="13"/>
      <c r="F392" s="40" t="s">
        <v>28</v>
      </c>
      <c r="G392" s="40"/>
      <c r="H392" s="40"/>
      <c r="I392" s="40">
        <f>COUNT(J385:J391)</f>
        <v>5</v>
      </c>
      <c r="J392" s="41">
        <f t="shared" ref="J392:O392" si="42">SUM(J385:J391)</f>
        <v>610</v>
      </c>
      <c r="K392" s="42">
        <f t="shared" si="42"/>
        <v>0</v>
      </c>
      <c r="L392" s="42">
        <f t="shared" si="42"/>
        <v>113.60000000000018</v>
      </c>
      <c r="M392" s="42">
        <f t="shared" si="42"/>
        <v>603</v>
      </c>
      <c r="N392" s="42">
        <f t="shared" si="42"/>
        <v>1175</v>
      </c>
      <c r="O392" s="42">
        <f t="shared" si="42"/>
        <v>-48</v>
      </c>
      <c r="P392" s="62"/>
    </row>
    <row r="393" spans="1:16" ht="15.75" customHeight="1" x14ac:dyDescent="0.35">
      <c r="A393" s="18"/>
      <c r="B393" s="18"/>
      <c r="C393" s="19"/>
      <c r="D393" s="20">
        <v>44332</v>
      </c>
      <c r="E393" s="48" t="s">
        <v>62</v>
      </c>
      <c r="F393" s="18" t="s">
        <v>24</v>
      </c>
      <c r="G393" s="18"/>
      <c r="H393" s="18" t="s">
        <v>45</v>
      </c>
      <c r="I393" s="18"/>
      <c r="J393" s="21">
        <v>130</v>
      </c>
      <c r="K393" s="18"/>
      <c r="L393" s="18">
        <f>7421-7398</f>
        <v>23</v>
      </c>
      <c r="M393" s="58">
        <v>125</v>
      </c>
      <c r="N393" s="58">
        <v>222</v>
      </c>
      <c r="O393" s="18"/>
      <c r="P393" s="18"/>
    </row>
    <row r="394" spans="1:16" ht="15.75" customHeight="1" x14ac:dyDescent="0.35">
      <c r="A394" s="18"/>
      <c r="B394" s="18"/>
      <c r="C394" s="19"/>
      <c r="D394" s="20">
        <v>44333</v>
      </c>
      <c r="E394" s="48" t="s">
        <v>54</v>
      </c>
      <c r="F394" s="18" t="s">
        <v>35</v>
      </c>
      <c r="G394" s="18"/>
      <c r="H394" s="18" t="s">
        <v>45</v>
      </c>
      <c r="I394" s="18"/>
      <c r="J394" s="21">
        <v>120</v>
      </c>
      <c r="K394" s="18"/>
      <c r="L394" s="18">
        <v>17</v>
      </c>
      <c r="M394" s="58">
        <v>115</v>
      </c>
      <c r="N394" s="58">
        <v>221</v>
      </c>
      <c r="O394" s="18">
        <v>-21</v>
      </c>
      <c r="P394" s="58"/>
    </row>
    <row r="395" spans="1:16" ht="15.75" customHeight="1" x14ac:dyDescent="0.35">
      <c r="A395" s="18"/>
      <c r="B395" s="18">
        <v>150</v>
      </c>
      <c r="C395" s="19"/>
      <c r="D395" s="20">
        <v>44334</v>
      </c>
      <c r="E395" s="48" t="s">
        <v>54</v>
      </c>
      <c r="F395" s="18" t="s">
        <v>36</v>
      </c>
      <c r="G395" s="18"/>
      <c r="H395" s="18" t="s">
        <v>45</v>
      </c>
      <c r="I395" s="18"/>
      <c r="J395" s="21">
        <v>120</v>
      </c>
      <c r="K395" s="18"/>
      <c r="L395" s="18">
        <f>7527-7508</f>
        <v>19</v>
      </c>
      <c r="M395" s="18"/>
      <c r="N395" s="18"/>
      <c r="O395" s="18"/>
      <c r="P395" s="18"/>
    </row>
    <row r="396" spans="1:16" ht="15.75" customHeight="1" x14ac:dyDescent="0.35">
      <c r="A396" s="18"/>
      <c r="B396" s="18">
        <v>451.16</v>
      </c>
      <c r="C396" s="19"/>
      <c r="D396" s="20">
        <v>44335</v>
      </c>
      <c r="E396" s="48" t="s">
        <v>54</v>
      </c>
      <c r="F396" s="18" t="s">
        <v>37</v>
      </c>
      <c r="G396" s="18"/>
      <c r="H396" s="18"/>
      <c r="I396" s="18"/>
      <c r="J396" s="21"/>
      <c r="K396" s="18"/>
      <c r="L396" s="18"/>
      <c r="M396" s="18"/>
      <c r="N396" s="18"/>
      <c r="O396" s="18"/>
      <c r="P396" s="18"/>
    </row>
    <row r="397" spans="1:16" ht="15.75" customHeight="1" x14ac:dyDescent="0.35">
      <c r="A397" s="18"/>
      <c r="B397" s="18"/>
      <c r="C397" s="19"/>
      <c r="D397" s="20">
        <v>44336</v>
      </c>
      <c r="E397" s="48" t="s">
        <v>54</v>
      </c>
      <c r="F397" s="18" t="s">
        <v>38</v>
      </c>
      <c r="G397" s="18"/>
      <c r="H397" s="18" t="s">
        <v>45</v>
      </c>
      <c r="I397" s="18"/>
      <c r="J397" s="21">
        <v>120</v>
      </c>
      <c r="K397" s="18"/>
      <c r="L397" s="18">
        <f>7581-7561</f>
        <v>20</v>
      </c>
      <c r="M397" s="58">
        <v>111</v>
      </c>
      <c r="N397" s="58">
        <v>231</v>
      </c>
      <c r="O397" s="18"/>
      <c r="P397" s="18"/>
    </row>
    <row r="398" spans="1:16" ht="15.75" customHeight="1" x14ac:dyDescent="0.35">
      <c r="A398" s="18"/>
      <c r="B398" s="18"/>
      <c r="C398" s="19"/>
      <c r="D398" s="20">
        <v>44337</v>
      </c>
      <c r="E398" s="48" t="s">
        <v>54</v>
      </c>
      <c r="F398" s="18" t="s">
        <v>39</v>
      </c>
      <c r="G398" s="18"/>
      <c r="H398" s="18" t="s">
        <v>45</v>
      </c>
      <c r="I398" s="18"/>
      <c r="J398" s="21">
        <v>120</v>
      </c>
      <c r="K398" s="45">
        <f>22*1.5</f>
        <v>33</v>
      </c>
      <c r="L398" s="18">
        <f>7638-7614</f>
        <v>24</v>
      </c>
      <c r="M398" s="58">
        <v>111</v>
      </c>
      <c r="N398" s="58">
        <v>210</v>
      </c>
      <c r="O398" s="18">
        <v>-25</v>
      </c>
      <c r="P398" s="18"/>
    </row>
    <row r="399" spans="1:16" ht="15.75" customHeight="1" x14ac:dyDescent="0.35">
      <c r="A399" s="18"/>
      <c r="B399" s="18"/>
      <c r="C399" s="19"/>
      <c r="D399" s="20">
        <v>44338</v>
      </c>
      <c r="E399" s="48" t="s">
        <v>54</v>
      </c>
      <c r="F399" s="18" t="s">
        <v>23</v>
      </c>
      <c r="G399" s="18"/>
      <c r="H399" s="18" t="s">
        <v>45</v>
      </c>
      <c r="I399" s="18"/>
      <c r="J399" s="21">
        <v>120</v>
      </c>
      <c r="K399" s="18"/>
      <c r="L399" s="18">
        <v>23</v>
      </c>
      <c r="M399" s="58">
        <v>105</v>
      </c>
      <c r="N399" s="58">
        <v>186</v>
      </c>
      <c r="O399" s="18"/>
      <c r="P399" s="18"/>
    </row>
    <row r="400" spans="1:16" ht="15.75" customHeight="1" x14ac:dyDescent="0.45">
      <c r="A400" s="59">
        <f>A392+1</f>
        <v>20</v>
      </c>
      <c r="B400" s="59">
        <f>SUM(B393:B399)</f>
        <v>601.16000000000008</v>
      </c>
      <c r="C400" s="60" t="s">
        <v>47</v>
      </c>
      <c r="D400" s="61"/>
      <c r="E400" s="13"/>
      <c r="F400" s="40" t="s">
        <v>28</v>
      </c>
      <c r="G400" s="40"/>
      <c r="H400" s="40"/>
      <c r="I400" s="40">
        <f>COUNT(J393:J399)</f>
        <v>6</v>
      </c>
      <c r="J400" s="41">
        <f t="shared" ref="J400:O400" si="43">SUM(J393:J399)</f>
        <v>730</v>
      </c>
      <c r="K400" s="42">
        <f t="shared" si="43"/>
        <v>33</v>
      </c>
      <c r="L400" s="42">
        <f t="shared" si="43"/>
        <v>126</v>
      </c>
      <c r="M400" s="42">
        <f t="shared" si="43"/>
        <v>567</v>
      </c>
      <c r="N400" s="42">
        <f t="shared" si="43"/>
        <v>1070</v>
      </c>
      <c r="O400" s="42">
        <f t="shared" si="43"/>
        <v>-46</v>
      </c>
      <c r="P400" s="62"/>
    </row>
    <row r="401" spans="1:16" ht="15.75" customHeight="1" x14ac:dyDescent="0.35">
      <c r="A401" s="36"/>
      <c r="B401" s="36"/>
      <c r="C401" s="37"/>
      <c r="D401" s="38">
        <v>44339</v>
      </c>
      <c r="E401" s="43" t="s">
        <v>54</v>
      </c>
      <c r="F401" s="36" t="s">
        <v>24</v>
      </c>
      <c r="G401" s="36"/>
      <c r="H401" s="36" t="s">
        <v>45</v>
      </c>
      <c r="I401" s="36"/>
      <c r="J401" s="39">
        <v>130</v>
      </c>
      <c r="K401" s="36"/>
      <c r="L401" s="36">
        <f>7766-7733</f>
        <v>33</v>
      </c>
      <c r="M401" s="44">
        <v>125</v>
      </c>
      <c r="N401" s="44">
        <v>226</v>
      </c>
      <c r="O401" s="36">
        <v>-21</v>
      </c>
      <c r="P401" s="36"/>
    </row>
    <row r="402" spans="1:16" ht="15.75" customHeight="1" x14ac:dyDescent="0.35">
      <c r="A402" s="36"/>
      <c r="B402" s="36"/>
      <c r="C402" s="37"/>
      <c r="D402" s="38">
        <v>44340</v>
      </c>
      <c r="E402" s="43" t="s">
        <v>54</v>
      </c>
      <c r="F402" s="36" t="s">
        <v>35</v>
      </c>
      <c r="G402" s="36"/>
      <c r="H402" s="36" t="s">
        <v>45</v>
      </c>
      <c r="I402" s="36"/>
      <c r="J402" s="39">
        <v>120</v>
      </c>
      <c r="K402" s="36"/>
      <c r="L402" s="36">
        <f>7817-7796</f>
        <v>21</v>
      </c>
      <c r="M402" s="44">
        <v>104</v>
      </c>
      <c r="N402" s="44">
        <v>218</v>
      </c>
      <c r="O402" s="36"/>
      <c r="P402" s="36"/>
    </row>
    <row r="403" spans="1:16" ht="15.75" customHeight="1" x14ac:dyDescent="0.35">
      <c r="A403" s="36"/>
      <c r="B403" s="36">
        <v>730.18</v>
      </c>
      <c r="C403" s="37" t="s">
        <v>47</v>
      </c>
      <c r="D403" s="38">
        <v>44341</v>
      </c>
      <c r="E403" s="43" t="s">
        <v>54</v>
      </c>
      <c r="F403" s="36" t="s">
        <v>36</v>
      </c>
      <c r="G403" s="36"/>
      <c r="H403" s="36" t="s">
        <v>45</v>
      </c>
      <c r="I403" s="36"/>
      <c r="J403" s="39">
        <v>120</v>
      </c>
      <c r="K403" s="36"/>
      <c r="L403" s="36">
        <f>7867-7851</f>
        <v>16</v>
      </c>
      <c r="M403" s="44">
        <v>95</v>
      </c>
      <c r="N403" s="44">
        <v>219</v>
      </c>
      <c r="O403" s="36"/>
      <c r="P403" s="36"/>
    </row>
    <row r="404" spans="1:16" ht="15.75" customHeight="1" x14ac:dyDescent="0.35">
      <c r="A404" s="36"/>
      <c r="B404" s="36"/>
      <c r="C404" s="37"/>
      <c r="D404" s="38">
        <v>44342</v>
      </c>
      <c r="E404" s="43" t="s">
        <v>54</v>
      </c>
      <c r="F404" s="36" t="s">
        <v>37</v>
      </c>
      <c r="G404" s="36"/>
      <c r="H404" s="36" t="s">
        <v>45</v>
      </c>
      <c r="I404" s="36"/>
      <c r="J404" s="39">
        <v>120</v>
      </c>
      <c r="K404" s="45">
        <f>17*1.5</f>
        <v>25.5</v>
      </c>
      <c r="L404" s="36">
        <v>29</v>
      </c>
      <c r="M404" s="44">
        <v>144</v>
      </c>
      <c r="N404" s="44">
        <v>241</v>
      </c>
      <c r="O404" s="36">
        <v>-21</v>
      </c>
      <c r="P404" s="64"/>
    </row>
    <row r="405" spans="1:16" ht="15.75" customHeight="1" x14ac:dyDescent="0.35">
      <c r="A405" s="36"/>
      <c r="B405" s="36"/>
      <c r="C405" s="37"/>
      <c r="D405" s="38">
        <v>44343</v>
      </c>
      <c r="E405" s="43" t="s">
        <v>54</v>
      </c>
      <c r="F405" s="36" t="s">
        <v>38</v>
      </c>
      <c r="G405" s="36"/>
      <c r="H405" s="36" t="s">
        <v>45</v>
      </c>
      <c r="I405" s="36"/>
      <c r="J405" s="39">
        <v>120</v>
      </c>
      <c r="K405" s="36"/>
      <c r="L405" s="36">
        <v>29</v>
      </c>
      <c r="M405" s="44">
        <v>114</v>
      </c>
      <c r="N405" s="44">
        <v>244</v>
      </c>
      <c r="O405" s="36"/>
      <c r="P405" s="36"/>
    </row>
    <row r="406" spans="1:16" ht="15.75" customHeight="1" x14ac:dyDescent="0.35">
      <c r="A406" s="36"/>
      <c r="B406" s="36"/>
      <c r="C406" s="37"/>
      <c r="D406" s="38">
        <v>44344</v>
      </c>
      <c r="E406" s="43" t="s">
        <v>54</v>
      </c>
      <c r="F406" s="36" t="s">
        <v>39</v>
      </c>
      <c r="G406" s="36"/>
      <c r="H406" s="36" t="s">
        <v>45</v>
      </c>
      <c r="I406" s="36"/>
      <c r="J406" s="39">
        <v>120</v>
      </c>
      <c r="K406" s="36"/>
      <c r="L406" s="36">
        <v>21</v>
      </c>
      <c r="M406" s="44">
        <v>93</v>
      </c>
      <c r="N406" s="44">
        <v>207</v>
      </c>
      <c r="O406" s="36">
        <v>-23</v>
      </c>
      <c r="P406" s="36"/>
    </row>
    <row r="407" spans="1:16" ht="15.75" customHeight="1" x14ac:dyDescent="0.35">
      <c r="A407" s="36"/>
      <c r="B407" s="36"/>
      <c r="C407" s="37"/>
      <c r="D407" s="38">
        <v>44345</v>
      </c>
      <c r="E407" s="43" t="s">
        <v>63</v>
      </c>
      <c r="F407" s="36" t="s">
        <v>23</v>
      </c>
      <c r="G407" s="36"/>
      <c r="H407" s="36" t="s">
        <v>45</v>
      </c>
      <c r="I407" s="36"/>
      <c r="J407" s="39">
        <v>120</v>
      </c>
      <c r="K407" s="36"/>
      <c r="L407" s="36">
        <f>8095-8072</f>
        <v>23</v>
      </c>
      <c r="M407" s="44">
        <v>99</v>
      </c>
      <c r="N407" s="44">
        <v>117</v>
      </c>
      <c r="O407" s="36"/>
      <c r="P407" s="36"/>
    </row>
    <row r="408" spans="1:16" ht="15.75" customHeight="1" x14ac:dyDescent="0.45">
      <c r="A408" s="59">
        <f>A400+1</f>
        <v>21</v>
      </c>
      <c r="B408" s="59">
        <f>SUM(B401:B407)</f>
        <v>730.18</v>
      </c>
      <c r="C408" s="60"/>
      <c r="D408" s="61"/>
      <c r="E408" s="13"/>
      <c r="F408" s="40" t="s">
        <v>28</v>
      </c>
      <c r="G408" s="40"/>
      <c r="H408" s="40"/>
      <c r="I408" s="40">
        <f>COUNT(J401:J407)</f>
        <v>7</v>
      </c>
      <c r="J408" s="41">
        <f t="shared" ref="J408:O408" si="44">SUM(J401:J407)</f>
        <v>850</v>
      </c>
      <c r="K408" s="42">
        <f t="shared" si="44"/>
        <v>25.5</v>
      </c>
      <c r="L408" s="42">
        <f t="shared" si="44"/>
        <v>172</v>
      </c>
      <c r="M408" s="42">
        <f t="shared" si="44"/>
        <v>774</v>
      </c>
      <c r="N408" s="42">
        <f t="shared" si="44"/>
        <v>1472</v>
      </c>
      <c r="O408" s="42">
        <f t="shared" si="44"/>
        <v>-65</v>
      </c>
      <c r="P408" s="62"/>
    </row>
    <row r="409" spans="1:16" ht="15.75" customHeight="1" x14ac:dyDescent="0.35">
      <c r="A409" s="18"/>
      <c r="B409" s="18"/>
      <c r="C409" s="19"/>
      <c r="D409" s="20">
        <v>44346</v>
      </c>
      <c r="E409" s="48" t="s">
        <v>64</v>
      </c>
      <c r="F409" s="18" t="s">
        <v>24</v>
      </c>
      <c r="G409" s="18"/>
      <c r="H409" s="18" t="s">
        <v>45</v>
      </c>
      <c r="I409" s="18"/>
      <c r="J409" s="21">
        <v>120</v>
      </c>
      <c r="K409" s="18"/>
      <c r="L409" s="18">
        <f>8175-8139</f>
        <v>36</v>
      </c>
      <c r="M409" s="58">
        <v>140</v>
      </c>
      <c r="N409" s="58">
        <v>241</v>
      </c>
      <c r="O409" s="18"/>
      <c r="P409" s="18"/>
    </row>
    <row r="410" spans="1:16" ht="15.75" customHeight="1" x14ac:dyDescent="0.35">
      <c r="A410" s="18"/>
      <c r="B410" s="18"/>
      <c r="C410" s="19"/>
      <c r="D410" s="20">
        <v>44347</v>
      </c>
      <c r="E410" s="48" t="s">
        <v>64</v>
      </c>
      <c r="F410" s="18" t="s">
        <v>35</v>
      </c>
      <c r="G410" s="18"/>
      <c r="H410" s="18" t="s">
        <v>45</v>
      </c>
      <c r="I410" s="18"/>
      <c r="J410" s="21">
        <v>120</v>
      </c>
      <c r="K410" s="18"/>
      <c r="L410" s="18">
        <f>8237.4-8210.9</f>
        <v>26.5</v>
      </c>
      <c r="M410" s="58">
        <v>102</v>
      </c>
      <c r="N410" s="58">
        <v>180</v>
      </c>
      <c r="O410" s="18">
        <v>-27</v>
      </c>
      <c r="P410" s="18"/>
    </row>
    <row r="411" spans="1:16" ht="15.75" customHeight="1" x14ac:dyDescent="0.35">
      <c r="A411" s="18"/>
      <c r="B411" s="18">
        <v>840.02</v>
      </c>
      <c r="C411" s="19"/>
      <c r="D411" s="20">
        <v>44348</v>
      </c>
      <c r="E411" s="48" t="s">
        <v>64</v>
      </c>
      <c r="F411" s="18" t="s">
        <v>36</v>
      </c>
      <c r="G411" s="18"/>
      <c r="H411" s="18" t="s">
        <v>45</v>
      </c>
      <c r="I411" s="18"/>
      <c r="J411" s="21">
        <v>120</v>
      </c>
      <c r="K411" s="18"/>
      <c r="L411" s="18">
        <f>8304.7-8275.2</f>
        <v>29.5</v>
      </c>
      <c r="M411" s="58">
        <v>124</v>
      </c>
      <c r="N411" s="58">
        <v>235</v>
      </c>
      <c r="O411" s="18"/>
      <c r="P411" s="18"/>
    </row>
    <row r="412" spans="1:16" ht="15.75" customHeight="1" x14ac:dyDescent="0.35">
      <c r="A412" s="18"/>
      <c r="B412" s="18"/>
      <c r="C412" s="19"/>
      <c r="D412" s="20">
        <v>44349</v>
      </c>
      <c r="E412" s="48" t="s">
        <v>64</v>
      </c>
      <c r="F412" s="18" t="s">
        <v>37</v>
      </c>
      <c r="G412" s="18"/>
      <c r="H412" s="18" t="s">
        <v>45</v>
      </c>
      <c r="I412" s="18"/>
      <c r="J412" s="21">
        <v>120</v>
      </c>
      <c r="K412" s="18"/>
      <c r="L412" s="18">
        <f>8362-8344</f>
        <v>18</v>
      </c>
      <c r="M412" s="58">
        <v>94</v>
      </c>
      <c r="N412" s="58">
        <v>200</v>
      </c>
      <c r="O412" s="18">
        <v>-15</v>
      </c>
      <c r="P412" s="18"/>
    </row>
    <row r="413" spans="1:16" ht="15.75" customHeight="1" x14ac:dyDescent="0.35">
      <c r="A413" s="18"/>
      <c r="B413" s="18"/>
      <c r="C413" s="19"/>
      <c r="D413" s="20">
        <v>44350</v>
      </c>
      <c r="E413" s="48" t="s">
        <v>64</v>
      </c>
      <c r="F413" s="18" t="s">
        <v>38</v>
      </c>
      <c r="G413" s="18"/>
      <c r="H413" s="18" t="s">
        <v>45</v>
      </c>
      <c r="I413" s="18"/>
      <c r="J413" s="21">
        <v>120</v>
      </c>
      <c r="K413" s="18"/>
      <c r="L413" s="18">
        <f>8416-8397</f>
        <v>19</v>
      </c>
      <c r="M413" s="58">
        <v>80</v>
      </c>
      <c r="N413" s="58">
        <v>180</v>
      </c>
      <c r="O413" s="18">
        <v>-25</v>
      </c>
      <c r="P413" s="18"/>
    </row>
    <row r="414" spans="1:16" ht="15.75" customHeight="1" x14ac:dyDescent="0.35">
      <c r="A414" s="18"/>
      <c r="B414" s="18"/>
      <c r="C414" s="19"/>
      <c r="D414" s="20">
        <v>44351</v>
      </c>
      <c r="E414" s="48" t="s">
        <v>64</v>
      </c>
      <c r="F414" s="18" t="s">
        <v>39</v>
      </c>
      <c r="G414" s="18"/>
      <c r="H414" s="18" t="s">
        <v>45</v>
      </c>
      <c r="I414" s="18"/>
      <c r="J414" s="21">
        <v>120</v>
      </c>
      <c r="K414" s="18"/>
      <c r="L414" s="18">
        <v>15</v>
      </c>
      <c r="M414" s="58">
        <v>88</v>
      </c>
      <c r="N414" s="58">
        <v>186</v>
      </c>
      <c r="O414" s="18"/>
      <c r="P414" s="18"/>
    </row>
    <row r="415" spans="1:16" ht="15.75" customHeight="1" x14ac:dyDescent="0.35">
      <c r="A415" s="75"/>
      <c r="B415" s="75"/>
      <c r="C415" s="76"/>
      <c r="D415" s="77">
        <v>44352</v>
      </c>
      <c r="E415" s="78" t="s">
        <v>63</v>
      </c>
      <c r="F415" s="75" t="s">
        <v>23</v>
      </c>
      <c r="G415" s="75"/>
      <c r="H415" s="75" t="s">
        <v>45</v>
      </c>
      <c r="I415" s="75"/>
      <c r="J415" s="79">
        <v>130</v>
      </c>
      <c r="K415" s="75"/>
      <c r="L415" s="75">
        <f>8535.7-8511.7</f>
        <v>24</v>
      </c>
      <c r="M415" s="80">
        <v>100</v>
      </c>
      <c r="N415" s="80">
        <v>183</v>
      </c>
      <c r="O415" s="75"/>
      <c r="P415" s="75"/>
    </row>
    <row r="416" spans="1:16" ht="15.75" customHeight="1" x14ac:dyDescent="0.35">
      <c r="A416" s="75"/>
      <c r="B416" s="75"/>
      <c r="C416" s="76"/>
      <c r="D416" s="77">
        <v>44352</v>
      </c>
      <c r="E416" s="78" t="s">
        <v>65</v>
      </c>
      <c r="F416" s="75" t="s">
        <v>23</v>
      </c>
      <c r="G416" s="75"/>
      <c r="H416" s="75" t="s">
        <v>45</v>
      </c>
      <c r="I416" s="75"/>
      <c r="J416" s="79">
        <v>130</v>
      </c>
      <c r="K416" s="75"/>
      <c r="L416" s="75">
        <f>8545.2-8535.7</f>
        <v>9.5</v>
      </c>
      <c r="M416" s="80">
        <v>59</v>
      </c>
      <c r="N416" s="80">
        <v>102</v>
      </c>
      <c r="O416" s="75"/>
      <c r="P416" s="75"/>
    </row>
    <row r="417" spans="1:16" ht="15.75" customHeight="1" x14ac:dyDescent="0.45">
      <c r="A417" s="59">
        <f>A408+1</f>
        <v>22</v>
      </c>
      <c r="B417" s="59">
        <f>SUM(B409:B415)</f>
        <v>840.02</v>
      </c>
      <c r="C417" s="60" t="s">
        <v>47</v>
      </c>
      <c r="D417" s="61"/>
      <c r="E417" s="13"/>
      <c r="F417" s="40" t="s">
        <v>28</v>
      </c>
      <c r="G417" s="40"/>
      <c r="H417" s="40"/>
      <c r="I417" s="40">
        <f>COUNT(J410:J416)</f>
        <v>7</v>
      </c>
      <c r="J417" s="41">
        <f>SUM(J409:J416)</f>
        <v>980</v>
      </c>
      <c r="K417" s="42">
        <f t="shared" ref="K417:L417" si="45">SUM(K409:K415)</f>
        <v>0</v>
      </c>
      <c r="L417" s="42">
        <f t="shared" si="45"/>
        <v>168</v>
      </c>
      <c r="M417" s="42">
        <f t="shared" ref="M417:N417" si="46">SUM(M410:M416)</f>
        <v>647</v>
      </c>
      <c r="N417" s="42">
        <f t="shared" si="46"/>
        <v>1266</v>
      </c>
      <c r="O417" s="42">
        <f>SUM(O409:O415)</f>
        <v>-67</v>
      </c>
      <c r="P417" s="62"/>
    </row>
    <row r="418" spans="1:16" ht="15.75" customHeight="1" x14ac:dyDescent="0.35">
      <c r="A418" s="36"/>
      <c r="B418" s="36"/>
      <c r="C418" s="37"/>
      <c r="D418" s="38">
        <v>44353</v>
      </c>
      <c r="E418" s="43" t="s">
        <v>64</v>
      </c>
      <c r="F418" s="36" t="s">
        <v>24</v>
      </c>
      <c r="G418" s="36"/>
      <c r="H418" s="36" t="s">
        <v>45</v>
      </c>
      <c r="I418" s="36"/>
      <c r="J418" s="39">
        <v>120</v>
      </c>
      <c r="K418" s="36">
        <v>25</v>
      </c>
      <c r="L418" s="36">
        <f>8597.3-8580.2</f>
        <v>17.099999999998545</v>
      </c>
      <c r="M418" s="44">
        <v>103</v>
      </c>
      <c r="N418" s="44">
        <v>192</v>
      </c>
      <c r="O418" s="36">
        <v>-25</v>
      </c>
      <c r="P418" s="36"/>
    </row>
    <row r="419" spans="1:16" ht="15.75" customHeight="1" x14ac:dyDescent="0.35">
      <c r="A419" s="36"/>
      <c r="B419" s="36"/>
      <c r="C419" s="37"/>
      <c r="D419" s="38">
        <v>44354</v>
      </c>
      <c r="E419" s="43" t="s">
        <v>64</v>
      </c>
      <c r="F419" s="36" t="s">
        <v>35</v>
      </c>
      <c r="G419" s="36"/>
      <c r="H419" s="36" t="s">
        <v>45</v>
      </c>
      <c r="I419" s="36"/>
      <c r="J419" s="39">
        <v>120</v>
      </c>
      <c r="K419" s="36"/>
      <c r="L419" s="36">
        <f>8652.9-8634.9</f>
        <v>18</v>
      </c>
      <c r="M419" s="44">
        <v>91</v>
      </c>
      <c r="N419" s="44">
        <v>189</v>
      </c>
      <c r="O419" s="36"/>
      <c r="P419" s="36"/>
    </row>
    <row r="420" spans="1:16" ht="15.75" customHeight="1" x14ac:dyDescent="0.35">
      <c r="A420" s="36"/>
      <c r="B420" s="36">
        <v>711.6</v>
      </c>
      <c r="C420" s="37"/>
      <c r="D420" s="38">
        <v>44355</v>
      </c>
      <c r="E420" s="43" t="s">
        <v>64</v>
      </c>
      <c r="F420" s="36" t="s">
        <v>36</v>
      </c>
      <c r="G420" s="36"/>
      <c r="H420" s="36" t="s">
        <v>45</v>
      </c>
      <c r="I420" s="36"/>
      <c r="J420" s="39">
        <v>120</v>
      </c>
      <c r="K420" s="36"/>
      <c r="L420" s="36">
        <f>8704-8686.9</f>
        <v>17.100000000000364</v>
      </c>
      <c r="M420" s="44">
        <v>90</v>
      </c>
      <c r="N420" s="44">
        <v>168</v>
      </c>
      <c r="O420" s="36"/>
      <c r="P420" s="36"/>
    </row>
    <row r="421" spans="1:16" ht="15.75" customHeight="1" x14ac:dyDescent="0.35">
      <c r="A421" s="36"/>
      <c r="B421" s="36"/>
      <c r="C421" s="37"/>
      <c r="D421" s="38">
        <v>44356</v>
      </c>
      <c r="E421" s="43" t="s">
        <v>64</v>
      </c>
      <c r="F421" s="36" t="s">
        <v>37</v>
      </c>
      <c r="G421" s="36"/>
      <c r="H421" s="36" t="s">
        <v>45</v>
      </c>
      <c r="I421" s="36"/>
      <c r="J421" s="39">
        <v>120</v>
      </c>
      <c r="K421" s="36"/>
      <c r="L421" s="36">
        <v>15</v>
      </c>
      <c r="M421" s="44">
        <v>72</v>
      </c>
      <c r="N421" s="44">
        <v>170</v>
      </c>
      <c r="O421" s="36">
        <v>-27</v>
      </c>
      <c r="P421" s="64"/>
    </row>
    <row r="422" spans="1:16" ht="15.75" customHeight="1" x14ac:dyDescent="0.35">
      <c r="A422" s="36"/>
      <c r="B422" s="36"/>
      <c r="C422" s="37"/>
      <c r="D422" s="38">
        <v>44357</v>
      </c>
      <c r="E422" s="43" t="s">
        <v>64</v>
      </c>
      <c r="F422" s="36" t="s">
        <v>38</v>
      </c>
      <c r="G422" s="36"/>
      <c r="H422" s="36" t="s">
        <v>45</v>
      </c>
      <c r="I422" s="36"/>
      <c r="J422" s="39">
        <v>120</v>
      </c>
      <c r="K422" s="36"/>
      <c r="L422" s="36">
        <f>8806-8788.9</f>
        <v>17.100000000000364</v>
      </c>
      <c r="M422" s="44">
        <v>72</v>
      </c>
      <c r="N422" s="44">
        <v>160</v>
      </c>
      <c r="O422" s="36"/>
      <c r="P422" s="36"/>
    </row>
    <row r="423" spans="1:16" ht="15.75" customHeight="1" x14ac:dyDescent="0.35">
      <c r="A423" s="36"/>
      <c r="B423" s="36"/>
      <c r="C423" s="37"/>
      <c r="D423" s="38">
        <v>44358</v>
      </c>
      <c r="E423" s="43" t="s">
        <v>64</v>
      </c>
      <c r="F423" s="36" t="s">
        <v>39</v>
      </c>
      <c r="G423" s="36"/>
      <c r="H423" s="36" t="s">
        <v>45</v>
      </c>
      <c r="I423" s="36"/>
      <c r="J423" s="39">
        <v>120</v>
      </c>
      <c r="K423" s="36"/>
      <c r="L423" s="36">
        <f>8863.4-8843.5</f>
        <v>19.899999999999636</v>
      </c>
      <c r="M423" s="44">
        <v>88</v>
      </c>
      <c r="N423" s="44">
        <v>184</v>
      </c>
      <c r="O423" s="36">
        <v>-25</v>
      </c>
      <c r="P423" s="36"/>
    </row>
    <row r="424" spans="1:16" ht="15.75" customHeight="1" x14ac:dyDescent="0.35">
      <c r="A424" s="36"/>
      <c r="B424" s="36"/>
      <c r="C424" s="37"/>
      <c r="D424" s="38">
        <v>44359</v>
      </c>
      <c r="E424" s="43" t="s">
        <v>64</v>
      </c>
      <c r="F424" s="36" t="s">
        <v>23</v>
      </c>
      <c r="G424" s="36"/>
      <c r="H424" s="36" t="s">
        <v>45</v>
      </c>
      <c r="I424" s="36"/>
      <c r="J424" s="39">
        <v>120</v>
      </c>
      <c r="K424" s="36"/>
      <c r="L424" s="36">
        <f>8923.1-8901.9</f>
        <v>21.200000000000728</v>
      </c>
      <c r="M424" s="44">
        <v>93</v>
      </c>
      <c r="N424" s="44">
        <v>170</v>
      </c>
      <c r="O424" s="36">
        <v>-12</v>
      </c>
      <c r="P424" s="36"/>
    </row>
    <row r="425" spans="1:16" ht="15.75" customHeight="1" x14ac:dyDescent="0.45">
      <c r="A425" s="59">
        <f>A417+1</f>
        <v>23</v>
      </c>
      <c r="B425" s="59">
        <f>SUM(B418:B424)</f>
        <v>711.6</v>
      </c>
      <c r="C425" s="60" t="s">
        <v>47</v>
      </c>
      <c r="D425" s="61"/>
      <c r="E425" s="13"/>
      <c r="F425" s="40" t="s">
        <v>28</v>
      </c>
      <c r="G425" s="40"/>
      <c r="H425" s="40"/>
      <c r="I425" s="40">
        <f>COUNT(J418:J424)</f>
        <v>7</v>
      </c>
      <c r="J425" s="41">
        <f t="shared" ref="J425:O425" si="47">SUM(J418:J424)</f>
        <v>840</v>
      </c>
      <c r="K425" s="42">
        <f t="shared" si="47"/>
        <v>25</v>
      </c>
      <c r="L425" s="42">
        <f t="shared" si="47"/>
        <v>125.39999999999964</v>
      </c>
      <c r="M425" s="42">
        <f t="shared" si="47"/>
        <v>609</v>
      </c>
      <c r="N425" s="42">
        <f t="shared" si="47"/>
        <v>1233</v>
      </c>
      <c r="O425" s="42">
        <f t="shared" si="47"/>
        <v>-89</v>
      </c>
      <c r="P425" s="62"/>
    </row>
    <row r="426" spans="1:16" ht="15.75" customHeight="1" x14ac:dyDescent="0.35">
      <c r="A426" s="18"/>
      <c r="B426" s="18"/>
      <c r="C426" s="19"/>
      <c r="D426" s="20">
        <v>44360</v>
      </c>
      <c r="E426" s="48" t="s">
        <v>54</v>
      </c>
      <c r="F426" s="18" t="s">
        <v>24</v>
      </c>
      <c r="G426" s="18"/>
      <c r="H426" s="18" t="s">
        <v>45</v>
      </c>
      <c r="I426" s="18"/>
      <c r="J426" s="21">
        <v>120</v>
      </c>
      <c r="K426" s="18"/>
      <c r="L426" s="18">
        <f>8982.1-8958.5</f>
        <v>23.600000000000364</v>
      </c>
      <c r="M426" s="58">
        <v>116</v>
      </c>
      <c r="N426" s="58">
        <v>208</v>
      </c>
      <c r="O426" s="18"/>
      <c r="P426" s="18"/>
    </row>
    <row r="427" spans="1:16" ht="15.75" customHeight="1" x14ac:dyDescent="0.35">
      <c r="A427" s="18"/>
      <c r="B427" s="18"/>
      <c r="C427" s="19"/>
      <c r="D427" s="20">
        <v>44361</v>
      </c>
      <c r="E427" s="48" t="s">
        <v>66</v>
      </c>
      <c r="F427" s="18" t="s">
        <v>35</v>
      </c>
      <c r="G427" s="18"/>
      <c r="H427" s="18" t="s">
        <v>45</v>
      </c>
      <c r="I427" s="18"/>
      <c r="J427" s="21">
        <v>120</v>
      </c>
      <c r="K427" s="18"/>
      <c r="L427" s="18">
        <f>9057.3-9017.9</f>
        <v>39.399999999999636</v>
      </c>
      <c r="M427" s="58">
        <v>122</v>
      </c>
      <c r="N427" s="58">
        <v>136</v>
      </c>
      <c r="O427" s="18">
        <v>-25</v>
      </c>
      <c r="P427" s="18"/>
    </row>
    <row r="428" spans="1:16" ht="15.75" customHeight="1" x14ac:dyDescent="0.35">
      <c r="A428" s="18"/>
      <c r="B428" s="18">
        <v>719.9</v>
      </c>
      <c r="C428" s="19"/>
      <c r="D428" s="20">
        <v>44362</v>
      </c>
      <c r="E428" s="48" t="s">
        <v>66</v>
      </c>
      <c r="F428" s="18" t="s">
        <v>36</v>
      </c>
      <c r="G428" s="18"/>
      <c r="H428" s="18" t="s">
        <v>45</v>
      </c>
      <c r="I428" s="18"/>
      <c r="J428" s="21">
        <v>120</v>
      </c>
      <c r="K428" s="18">
        <f>16</f>
        <v>16</v>
      </c>
      <c r="L428" s="18">
        <f>9137.9-9095.2</f>
        <v>42.699999999998909</v>
      </c>
      <c r="M428" s="58">
        <v>115</v>
      </c>
      <c r="N428" s="58">
        <v>136</v>
      </c>
      <c r="O428" s="18"/>
      <c r="P428" s="18"/>
    </row>
    <row r="429" spans="1:16" ht="15.75" customHeight="1" x14ac:dyDescent="0.35">
      <c r="A429" s="18"/>
      <c r="B429" s="18"/>
      <c r="C429" s="19"/>
      <c r="D429" s="20">
        <v>44363</v>
      </c>
      <c r="E429" s="48" t="s">
        <v>67</v>
      </c>
      <c r="F429" s="18" t="s">
        <v>37</v>
      </c>
      <c r="G429" s="18"/>
      <c r="H429" s="18" t="s">
        <v>45</v>
      </c>
      <c r="I429" s="18"/>
      <c r="J429" s="21">
        <v>120</v>
      </c>
      <c r="K429" s="18"/>
      <c r="L429" s="18">
        <f>9214.1-9174.9</f>
        <v>39.200000000000728</v>
      </c>
      <c r="M429" s="58">
        <v>116</v>
      </c>
      <c r="N429" s="58">
        <v>137</v>
      </c>
      <c r="O429" s="18">
        <v>-27.99</v>
      </c>
      <c r="P429" s="18"/>
    </row>
    <row r="430" spans="1:16" ht="15.75" customHeight="1" x14ac:dyDescent="0.35">
      <c r="A430" s="18"/>
      <c r="B430" s="18"/>
      <c r="C430" s="19"/>
      <c r="D430" s="20">
        <v>44364</v>
      </c>
      <c r="E430" s="48" t="s">
        <v>67</v>
      </c>
      <c r="F430" s="18" t="s">
        <v>38</v>
      </c>
      <c r="G430" s="18"/>
      <c r="H430" s="18" t="s">
        <v>45</v>
      </c>
      <c r="I430" s="18"/>
      <c r="J430" s="21">
        <v>120</v>
      </c>
      <c r="K430" s="18"/>
      <c r="L430" s="18">
        <f>9297.7-9254.1</f>
        <v>43.600000000000364</v>
      </c>
      <c r="M430" s="58">
        <v>110</v>
      </c>
      <c r="N430" s="58">
        <v>119</v>
      </c>
      <c r="O430" s="18"/>
      <c r="P430" s="18"/>
    </row>
    <row r="431" spans="1:16" ht="15.75" customHeight="1" x14ac:dyDescent="0.35">
      <c r="A431" s="18"/>
      <c r="B431" s="18"/>
      <c r="C431" s="19"/>
      <c r="D431" s="20">
        <v>44365</v>
      </c>
      <c r="E431" s="48" t="s">
        <v>67</v>
      </c>
      <c r="F431" s="18" t="s">
        <v>39</v>
      </c>
      <c r="G431" s="18"/>
      <c r="H431" s="18" t="s">
        <v>45</v>
      </c>
      <c r="I431" s="18"/>
      <c r="J431" s="21">
        <v>120</v>
      </c>
      <c r="K431" s="18"/>
      <c r="L431" s="18">
        <f>9371.9-9340.2</f>
        <v>31.699999999998909</v>
      </c>
      <c r="M431" s="58">
        <v>88</v>
      </c>
      <c r="N431" s="58">
        <v>99</v>
      </c>
      <c r="O431" s="18">
        <v>-27</v>
      </c>
      <c r="P431" s="18"/>
    </row>
    <row r="432" spans="1:16" ht="15.75" customHeight="1" x14ac:dyDescent="0.35">
      <c r="A432" s="18"/>
      <c r="B432" s="18"/>
      <c r="C432" s="19"/>
      <c r="D432" s="20">
        <v>44366</v>
      </c>
      <c r="E432" s="48" t="s">
        <v>67</v>
      </c>
      <c r="F432" s="18" t="s">
        <v>23</v>
      </c>
      <c r="G432" s="18"/>
      <c r="H432" s="18" t="s">
        <v>45</v>
      </c>
      <c r="I432" s="18"/>
      <c r="J432" s="21">
        <v>120</v>
      </c>
      <c r="K432" s="18"/>
      <c r="L432" s="18">
        <f>9468-9421.9</f>
        <v>46.100000000000364</v>
      </c>
      <c r="M432" s="58">
        <v>119</v>
      </c>
      <c r="N432" s="58">
        <v>135</v>
      </c>
      <c r="O432" s="58">
        <v>-17</v>
      </c>
      <c r="P432" s="58"/>
    </row>
    <row r="433" spans="1:16" ht="15.75" customHeight="1" x14ac:dyDescent="0.45">
      <c r="A433" s="59">
        <f>A425+1</f>
        <v>24</v>
      </c>
      <c r="B433" s="59">
        <f>SUM(B426:B432)</f>
        <v>719.9</v>
      </c>
      <c r="C433" s="81" t="s">
        <v>47</v>
      </c>
      <c r="D433" s="61"/>
      <c r="E433" s="13"/>
      <c r="F433" s="40" t="s">
        <v>28</v>
      </c>
      <c r="G433" s="40"/>
      <c r="H433" s="40"/>
      <c r="I433" s="40">
        <f>COUNT(J426:J432)</f>
        <v>7</v>
      </c>
      <c r="J433" s="41">
        <f t="shared" ref="J433:O433" si="48">SUM(J426:J432)</f>
        <v>840</v>
      </c>
      <c r="K433" s="42">
        <f t="shared" si="48"/>
        <v>16</v>
      </c>
      <c r="L433" s="42">
        <f t="shared" si="48"/>
        <v>266.29999999999927</v>
      </c>
      <c r="M433" s="42">
        <f t="shared" si="48"/>
        <v>786</v>
      </c>
      <c r="N433" s="42">
        <f t="shared" si="48"/>
        <v>970</v>
      </c>
      <c r="O433" s="42">
        <f t="shared" si="48"/>
        <v>-96.99</v>
      </c>
      <c r="P433" s="62"/>
    </row>
    <row r="434" spans="1:16" ht="15.75" customHeight="1" x14ac:dyDescent="0.35">
      <c r="A434" s="82"/>
      <c r="B434" s="82"/>
      <c r="C434" s="83"/>
      <c r="D434" s="84">
        <v>44367</v>
      </c>
      <c r="E434" s="85" t="s">
        <v>63</v>
      </c>
      <c r="F434" s="82" t="s">
        <v>24</v>
      </c>
      <c r="G434" s="82"/>
      <c r="H434" s="82"/>
      <c r="I434" s="82"/>
      <c r="J434" s="86">
        <v>165.75</v>
      </c>
      <c r="K434" s="82"/>
      <c r="L434" s="82">
        <f>18435-18413</f>
        <v>22</v>
      </c>
      <c r="M434" s="87">
        <v>120</v>
      </c>
      <c r="N434" s="87">
        <v>235</v>
      </c>
      <c r="O434" s="82"/>
      <c r="P434" s="88"/>
    </row>
    <row r="435" spans="1:16" ht="15.75" customHeight="1" x14ac:dyDescent="0.35">
      <c r="A435" s="36"/>
      <c r="B435" s="36"/>
      <c r="C435" s="37"/>
      <c r="D435" s="38">
        <v>44368</v>
      </c>
      <c r="E435" s="85" t="s">
        <v>63</v>
      </c>
      <c r="F435" s="36" t="s">
        <v>35</v>
      </c>
      <c r="G435" s="36"/>
      <c r="H435" s="36"/>
      <c r="I435" s="36"/>
      <c r="J435" s="39">
        <v>165.75</v>
      </c>
      <c r="K435" s="36"/>
      <c r="L435" s="36">
        <f>18489-18469</f>
        <v>20</v>
      </c>
      <c r="M435" s="44">
        <v>114</v>
      </c>
      <c r="N435" s="44">
        <v>235</v>
      </c>
      <c r="O435" s="36">
        <v>-27</v>
      </c>
      <c r="P435" s="36"/>
    </row>
    <row r="436" spans="1:16" ht="15.75" customHeight="1" x14ac:dyDescent="0.35">
      <c r="A436" s="36"/>
      <c r="B436" s="36"/>
      <c r="C436" s="37"/>
      <c r="D436" s="38">
        <v>44369</v>
      </c>
      <c r="E436" s="85" t="s">
        <v>63</v>
      </c>
      <c r="F436" s="36" t="s">
        <v>36</v>
      </c>
      <c r="G436" s="36"/>
      <c r="H436" s="36"/>
      <c r="I436" s="36"/>
      <c r="J436" s="39">
        <v>165.75</v>
      </c>
      <c r="K436" s="36"/>
      <c r="L436" s="36">
        <f>18550-18523</f>
        <v>27</v>
      </c>
      <c r="M436" s="44">
        <v>144</v>
      </c>
      <c r="N436" s="44">
        <v>331</v>
      </c>
      <c r="O436" s="36"/>
      <c r="P436" s="36"/>
    </row>
    <row r="437" spans="1:16" ht="15.75" customHeight="1" x14ac:dyDescent="0.35">
      <c r="A437" s="36"/>
      <c r="B437" s="36">
        <v>900.52</v>
      </c>
      <c r="C437" s="37"/>
      <c r="D437" s="38">
        <v>44370</v>
      </c>
      <c r="E437" s="85" t="s">
        <v>63</v>
      </c>
      <c r="F437" s="36" t="s">
        <v>37</v>
      </c>
      <c r="G437" s="36"/>
      <c r="H437" s="36"/>
      <c r="I437" s="36"/>
      <c r="J437" s="39">
        <v>165.75</v>
      </c>
      <c r="K437" s="36"/>
      <c r="L437" s="36">
        <f>18619-18592</f>
        <v>27</v>
      </c>
      <c r="M437" s="44">
        <v>125</v>
      </c>
      <c r="N437" s="44">
        <v>233</v>
      </c>
      <c r="O437" s="36">
        <v>-27</v>
      </c>
      <c r="P437" s="64"/>
    </row>
    <row r="438" spans="1:16" ht="15.75" customHeight="1" x14ac:dyDescent="0.35">
      <c r="A438" s="75"/>
      <c r="B438" s="80"/>
      <c r="C438" s="76"/>
      <c r="D438" s="77">
        <v>44370</v>
      </c>
      <c r="E438" s="85" t="s">
        <v>68</v>
      </c>
      <c r="F438" s="75" t="s">
        <v>37</v>
      </c>
      <c r="G438" s="75"/>
      <c r="H438" s="75"/>
      <c r="I438" s="75"/>
      <c r="J438" s="79">
        <v>165.75</v>
      </c>
      <c r="K438" s="75"/>
      <c r="L438" s="75"/>
      <c r="M438" s="80">
        <v>35</v>
      </c>
      <c r="N438" s="80">
        <v>91</v>
      </c>
      <c r="O438" s="75"/>
      <c r="P438" s="75"/>
    </row>
    <row r="439" spans="1:16" ht="15.75" customHeight="1" x14ac:dyDescent="0.35">
      <c r="A439" s="36"/>
      <c r="B439" s="36"/>
      <c r="C439" s="37"/>
      <c r="D439" s="38">
        <v>44371</v>
      </c>
      <c r="E439" s="85" t="s">
        <v>63</v>
      </c>
      <c r="F439" s="36" t="s">
        <v>38</v>
      </c>
      <c r="G439" s="36"/>
      <c r="H439" s="36"/>
      <c r="I439" s="36"/>
      <c r="J439" s="39">
        <v>165.75</v>
      </c>
      <c r="K439" s="36"/>
      <c r="L439" s="36">
        <f>18680-18653</f>
        <v>27</v>
      </c>
      <c r="M439" s="44">
        <v>172</v>
      </c>
      <c r="N439" s="44">
        <v>308</v>
      </c>
      <c r="O439" s="36"/>
      <c r="P439" s="36"/>
    </row>
    <row r="440" spans="1:16" ht="15.75" customHeight="1" x14ac:dyDescent="0.35">
      <c r="A440" s="36"/>
      <c r="B440" s="36"/>
      <c r="C440" s="37"/>
      <c r="D440" s="38">
        <v>44372</v>
      </c>
      <c r="E440" s="85" t="s">
        <v>63</v>
      </c>
      <c r="F440" s="36" t="s">
        <v>39</v>
      </c>
      <c r="G440" s="36"/>
      <c r="H440" s="36"/>
      <c r="I440" s="36"/>
      <c r="J440" s="39">
        <v>165.75</v>
      </c>
      <c r="K440" s="36"/>
      <c r="L440" s="36">
        <f>18748-18722</f>
        <v>26</v>
      </c>
      <c r="M440" s="44">
        <v>145</v>
      </c>
      <c r="N440" s="44">
        <v>246</v>
      </c>
      <c r="O440" s="36"/>
      <c r="P440" s="36"/>
    </row>
    <row r="441" spans="1:16" ht="15.75" customHeight="1" x14ac:dyDescent="0.35">
      <c r="A441" s="36"/>
      <c r="B441" s="36"/>
      <c r="C441" s="37"/>
      <c r="D441" s="38">
        <v>44373</v>
      </c>
      <c r="E441" s="85" t="s">
        <v>63</v>
      </c>
      <c r="F441" s="36" t="s">
        <v>23</v>
      </c>
      <c r="G441" s="36"/>
      <c r="H441" s="36"/>
      <c r="I441" s="36"/>
      <c r="J441" s="39">
        <v>165.75</v>
      </c>
      <c r="K441" s="36"/>
      <c r="L441" s="36">
        <f>18814-18784</f>
        <v>30</v>
      </c>
      <c r="M441" s="44">
        <v>120</v>
      </c>
      <c r="N441" s="44">
        <v>222</v>
      </c>
      <c r="O441" s="36">
        <v>-27</v>
      </c>
      <c r="P441" s="36"/>
    </row>
    <row r="442" spans="1:16" ht="15.75" customHeight="1" x14ac:dyDescent="0.35">
      <c r="A442" s="75"/>
      <c r="B442" s="75"/>
      <c r="C442" s="76"/>
      <c r="D442" s="77">
        <v>44373</v>
      </c>
      <c r="E442" s="85" t="s">
        <v>63</v>
      </c>
      <c r="F442" s="75" t="s">
        <v>23</v>
      </c>
      <c r="G442" s="75"/>
      <c r="H442" s="75"/>
      <c r="I442" s="75"/>
      <c r="J442" s="79">
        <f>145/2</f>
        <v>72.5</v>
      </c>
      <c r="K442" s="75"/>
      <c r="L442" s="75"/>
      <c r="M442" s="75"/>
      <c r="N442" s="75"/>
      <c r="O442" s="75"/>
      <c r="P442" s="75"/>
    </row>
    <row r="443" spans="1:16" ht="15.75" customHeight="1" x14ac:dyDescent="0.45">
      <c r="A443" s="59">
        <f>A433+1</f>
        <v>25</v>
      </c>
      <c r="B443" s="59">
        <f>SUM(B434:B441)</f>
        <v>900.52</v>
      </c>
      <c r="C443" s="81" t="s">
        <v>47</v>
      </c>
      <c r="D443" s="61"/>
      <c r="E443" s="13"/>
      <c r="F443" s="40" t="s">
        <v>28</v>
      </c>
      <c r="G443" s="40"/>
      <c r="H443" s="40"/>
      <c r="I443" s="40">
        <f>COUNT(J436:J442)</f>
        <v>7</v>
      </c>
      <c r="J443" s="41">
        <f>SUM(J434:J442)</f>
        <v>1398.5</v>
      </c>
      <c r="K443" s="42">
        <f t="shared" ref="K443:L443" si="49">SUM(K434:K441)</f>
        <v>0</v>
      </c>
      <c r="L443" s="42">
        <f t="shared" si="49"/>
        <v>179</v>
      </c>
      <c r="M443" s="42">
        <f t="shared" ref="M443:N443" si="50">SUM(M436:M442)</f>
        <v>741</v>
      </c>
      <c r="N443" s="42">
        <f t="shared" si="50"/>
        <v>1431</v>
      </c>
      <c r="O443" s="42">
        <f>SUM(O434:O441)</f>
        <v>-81</v>
      </c>
      <c r="P443" s="62"/>
    </row>
    <row r="444" spans="1:16" ht="15.75" customHeight="1" x14ac:dyDescent="0.35">
      <c r="A444" s="18"/>
      <c r="B444" s="18"/>
      <c r="C444" s="19"/>
      <c r="D444" s="20">
        <v>44374</v>
      </c>
      <c r="E444" s="48" t="s">
        <v>63</v>
      </c>
      <c r="F444" s="18" t="s">
        <v>24</v>
      </c>
      <c r="G444" s="18"/>
      <c r="H444" s="18"/>
      <c r="I444" s="18"/>
      <c r="J444" s="21"/>
      <c r="K444" s="18"/>
      <c r="L444" s="18"/>
      <c r="M444" s="18"/>
      <c r="N444" s="18"/>
      <c r="O444" s="18"/>
      <c r="P444" s="89"/>
    </row>
    <row r="445" spans="1:16" ht="15.75" customHeight="1" x14ac:dyDescent="0.35">
      <c r="A445" s="18"/>
      <c r="B445" s="18"/>
      <c r="C445" s="19"/>
      <c r="D445" s="20">
        <v>44375</v>
      </c>
      <c r="E445" s="48" t="s">
        <v>63</v>
      </c>
      <c r="F445" s="18" t="s">
        <v>35</v>
      </c>
      <c r="G445" s="18"/>
      <c r="H445" s="18"/>
      <c r="I445" s="18"/>
      <c r="J445" s="90">
        <v>138</v>
      </c>
      <c r="K445" s="18"/>
      <c r="L445" s="45">
        <f>18925-18854</f>
        <v>71</v>
      </c>
      <c r="M445" s="91">
        <v>3</v>
      </c>
      <c r="N445" s="91">
        <v>701</v>
      </c>
      <c r="O445" s="18">
        <v>-27</v>
      </c>
      <c r="P445" s="18"/>
    </row>
    <row r="446" spans="1:16" ht="15.75" customHeight="1" x14ac:dyDescent="0.35">
      <c r="A446" s="18"/>
      <c r="B446" s="18">
        <f>J451</f>
        <v>750</v>
      </c>
      <c r="C446" s="19"/>
      <c r="D446" s="20">
        <v>44376</v>
      </c>
      <c r="E446" s="48" t="s">
        <v>63</v>
      </c>
      <c r="F446" s="18" t="s">
        <v>36</v>
      </c>
      <c r="G446" s="18"/>
      <c r="H446" s="18"/>
      <c r="I446" s="18"/>
      <c r="J446" s="90">
        <v>158</v>
      </c>
      <c r="K446" s="18"/>
      <c r="L446" s="18">
        <f>18998-18970</f>
        <v>28</v>
      </c>
      <c r="M446" s="58">
        <v>107</v>
      </c>
      <c r="N446" s="58">
        <v>203</v>
      </c>
      <c r="O446" s="18"/>
      <c r="P446" s="18"/>
    </row>
    <row r="447" spans="1:16" ht="15.75" customHeight="1" x14ac:dyDescent="0.35">
      <c r="A447" s="18"/>
      <c r="B447" s="58"/>
      <c r="C447" s="19"/>
      <c r="D447" s="20">
        <v>44377</v>
      </c>
      <c r="E447" s="48" t="s">
        <v>63</v>
      </c>
      <c r="F447" s="18" t="s">
        <v>37</v>
      </c>
      <c r="G447" s="18"/>
      <c r="H447" s="18"/>
      <c r="I447" s="18"/>
      <c r="J447" s="21"/>
      <c r="K447" s="18"/>
      <c r="L447" s="18"/>
      <c r="M447" s="18"/>
      <c r="N447" s="18"/>
      <c r="O447" s="18"/>
      <c r="P447" s="18"/>
    </row>
    <row r="448" spans="1:16" ht="15.75" customHeight="1" x14ac:dyDescent="0.35">
      <c r="A448" s="18"/>
      <c r="B448" s="58">
        <v>-230</v>
      </c>
      <c r="C448" s="19"/>
      <c r="D448" s="20">
        <v>44378</v>
      </c>
      <c r="E448" s="48" t="s">
        <v>63</v>
      </c>
      <c r="F448" s="18" t="s">
        <v>38</v>
      </c>
      <c r="G448" s="18"/>
      <c r="H448" s="18"/>
      <c r="I448" s="18"/>
      <c r="J448" s="90">
        <v>138</v>
      </c>
      <c r="K448" s="18"/>
      <c r="L448" s="18">
        <f>19054-19035</f>
        <v>19</v>
      </c>
      <c r="M448" s="58">
        <v>75</v>
      </c>
      <c r="N448" s="58">
        <v>190</v>
      </c>
      <c r="O448" s="18"/>
      <c r="P448" s="18"/>
    </row>
    <row r="449" spans="1:16" ht="15.75" customHeight="1" x14ac:dyDescent="0.35">
      <c r="A449" s="18"/>
      <c r="B449" s="18"/>
      <c r="C449" s="19"/>
      <c r="D449" s="20">
        <v>44379</v>
      </c>
      <c r="E449" s="48" t="s">
        <v>63</v>
      </c>
      <c r="F449" s="18" t="s">
        <v>39</v>
      </c>
      <c r="G449" s="18"/>
      <c r="H449" s="18"/>
      <c r="I449" s="18"/>
      <c r="J449" s="90">
        <v>158</v>
      </c>
      <c r="K449" s="18"/>
      <c r="L449" s="18">
        <f>19118-19098</f>
        <v>20</v>
      </c>
      <c r="M449" s="58">
        <v>123</v>
      </c>
      <c r="N449" s="58">
        <v>212</v>
      </c>
      <c r="O449" s="18">
        <v>-27</v>
      </c>
      <c r="P449" s="18"/>
    </row>
    <row r="450" spans="1:16" ht="15.75" customHeight="1" x14ac:dyDescent="0.35">
      <c r="A450" s="18"/>
      <c r="B450" s="18"/>
      <c r="C450" s="19"/>
      <c r="D450" s="20">
        <v>44380</v>
      </c>
      <c r="E450" s="48" t="s">
        <v>63</v>
      </c>
      <c r="F450" s="18" t="s">
        <v>23</v>
      </c>
      <c r="G450" s="18"/>
      <c r="H450" s="18"/>
      <c r="I450" s="18"/>
      <c r="J450" s="90">
        <v>158</v>
      </c>
      <c r="K450" s="18"/>
      <c r="L450" s="18">
        <f>19174-19155</f>
        <v>19</v>
      </c>
      <c r="M450" s="58">
        <v>144</v>
      </c>
      <c r="N450" s="58">
        <v>250</v>
      </c>
      <c r="O450" s="18"/>
      <c r="P450" s="18"/>
    </row>
    <row r="451" spans="1:16" ht="15.75" customHeight="1" x14ac:dyDescent="0.45">
      <c r="A451" s="59">
        <f>A443+1</f>
        <v>26</v>
      </c>
      <c r="B451" s="59">
        <f>SUM(B444:B450)</f>
        <v>520</v>
      </c>
      <c r="C451" s="81" t="s">
        <v>69</v>
      </c>
      <c r="D451" s="61"/>
      <c r="E451" s="13"/>
      <c r="F451" s="40" t="s">
        <v>28</v>
      </c>
      <c r="G451" s="40"/>
      <c r="H451" s="40"/>
      <c r="I451" s="40">
        <f>COUNT(J444:J450)</f>
        <v>5</v>
      </c>
      <c r="J451" s="41">
        <f t="shared" ref="J451:O451" si="51">SUM(J444:J450)</f>
        <v>750</v>
      </c>
      <c r="K451" s="42">
        <f t="shared" si="51"/>
        <v>0</v>
      </c>
      <c r="L451" s="42">
        <f t="shared" si="51"/>
        <v>157</v>
      </c>
      <c r="M451" s="42">
        <f t="shared" si="51"/>
        <v>452</v>
      </c>
      <c r="N451" s="42">
        <f t="shared" si="51"/>
        <v>1556</v>
      </c>
      <c r="O451" s="42">
        <f t="shared" si="51"/>
        <v>-54</v>
      </c>
      <c r="P451" s="62"/>
    </row>
    <row r="452" spans="1:16" ht="15.75" customHeight="1" x14ac:dyDescent="0.35">
      <c r="A452" s="36"/>
      <c r="B452" s="36"/>
      <c r="C452" s="37"/>
      <c r="D452" s="38">
        <v>44381</v>
      </c>
      <c r="E452" s="43" t="s">
        <v>63</v>
      </c>
      <c r="F452" s="36" t="s">
        <v>24</v>
      </c>
      <c r="G452" s="36"/>
      <c r="H452" s="36"/>
      <c r="I452" s="36"/>
      <c r="J452" s="39">
        <v>158</v>
      </c>
      <c r="K452" s="36"/>
      <c r="L452" s="36">
        <f>19233-19210</f>
        <v>23</v>
      </c>
      <c r="M452" s="44">
        <v>164</v>
      </c>
      <c r="N452" s="44">
        <v>272</v>
      </c>
      <c r="O452" s="36"/>
      <c r="P452" s="36"/>
    </row>
    <row r="453" spans="1:16" ht="15.75" customHeight="1" x14ac:dyDescent="0.35">
      <c r="A453" s="36"/>
      <c r="B453" s="36"/>
      <c r="C453" s="37"/>
      <c r="D453" s="38">
        <v>44382</v>
      </c>
      <c r="E453" s="43" t="s">
        <v>63</v>
      </c>
      <c r="F453" s="36" t="s">
        <v>35</v>
      </c>
      <c r="G453" s="36"/>
      <c r="H453" s="36"/>
      <c r="I453" s="36"/>
      <c r="J453" s="39">
        <v>158</v>
      </c>
      <c r="K453" s="36"/>
      <c r="L453" s="36">
        <f>19293-19272</f>
        <v>21</v>
      </c>
      <c r="M453" s="44">
        <v>152</v>
      </c>
      <c r="N453" s="44">
        <v>251</v>
      </c>
      <c r="O453" s="36">
        <v>-27</v>
      </c>
      <c r="P453" s="36"/>
    </row>
    <row r="454" spans="1:16" ht="15.75" customHeight="1" x14ac:dyDescent="0.35">
      <c r="A454" s="36"/>
      <c r="B454" s="36">
        <f>J459</f>
        <v>1098</v>
      </c>
      <c r="C454" s="37"/>
      <c r="D454" s="38">
        <v>44383</v>
      </c>
      <c r="E454" s="43" t="s">
        <v>63</v>
      </c>
      <c r="F454" s="36" t="s">
        <v>36</v>
      </c>
      <c r="G454" s="36"/>
      <c r="H454" s="36"/>
      <c r="I454" s="36"/>
      <c r="J454" s="39">
        <f>158</f>
        <v>158</v>
      </c>
      <c r="K454" s="36"/>
      <c r="L454" s="36">
        <v>10</v>
      </c>
      <c r="M454" s="44">
        <v>21</v>
      </c>
      <c r="N454" s="44">
        <v>40</v>
      </c>
      <c r="O454" s="36"/>
      <c r="P454" s="36"/>
    </row>
    <row r="455" spans="1:16" ht="15.75" customHeight="1" x14ac:dyDescent="0.35">
      <c r="A455" s="36"/>
      <c r="B455" s="44">
        <v>-230</v>
      </c>
      <c r="C455" s="37"/>
      <c r="D455" s="38">
        <v>44384</v>
      </c>
      <c r="E455" s="43" t="s">
        <v>63</v>
      </c>
      <c r="F455" s="36" t="s">
        <v>37</v>
      </c>
      <c r="G455" s="36"/>
      <c r="H455" s="36"/>
      <c r="I455" s="36"/>
      <c r="J455" s="39">
        <v>158</v>
      </c>
      <c r="K455" s="36"/>
      <c r="L455" s="36">
        <f>19404-19377</f>
        <v>27</v>
      </c>
      <c r="M455" s="44">
        <v>140</v>
      </c>
      <c r="N455" s="44">
        <v>266</v>
      </c>
      <c r="O455" s="36">
        <v>-27</v>
      </c>
      <c r="P455" s="64"/>
    </row>
    <row r="456" spans="1:16" ht="15.75" customHeight="1" x14ac:dyDescent="0.35">
      <c r="A456" s="36"/>
      <c r="B456" s="44">
        <v>-103</v>
      </c>
      <c r="C456" s="37"/>
      <c r="D456" s="38">
        <v>44385</v>
      </c>
      <c r="E456" s="43" t="s">
        <v>63</v>
      </c>
      <c r="F456" s="36" t="s">
        <v>38</v>
      </c>
      <c r="G456" s="36" t="s">
        <v>70</v>
      </c>
      <c r="H456" s="36"/>
      <c r="I456" s="36"/>
      <c r="J456" s="39">
        <v>158</v>
      </c>
      <c r="K456" s="36"/>
      <c r="L456" s="36">
        <f>19485-19464</f>
        <v>21</v>
      </c>
      <c r="M456" s="44">
        <v>176</v>
      </c>
      <c r="N456" s="44">
        <v>280</v>
      </c>
      <c r="O456" s="36"/>
      <c r="P456" s="36"/>
    </row>
    <row r="457" spans="1:16" ht="15.75" customHeight="1" x14ac:dyDescent="0.35">
      <c r="A457" s="36"/>
      <c r="B457" s="36"/>
      <c r="C457" s="37"/>
      <c r="D457" s="38">
        <v>44386</v>
      </c>
      <c r="E457" s="43" t="s">
        <v>63</v>
      </c>
      <c r="F457" s="36" t="s">
        <v>39</v>
      </c>
      <c r="G457" s="36"/>
      <c r="H457" s="36"/>
      <c r="I457" s="36"/>
      <c r="J457" s="39">
        <v>158</v>
      </c>
      <c r="K457" s="36"/>
      <c r="L457" s="36">
        <f>19582-19555</f>
        <v>27</v>
      </c>
      <c r="M457" s="44">
        <v>138</v>
      </c>
      <c r="N457" s="44">
        <v>264</v>
      </c>
      <c r="O457" s="36">
        <v>-27</v>
      </c>
      <c r="P457" s="36"/>
    </row>
    <row r="458" spans="1:16" ht="15.75" customHeight="1" x14ac:dyDescent="0.35">
      <c r="A458" s="36"/>
      <c r="B458" s="36"/>
      <c r="C458" s="37"/>
      <c r="D458" s="38">
        <v>44387</v>
      </c>
      <c r="E458" s="43" t="s">
        <v>63</v>
      </c>
      <c r="F458" s="36" t="s">
        <v>23</v>
      </c>
      <c r="G458" s="36" t="s">
        <v>71</v>
      </c>
      <c r="H458" s="36"/>
      <c r="I458" s="36"/>
      <c r="J458" s="39">
        <v>150</v>
      </c>
      <c r="K458" s="36"/>
      <c r="L458" s="36">
        <f>19624-19604</f>
        <v>20</v>
      </c>
      <c r="M458" s="44">
        <v>80</v>
      </c>
      <c r="N458" s="44">
        <v>150</v>
      </c>
      <c r="O458" s="36"/>
      <c r="P458" s="36"/>
    </row>
    <row r="459" spans="1:16" ht="15.75" customHeight="1" x14ac:dyDescent="0.45">
      <c r="A459" s="59">
        <f>A451+1</f>
        <v>27</v>
      </c>
      <c r="B459" s="59">
        <f>SUM(B452:B458)</f>
        <v>765</v>
      </c>
      <c r="C459" s="81" t="s">
        <v>72</v>
      </c>
      <c r="D459" s="61"/>
      <c r="E459" s="13"/>
      <c r="F459" s="40" t="s">
        <v>28</v>
      </c>
      <c r="G459" s="40"/>
      <c r="H459" s="40"/>
      <c r="I459" s="40">
        <f>COUNT(J452:J458)</f>
        <v>7</v>
      </c>
      <c r="J459" s="41">
        <f t="shared" ref="J459:O459" si="52">SUM(J452:J458)</f>
        <v>1098</v>
      </c>
      <c r="K459" s="42">
        <f t="shared" si="52"/>
        <v>0</v>
      </c>
      <c r="L459" s="42">
        <f t="shared" si="52"/>
        <v>149</v>
      </c>
      <c r="M459" s="42">
        <f t="shared" si="52"/>
        <v>871</v>
      </c>
      <c r="N459" s="42">
        <f t="shared" si="52"/>
        <v>1523</v>
      </c>
      <c r="O459" s="42">
        <f t="shared" si="52"/>
        <v>-81</v>
      </c>
      <c r="P459" s="62"/>
    </row>
    <row r="460" spans="1:16" ht="15.75" customHeight="1" x14ac:dyDescent="0.35">
      <c r="C460" s="60"/>
      <c r="D460" s="61">
        <v>44388</v>
      </c>
      <c r="E460" s="48" t="s">
        <v>63</v>
      </c>
      <c r="F460" s="59" t="s">
        <v>24</v>
      </c>
      <c r="J460" s="92"/>
      <c r="P460" s="36"/>
    </row>
    <row r="461" spans="1:16" ht="15.75" customHeight="1" x14ac:dyDescent="0.35">
      <c r="A461" s="18"/>
      <c r="B461" s="18"/>
      <c r="C461" s="19"/>
      <c r="D461" s="20">
        <v>44389</v>
      </c>
      <c r="E461" s="48" t="s">
        <v>63</v>
      </c>
      <c r="F461" s="18" t="s">
        <v>35</v>
      </c>
      <c r="G461" s="18"/>
      <c r="H461" s="18"/>
      <c r="I461" s="18"/>
      <c r="J461" s="21">
        <v>158</v>
      </c>
      <c r="K461" s="18"/>
      <c r="L461" s="18">
        <f>19680-19652</f>
        <v>28</v>
      </c>
      <c r="M461" s="58">
        <v>158</v>
      </c>
      <c r="N461" s="58">
        <v>287</v>
      </c>
      <c r="O461" s="18">
        <v>-27</v>
      </c>
      <c r="P461" s="18"/>
    </row>
    <row r="462" spans="1:16" ht="15.75" customHeight="1" x14ac:dyDescent="0.35">
      <c r="A462" s="18"/>
      <c r="B462" s="18">
        <f>J467</f>
        <v>918</v>
      </c>
      <c r="C462" s="19"/>
      <c r="D462" s="20">
        <v>44390</v>
      </c>
      <c r="E462" s="48" t="s">
        <v>63</v>
      </c>
      <c r="F462" s="18" t="s">
        <v>36</v>
      </c>
      <c r="G462" s="18"/>
      <c r="H462" s="18"/>
      <c r="I462" s="18"/>
      <c r="J462" s="21">
        <v>158</v>
      </c>
      <c r="K462" s="18"/>
      <c r="L462" s="18">
        <f>19742-19716</f>
        <v>26</v>
      </c>
      <c r="M462" s="58">
        <v>137</v>
      </c>
      <c r="N462" s="58">
        <v>278</v>
      </c>
      <c r="O462" s="18"/>
      <c r="P462" s="18"/>
    </row>
    <row r="463" spans="1:16" ht="15.75" customHeight="1" x14ac:dyDescent="0.35">
      <c r="A463" s="18"/>
      <c r="B463" s="58">
        <v>-100</v>
      </c>
      <c r="C463" s="19"/>
      <c r="D463" s="20">
        <v>44391</v>
      </c>
      <c r="E463" s="48" t="s">
        <v>63</v>
      </c>
      <c r="F463" s="18" t="s">
        <v>37</v>
      </c>
      <c r="G463" s="18"/>
      <c r="H463" s="18"/>
      <c r="I463" s="18"/>
      <c r="J463" s="21">
        <v>158</v>
      </c>
      <c r="K463" s="18"/>
      <c r="L463" s="18">
        <f>19802-19780</f>
        <v>22</v>
      </c>
      <c r="M463" s="58">
        <v>123</v>
      </c>
      <c r="N463" s="58">
        <v>292</v>
      </c>
      <c r="O463" s="18">
        <v>-27</v>
      </c>
      <c r="P463" s="18"/>
    </row>
    <row r="464" spans="1:16" ht="15.75" customHeight="1" x14ac:dyDescent="0.35">
      <c r="A464" s="18"/>
      <c r="B464" s="58">
        <v>-230</v>
      </c>
      <c r="C464" s="19"/>
      <c r="D464" s="20">
        <v>44392</v>
      </c>
      <c r="E464" s="48" t="s">
        <v>63</v>
      </c>
      <c r="F464" s="18" t="s">
        <v>38</v>
      </c>
      <c r="G464" s="18"/>
      <c r="H464" s="18"/>
      <c r="I464" s="18"/>
      <c r="J464" s="21">
        <v>158</v>
      </c>
      <c r="K464" s="18"/>
      <c r="L464" s="18">
        <f>19857-19835</f>
        <v>22</v>
      </c>
      <c r="M464" s="58">
        <v>156</v>
      </c>
      <c r="N464" s="58">
        <v>292</v>
      </c>
      <c r="O464" s="18"/>
      <c r="P464" s="58"/>
    </row>
    <row r="465" spans="1:16" ht="15.75" customHeight="1" x14ac:dyDescent="0.35">
      <c r="A465" s="18"/>
      <c r="B465" s="18"/>
      <c r="C465" s="19"/>
      <c r="D465" s="20">
        <v>44393</v>
      </c>
      <c r="E465" s="48" t="s">
        <v>63</v>
      </c>
      <c r="F465" s="18" t="s">
        <v>39</v>
      </c>
      <c r="G465" s="18"/>
      <c r="H465" s="18"/>
      <c r="I465" s="18"/>
      <c r="J465" s="21">
        <v>158</v>
      </c>
      <c r="K465" s="18"/>
      <c r="L465" s="18">
        <f>19918-19892</f>
        <v>26</v>
      </c>
      <c r="M465" s="58">
        <v>151</v>
      </c>
      <c r="N465" s="58">
        <v>263</v>
      </c>
      <c r="O465" s="18"/>
      <c r="P465" s="58"/>
    </row>
    <row r="466" spans="1:16" ht="15.75" customHeight="1" x14ac:dyDescent="0.35">
      <c r="A466" s="18"/>
      <c r="B466" s="18"/>
      <c r="C466" s="19"/>
      <c r="D466" s="20">
        <v>44394</v>
      </c>
      <c r="E466" s="58" t="s">
        <v>64</v>
      </c>
      <c r="F466" s="18" t="s">
        <v>23</v>
      </c>
      <c r="G466" s="18"/>
      <c r="H466" s="18"/>
      <c r="I466" s="18"/>
      <c r="J466" s="90">
        <v>128</v>
      </c>
      <c r="K466" s="18"/>
      <c r="L466" s="18">
        <f>19980-19954</f>
        <v>26</v>
      </c>
      <c r="M466" s="58">
        <v>124</v>
      </c>
      <c r="N466" s="58">
        <v>204</v>
      </c>
      <c r="O466" s="58">
        <v>-27</v>
      </c>
      <c r="P466" s="58"/>
    </row>
    <row r="467" spans="1:16" ht="15.75" customHeight="1" x14ac:dyDescent="0.45">
      <c r="A467" s="59">
        <f>A459+1</f>
        <v>28</v>
      </c>
      <c r="B467" s="59">
        <f>SUM(B460:B466)</f>
        <v>588</v>
      </c>
      <c r="C467" s="81" t="s">
        <v>73</v>
      </c>
      <c r="D467" s="61"/>
      <c r="E467" s="13"/>
      <c r="F467" s="40" t="s">
        <v>28</v>
      </c>
      <c r="G467" s="40"/>
      <c r="H467" s="40"/>
      <c r="I467" s="40">
        <f>COUNT(J460:J466)</f>
        <v>6</v>
      </c>
      <c r="J467" s="41">
        <f t="shared" ref="J467:O467" si="53">SUM(J460:J466)</f>
        <v>918</v>
      </c>
      <c r="K467" s="42">
        <f t="shared" si="53"/>
        <v>0</v>
      </c>
      <c r="L467" s="42">
        <f t="shared" si="53"/>
        <v>150</v>
      </c>
      <c r="M467" s="42">
        <f t="shared" si="53"/>
        <v>849</v>
      </c>
      <c r="N467" s="42">
        <f t="shared" si="53"/>
        <v>1616</v>
      </c>
      <c r="O467" s="42">
        <f t="shared" si="53"/>
        <v>-81</v>
      </c>
      <c r="P467" s="62"/>
    </row>
    <row r="468" spans="1:16" ht="15.75" customHeight="1" x14ac:dyDescent="0.35">
      <c r="A468" s="36"/>
      <c r="B468" s="36"/>
      <c r="C468" s="37"/>
      <c r="D468" s="38">
        <v>44395</v>
      </c>
      <c r="E468" s="44" t="s">
        <v>64</v>
      </c>
      <c r="F468" s="36" t="s">
        <v>24</v>
      </c>
      <c r="G468" s="36"/>
      <c r="H468" s="36"/>
      <c r="I468" s="36"/>
      <c r="J468" s="93">
        <v>158</v>
      </c>
      <c r="K468" s="36"/>
      <c r="L468" s="36">
        <f>20041-20019</f>
        <v>22</v>
      </c>
      <c r="M468" s="44">
        <v>180</v>
      </c>
      <c r="N468" s="44">
        <v>322</v>
      </c>
      <c r="O468" s="36"/>
      <c r="P468" s="44"/>
    </row>
    <row r="469" spans="1:16" ht="15.75" customHeight="1" x14ac:dyDescent="0.35">
      <c r="A469" s="36"/>
      <c r="B469" s="36"/>
      <c r="C469" s="37"/>
      <c r="D469" s="38">
        <v>44396</v>
      </c>
      <c r="E469" s="43" t="s">
        <v>63</v>
      </c>
      <c r="F469" s="36" t="s">
        <v>35</v>
      </c>
      <c r="G469" s="36"/>
      <c r="H469" s="36"/>
      <c r="I469" s="36"/>
      <c r="J469" s="94">
        <v>138</v>
      </c>
      <c r="K469" s="36"/>
      <c r="L469" s="36">
        <f>20089-20069</f>
        <v>20</v>
      </c>
      <c r="M469" s="44">
        <v>47</v>
      </c>
      <c r="N469" s="44">
        <v>154</v>
      </c>
      <c r="O469" s="44">
        <v>-17</v>
      </c>
      <c r="P469" s="44"/>
    </row>
    <row r="470" spans="1:16" ht="15.75" customHeight="1" x14ac:dyDescent="0.35">
      <c r="A470" s="36"/>
      <c r="B470" s="36">
        <f>J475+K475</f>
        <v>1105</v>
      </c>
      <c r="C470" s="37"/>
      <c r="D470" s="38">
        <v>44397</v>
      </c>
      <c r="E470" s="43" t="s">
        <v>63</v>
      </c>
      <c r="F470" s="36" t="s">
        <v>36</v>
      </c>
      <c r="G470" s="36"/>
      <c r="H470" s="36"/>
      <c r="I470" s="36"/>
      <c r="J470" s="94">
        <v>138</v>
      </c>
      <c r="K470" s="95">
        <v>39</v>
      </c>
      <c r="L470" s="36">
        <f>20151-20124</f>
        <v>27</v>
      </c>
      <c r="M470" s="44">
        <v>76</v>
      </c>
      <c r="N470" s="44">
        <v>151</v>
      </c>
      <c r="O470" s="44">
        <v>-27</v>
      </c>
      <c r="P470" s="44"/>
    </row>
    <row r="471" spans="1:16" ht="15.75" customHeight="1" x14ac:dyDescent="0.35">
      <c r="A471" s="36"/>
      <c r="B471" s="44">
        <v>-103</v>
      </c>
      <c r="C471" s="37"/>
      <c r="D471" s="38">
        <v>44398</v>
      </c>
      <c r="E471" s="43" t="s">
        <v>63</v>
      </c>
      <c r="F471" s="36" t="s">
        <v>37</v>
      </c>
      <c r="G471" s="36"/>
      <c r="H471" s="36"/>
      <c r="I471" s="36"/>
      <c r="J471" s="93">
        <v>158</v>
      </c>
      <c r="K471" s="36"/>
      <c r="L471" s="36">
        <f>20219-20192</f>
        <v>27</v>
      </c>
      <c r="M471" s="44">
        <v>174</v>
      </c>
      <c r="N471" s="44">
        <v>315</v>
      </c>
      <c r="O471" s="36"/>
      <c r="P471" s="67"/>
    </row>
    <row r="472" spans="1:16" ht="15.75" customHeight="1" x14ac:dyDescent="0.35">
      <c r="A472" s="36"/>
      <c r="B472" s="44">
        <v>-230</v>
      </c>
      <c r="C472" s="37"/>
      <c r="D472" s="38">
        <v>44399</v>
      </c>
      <c r="E472" s="43" t="s">
        <v>63</v>
      </c>
      <c r="F472" s="36" t="s">
        <v>38</v>
      </c>
      <c r="G472" s="36"/>
      <c r="H472" s="36"/>
      <c r="I472" s="36"/>
      <c r="J472" s="93">
        <v>158</v>
      </c>
      <c r="K472" s="36"/>
      <c r="L472" s="36">
        <f>20281-20258</f>
        <v>23</v>
      </c>
      <c r="M472" s="44">
        <v>159</v>
      </c>
      <c r="N472" s="44">
        <v>341</v>
      </c>
      <c r="O472" s="44">
        <v>-27</v>
      </c>
      <c r="P472" s="44"/>
    </row>
    <row r="473" spans="1:16" ht="15.75" customHeight="1" x14ac:dyDescent="0.35">
      <c r="A473" s="36"/>
      <c r="B473" s="36"/>
      <c r="C473" s="37"/>
      <c r="D473" s="38">
        <v>44400</v>
      </c>
      <c r="E473" s="43" t="s">
        <v>63</v>
      </c>
      <c r="F473" s="36" t="s">
        <v>39</v>
      </c>
      <c r="G473" s="36"/>
      <c r="H473" s="36"/>
      <c r="I473" s="36"/>
      <c r="J473" s="93">
        <v>158</v>
      </c>
      <c r="K473" s="36"/>
      <c r="L473" s="36">
        <f>20348-20318</f>
        <v>30</v>
      </c>
      <c r="M473" s="44">
        <v>187</v>
      </c>
      <c r="N473" s="44">
        <v>355</v>
      </c>
      <c r="O473" s="36"/>
      <c r="P473" s="44"/>
    </row>
    <row r="474" spans="1:16" ht="15.75" customHeight="1" x14ac:dyDescent="0.35">
      <c r="A474" s="36"/>
      <c r="B474" s="36"/>
      <c r="C474" s="37"/>
      <c r="D474" s="38">
        <v>44401</v>
      </c>
      <c r="E474" s="44" t="s">
        <v>74</v>
      </c>
      <c r="F474" s="36" t="s">
        <v>23</v>
      </c>
      <c r="G474" s="44" t="s">
        <v>75</v>
      </c>
      <c r="H474" s="36"/>
      <c r="I474" s="36"/>
      <c r="J474" s="93">
        <v>158</v>
      </c>
      <c r="K474" s="36"/>
      <c r="L474" s="36">
        <f>20443-20409</f>
        <v>34</v>
      </c>
      <c r="M474" s="44">
        <v>181</v>
      </c>
      <c r="N474" s="44">
        <v>266</v>
      </c>
      <c r="O474" s="44">
        <v>-27</v>
      </c>
      <c r="P474" s="44"/>
    </row>
    <row r="475" spans="1:16" ht="16.5" customHeight="1" x14ac:dyDescent="0.45">
      <c r="A475" s="59">
        <f>A467+1</f>
        <v>29</v>
      </c>
      <c r="B475" s="59">
        <f>SUM(B468:B474)</f>
        <v>772</v>
      </c>
      <c r="C475" s="81" t="s">
        <v>76</v>
      </c>
      <c r="D475" s="61"/>
      <c r="E475" s="13"/>
      <c r="F475" s="40" t="s">
        <v>28</v>
      </c>
      <c r="G475" s="40"/>
      <c r="H475" s="40"/>
      <c r="I475" s="40">
        <f>COUNT(J468:J474)</f>
        <v>7</v>
      </c>
      <c r="J475" s="41">
        <f t="shared" ref="J475:O475" si="54">SUM(J468:J474)</f>
        <v>1066</v>
      </c>
      <c r="K475" s="42">
        <f t="shared" si="54"/>
        <v>39</v>
      </c>
      <c r="L475" s="42">
        <f t="shared" si="54"/>
        <v>183</v>
      </c>
      <c r="M475" s="42">
        <f t="shared" si="54"/>
        <v>1004</v>
      </c>
      <c r="N475" s="42">
        <f t="shared" si="54"/>
        <v>1904</v>
      </c>
      <c r="O475" s="42">
        <f t="shared" si="54"/>
        <v>-98</v>
      </c>
      <c r="P475" s="62"/>
    </row>
    <row r="476" spans="1:16" ht="15.75" customHeight="1" x14ac:dyDescent="0.35">
      <c r="A476" s="18"/>
      <c r="B476" s="18"/>
      <c r="C476" s="19"/>
      <c r="D476" s="20">
        <v>44402</v>
      </c>
      <c r="E476" s="58" t="s">
        <v>74</v>
      </c>
      <c r="F476" s="18" t="s">
        <v>24</v>
      </c>
      <c r="G476" s="18" t="s">
        <v>75</v>
      </c>
      <c r="H476" s="18"/>
      <c r="I476" s="18"/>
      <c r="J476" s="21">
        <v>158</v>
      </c>
      <c r="K476" s="18"/>
      <c r="L476" s="18">
        <f>20562-20541</f>
        <v>21</v>
      </c>
      <c r="M476" s="58">
        <v>181</v>
      </c>
      <c r="N476" s="58">
        <v>266</v>
      </c>
      <c r="O476" s="58">
        <v>-29</v>
      </c>
      <c r="P476" s="58"/>
    </row>
    <row r="477" spans="1:16" ht="15.75" customHeight="1" x14ac:dyDescent="0.35">
      <c r="A477" s="18"/>
      <c r="B477" s="18"/>
      <c r="C477" s="19"/>
      <c r="D477" s="20">
        <v>44403</v>
      </c>
      <c r="E477" s="58" t="s">
        <v>74</v>
      </c>
      <c r="F477" s="18" t="s">
        <v>35</v>
      </c>
      <c r="G477" s="58" t="s">
        <v>75</v>
      </c>
      <c r="H477" s="18"/>
      <c r="I477" s="18"/>
      <c r="J477" s="21">
        <v>158</v>
      </c>
      <c r="K477" s="18"/>
      <c r="L477" s="18">
        <f>20685-20658</f>
        <v>27</v>
      </c>
      <c r="M477" s="58">
        <v>184</v>
      </c>
      <c r="N477" s="58">
        <v>300</v>
      </c>
      <c r="O477" s="18"/>
      <c r="P477" s="58"/>
    </row>
    <row r="478" spans="1:16" ht="15.75" customHeight="1" x14ac:dyDescent="0.35">
      <c r="A478" s="18"/>
      <c r="B478" s="18"/>
      <c r="C478" s="19"/>
      <c r="D478" s="20">
        <v>44404</v>
      </c>
      <c r="E478" s="58" t="s">
        <v>64</v>
      </c>
      <c r="F478" s="18" t="s">
        <v>36</v>
      </c>
      <c r="G478" s="58"/>
      <c r="H478" s="18"/>
      <c r="I478" s="58"/>
      <c r="J478" s="94">
        <v>138</v>
      </c>
      <c r="K478" s="18"/>
      <c r="L478" s="18">
        <f>20791-20759</f>
        <v>32</v>
      </c>
      <c r="M478" s="58">
        <v>145</v>
      </c>
      <c r="N478" s="58">
        <v>242</v>
      </c>
      <c r="O478" s="58">
        <v>-27</v>
      </c>
      <c r="P478" s="58"/>
    </row>
    <row r="479" spans="1:16" ht="15.75" customHeight="1" x14ac:dyDescent="0.35">
      <c r="A479" s="18"/>
      <c r="B479" s="18">
        <f>J483+K483</f>
        <v>785</v>
      </c>
      <c r="C479" s="19"/>
      <c r="D479" s="20">
        <v>44405</v>
      </c>
      <c r="E479" s="58" t="s">
        <v>63</v>
      </c>
      <c r="F479" s="18" t="s">
        <v>37</v>
      </c>
      <c r="G479" s="18"/>
      <c r="H479" s="18"/>
      <c r="I479" s="18"/>
      <c r="J479" s="21">
        <v>158</v>
      </c>
      <c r="K479" s="18"/>
      <c r="L479" s="18">
        <f>20869-20844</f>
        <v>25</v>
      </c>
      <c r="M479" s="58">
        <v>185</v>
      </c>
      <c r="N479" s="58">
        <v>363</v>
      </c>
      <c r="O479" s="58">
        <v>-27</v>
      </c>
      <c r="P479" s="58"/>
    </row>
    <row r="480" spans="1:16" ht="15.75" customHeight="1" x14ac:dyDescent="0.35">
      <c r="A480" s="18"/>
      <c r="B480" s="58">
        <v>-103</v>
      </c>
      <c r="D480" s="20">
        <v>44406</v>
      </c>
      <c r="E480" s="58" t="s">
        <v>63</v>
      </c>
      <c r="F480" s="18" t="s">
        <v>38</v>
      </c>
      <c r="G480" s="18"/>
      <c r="H480" s="18"/>
      <c r="I480" s="18"/>
      <c r="J480" s="21"/>
      <c r="K480" s="18"/>
      <c r="L480" s="18"/>
      <c r="M480" s="18"/>
      <c r="N480" s="18"/>
      <c r="O480" s="18"/>
      <c r="P480" s="58"/>
    </row>
    <row r="481" spans="1:16" ht="15.75" customHeight="1" x14ac:dyDescent="0.35">
      <c r="A481" s="18"/>
      <c r="B481" s="58">
        <v>-230</v>
      </c>
      <c r="C481" s="19"/>
      <c r="D481" s="20">
        <v>44407</v>
      </c>
      <c r="E481" s="58" t="s">
        <v>63</v>
      </c>
      <c r="F481" s="18" t="s">
        <v>39</v>
      </c>
      <c r="G481" s="18"/>
      <c r="H481" s="18"/>
      <c r="I481" s="18"/>
      <c r="J481" s="21"/>
      <c r="K481" s="18"/>
      <c r="L481" s="18"/>
      <c r="M481" s="18"/>
      <c r="N481" s="18"/>
      <c r="O481" s="18"/>
      <c r="P481" s="58"/>
    </row>
    <row r="482" spans="1:16" ht="15.75" customHeight="1" x14ac:dyDescent="0.35">
      <c r="A482" s="18"/>
      <c r="B482" s="18"/>
      <c r="C482" s="19"/>
      <c r="D482" s="20">
        <v>44408</v>
      </c>
      <c r="E482" s="58" t="s">
        <v>63</v>
      </c>
      <c r="F482" s="18" t="s">
        <v>23</v>
      </c>
      <c r="G482" s="18"/>
      <c r="H482" s="18"/>
      <c r="I482" s="18"/>
      <c r="J482" s="21">
        <v>158</v>
      </c>
      <c r="K482" s="58">
        <v>15</v>
      </c>
      <c r="L482" s="58">
        <f>21031-21007</f>
        <v>24</v>
      </c>
      <c r="M482" s="58">
        <v>170</v>
      </c>
      <c r="N482" s="58">
        <v>323</v>
      </c>
      <c r="O482" s="58">
        <v>-27</v>
      </c>
      <c r="P482" s="58"/>
    </row>
    <row r="483" spans="1:16" ht="16.5" customHeight="1" x14ac:dyDescent="0.45">
      <c r="A483" s="59">
        <f>A475+1</f>
        <v>30</v>
      </c>
      <c r="B483" s="59">
        <f>SUM(B476:B482)</f>
        <v>452</v>
      </c>
      <c r="C483" s="96" t="s">
        <v>77</v>
      </c>
      <c r="D483" s="61"/>
      <c r="E483" s="13"/>
      <c r="F483" s="40" t="s">
        <v>28</v>
      </c>
      <c r="G483" s="40"/>
      <c r="H483" s="40"/>
      <c r="I483" s="40">
        <f>COUNT(J476:J482)</f>
        <v>5</v>
      </c>
      <c r="J483" s="41">
        <f t="shared" ref="J483:O483" si="55">SUM(J476:J482)</f>
        <v>770</v>
      </c>
      <c r="K483" s="42">
        <f t="shared" si="55"/>
        <v>15</v>
      </c>
      <c r="L483" s="42">
        <f t="shared" si="55"/>
        <v>129</v>
      </c>
      <c r="M483" s="42">
        <f t="shared" si="55"/>
        <v>865</v>
      </c>
      <c r="N483" s="42">
        <f t="shared" si="55"/>
        <v>1494</v>
      </c>
      <c r="O483" s="42">
        <f t="shared" si="55"/>
        <v>-110</v>
      </c>
      <c r="P483" s="62"/>
    </row>
    <row r="484" spans="1:16" ht="15.75" customHeight="1" x14ac:dyDescent="0.35">
      <c r="A484" s="36"/>
      <c r="B484" s="36"/>
      <c r="C484" s="37"/>
      <c r="D484" s="38">
        <v>44409</v>
      </c>
      <c r="E484" s="44" t="s">
        <v>63</v>
      </c>
      <c r="F484" s="36" t="s">
        <v>24</v>
      </c>
      <c r="G484" s="36"/>
      <c r="H484" s="36"/>
      <c r="I484" s="36"/>
      <c r="J484" s="93">
        <v>158</v>
      </c>
      <c r="K484" s="44">
        <v>40</v>
      </c>
      <c r="L484" s="36">
        <f>21096-21066</f>
        <v>30</v>
      </c>
      <c r="M484" s="44">
        <v>173</v>
      </c>
      <c r="N484" s="44">
        <v>339</v>
      </c>
      <c r="O484" s="36"/>
      <c r="P484" s="44"/>
    </row>
    <row r="485" spans="1:16" ht="15.75" customHeight="1" x14ac:dyDescent="0.35">
      <c r="A485" s="36"/>
      <c r="B485" s="36"/>
      <c r="C485" s="37"/>
      <c r="D485" s="38">
        <v>44410</v>
      </c>
      <c r="E485" s="44" t="s">
        <v>63</v>
      </c>
      <c r="F485" s="36" t="s">
        <v>35</v>
      </c>
      <c r="G485" s="36"/>
      <c r="H485" s="36"/>
      <c r="I485" s="36"/>
      <c r="J485" s="93">
        <v>158</v>
      </c>
      <c r="K485" s="36"/>
      <c r="L485" s="36">
        <f>21158-21132</f>
        <v>26</v>
      </c>
      <c r="M485" s="44">
        <v>178</v>
      </c>
      <c r="N485" s="44">
        <v>359</v>
      </c>
      <c r="O485" s="44">
        <v>-27</v>
      </c>
      <c r="P485" s="44"/>
    </row>
    <row r="486" spans="1:16" ht="15.75" customHeight="1" x14ac:dyDescent="0.35">
      <c r="A486" s="36"/>
      <c r="B486" s="36">
        <f>J491+K491</f>
        <v>988</v>
      </c>
      <c r="C486" s="37"/>
      <c r="D486" s="38">
        <v>44411</v>
      </c>
      <c r="E486" s="44" t="s">
        <v>63</v>
      </c>
      <c r="F486" s="36" t="s">
        <v>36</v>
      </c>
      <c r="G486" s="36"/>
      <c r="H486" s="36"/>
      <c r="I486" s="36"/>
      <c r="J486" s="93">
        <v>158</v>
      </c>
      <c r="K486" s="95"/>
      <c r="L486" s="36">
        <f>21210-21192</f>
        <v>18</v>
      </c>
      <c r="M486" s="44">
        <v>133</v>
      </c>
      <c r="N486" s="44">
        <v>316</v>
      </c>
      <c r="O486" s="44"/>
      <c r="P486" s="44"/>
    </row>
    <row r="487" spans="1:16" ht="15.75" customHeight="1" x14ac:dyDescent="0.35">
      <c r="A487" s="36"/>
      <c r="B487" s="44">
        <v>-230</v>
      </c>
      <c r="C487" s="37"/>
      <c r="D487" s="38">
        <v>44412</v>
      </c>
      <c r="E487" s="44" t="s">
        <v>63</v>
      </c>
      <c r="F487" s="36" t="s">
        <v>37</v>
      </c>
      <c r="G487" s="36"/>
      <c r="H487" s="36"/>
      <c r="I487" s="36"/>
      <c r="J487" s="93"/>
      <c r="K487" s="36"/>
      <c r="L487" s="36"/>
      <c r="M487" s="36"/>
      <c r="N487" s="36"/>
      <c r="O487" s="36"/>
      <c r="P487" s="67"/>
    </row>
    <row r="488" spans="1:16" ht="15.75" customHeight="1" x14ac:dyDescent="0.35">
      <c r="A488" s="36"/>
      <c r="B488" s="44">
        <v>-103</v>
      </c>
      <c r="C488" s="37"/>
      <c r="D488" s="38">
        <v>44413</v>
      </c>
      <c r="E488" s="44" t="s">
        <v>63</v>
      </c>
      <c r="F488" s="36" t="s">
        <v>38</v>
      </c>
      <c r="G488" s="36"/>
      <c r="H488" s="36"/>
      <c r="I488" s="36"/>
      <c r="J488" s="93">
        <v>158</v>
      </c>
      <c r="K488" s="36"/>
      <c r="L488" s="36">
        <f>21276-21245</f>
        <v>31</v>
      </c>
      <c r="M488" s="44">
        <v>153</v>
      </c>
      <c r="N488" s="44">
        <v>336</v>
      </c>
      <c r="O488" s="44">
        <v>-27</v>
      </c>
      <c r="P488" s="44"/>
    </row>
    <row r="489" spans="1:16" ht="15.75" customHeight="1" x14ac:dyDescent="0.35">
      <c r="A489" s="36"/>
      <c r="B489" s="36"/>
      <c r="C489" s="37"/>
      <c r="D489" s="38">
        <v>44414</v>
      </c>
      <c r="E489" s="44" t="s">
        <v>63</v>
      </c>
      <c r="F489" s="36" t="s">
        <v>39</v>
      </c>
      <c r="G489" s="36"/>
      <c r="H489" s="36"/>
      <c r="I489" s="36"/>
      <c r="J489" s="93">
        <v>158</v>
      </c>
      <c r="K489" s="36"/>
      <c r="L489" s="36">
        <f>21337-21315</f>
        <v>22</v>
      </c>
      <c r="M489" s="44">
        <v>162</v>
      </c>
      <c r="N489" s="44">
        <v>350</v>
      </c>
      <c r="O489" s="36"/>
      <c r="P489" s="44"/>
    </row>
    <row r="490" spans="1:16" ht="15.75" customHeight="1" x14ac:dyDescent="0.35">
      <c r="A490" s="36"/>
      <c r="B490" s="36"/>
      <c r="C490" s="37"/>
      <c r="D490" s="38">
        <v>44415</v>
      </c>
      <c r="E490" s="44" t="s">
        <v>63</v>
      </c>
      <c r="F490" s="36" t="s">
        <v>23</v>
      </c>
      <c r="G490" s="44"/>
      <c r="H490" s="36"/>
      <c r="I490" s="36"/>
      <c r="J490" s="93">
        <v>158</v>
      </c>
      <c r="K490" s="36"/>
      <c r="L490" s="36">
        <f>21396-21370</f>
        <v>26</v>
      </c>
      <c r="M490" s="44">
        <v>168</v>
      </c>
      <c r="N490" s="44">
        <v>344</v>
      </c>
      <c r="O490" s="44">
        <v>-27</v>
      </c>
      <c r="P490" s="44"/>
    </row>
    <row r="491" spans="1:16" ht="16.5" customHeight="1" x14ac:dyDescent="0.45">
      <c r="A491" s="59">
        <f>A483+1</f>
        <v>31</v>
      </c>
      <c r="B491" s="59">
        <f>SUM(B484:B490)</f>
        <v>655</v>
      </c>
      <c r="C491" s="81" t="s">
        <v>78</v>
      </c>
      <c r="D491" s="61"/>
      <c r="E491" s="13"/>
      <c r="F491" s="40" t="s">
        <v>28</v>
      </c>
      <c r="G491" s="40"/>
      <c r="H491" s="40"/>
      <c r="I491" s="40">
        <f>COUNT(J484:J490)</f>
        <v>6</v>
      </c>
      <c r="J491" s="41">
        <f t="shared" ref="J491:O491" si="56">SUM(J484:J490)</f>
        <v>948</v>
      </c>
      <c r="K491" s="42">
        <f t="shared" si="56"/>
        <v>40</v>
      </c>
      <c r="L491" s="42">
        <f t="shared" si="56"/>
        <v>153</v>
      </c>
      <c r="M491" s="42">
        <f t="shared" si="56"/>
        <v>967</v>
      </c>
      <c r="N491" s="42">
        <f t="shared" si="56"/>
        <v>2044</v>
      </c>
      <c r="O491" s="42">
        <f t="shared" si="56"/>
        <v>-81</v>
      </c>
      <c r="P491" s="62"/>
    </row>
    <row r="492" spans="1:16" ht="15.75" customHeight="1" x14ac:dyDescent="0.35">
      <c r="A492" s="18"/>
      <c r="B492" s="18"/>
      <c r="C492" s="19"/>
      <c r="D492" s="20">
        <v>44416</v>
      </c>
      <c r="E492" s="58" t="s">
        <v>63</v>
      </c>
      <c r="F492" s="18" t="s">
        <v>24</v>
      </c>
      <c r="G492" s="18"/>
      <c r="H492" s="18"/>
      <c r="I492" s="18"/>
      <c r="J492" s="90">
        <v>158</v>
      </c>
      <c r="K492" s="18"/>
      <c r="L492" s="18">
        <f>21458-21438</f>
        <v>20</v>
      </c>
      <c r="M492" s="58">
        <v>171</v>
      </c>
      <c r="N492" s="58">
        <v>330</v>
      </c>
      <c r="O492" s="18"/>
      <c r="P492" s="44"/>
    </row>
    <row r="493" spans="1:16" ht="15.75" customHeight="1" x14ac:dyDescent="0.35">
      <c r="A493" s="18"/>
      <c r="B493" s="18">
        <f>J499</f>
        <v>928</v>
      </c>
      <c r="C493" s="19"/>
      <c r="D493" s="20">
        <v>44417</v>
      </c>
      <c r="E493" s="58" t="s">
        <v>63</v>
      </c>
      <c r="F493" s="18" t="s">
        <v>35</v>
      </c>
      <c r="G493" s="18"/>
      <c r="H493" s="18"/>
      <c r="I493" s="18"/>
      <c r="J493" s="90"/>
      <c r="K493" s="18"/>
      <c r="L493" s="18"/>
      <c r="M493" s="18"/>
      <c r="N493" s="18"/>
      <c r="O493" s="18"/>
      <c r="P493" s="58"/>
    </row>
    <row r="494" spans="1:16" ht="15.75" customHeight="1" x14ac:dyDescent="0.35">
      <c r="A494" s="18"/>
      <c r="B494" s="58">
        <v>-230</v>
      </c>
      <c r="C494" s="19"/>
      <c r="D494" s="20">
        <v>44418</v>
      </c>
      <c r="E494" s="58" t="s">
        <v>63</v>
      </c>
      <c r="F494" s="18" t="s">
        <v>36</v>
      </c>
      <c r="G494" s="18"/>
      <c r="H494" s="18"/>
      <c r="I494" s="18"/>
      <c r="J494" s="90">
        <v>158</v>
      </c>
      <c r="K494" s="18"/>
      <c r="L494" s="18">
        <f>21545-21517</f>
        <v>28</v>
      </c>
      <c r="M494" s="58">
        <v>169</v>
      </c>
      <c r="N494" s="58">
        <v>343</v>
      </c>
      <c r="O494" s="58">
        <v>-27</v>
      </c>
      <c r="P494" s="58"/>
    </row>
    <row r="495" spans="1:16" ht="15.75" customHeight="1" x14ac:dyDescent="0.35">
      <c r="A495" s="18"/>
      <c r="B495" s="58">
        <v>-103</v>
      </c>
      <c r="C495" s="19"/>
      <c r="D495" s="20">
        <v>44419</v>
      </c>
      <c r="E495" s="58" t="s">
        <v>63</v>
      </c>
      <c r="F495" s="18" t="s">
        <v>37</v>
      </c>
      <c r="G495" s="18"/>
      <c r="H495" s="18"/>
      <c r="I495" s="18"/>
      <c r="J495" s="90">
        <v>158</v>
      </c>
      <c r="K495" s="18"/>
      <c r="L495" s="18">
        <f>21609-21580</f>
        <v>29</v>
      </c>
      <c r="M495" s="58">
        <v>146</v>
      </c>
      <c r="N495" s="58">
        <v>292</v>
      </c>
      <c r="O495" s="18"/>
      <c r="P495" s="58"/>
    </row>
    <row r="496" spans="1:16" ht="15.75" customHeight="1" x14ac:dyDescent="0.35">
      <c r="A496" s="97"/>
      <c r="B496" s="97"/>
      <c r="C496" s="98"/>
      <c r="D496" s="99">
        <v>44420</v>
      </c>
      <c r="E496" s="100" t="s">
        <v>63</v>
      </c>
      <c r="F496" s="97" t="s">
        <v>38</v>
      </c>
      <c r="G496" s="97"/>
      <c r="H496" s="97"/>
      <c r="I496" s="97"/>
      <c r="J496" s="101">
        <v>138</v>
      </c>
      <c r="K496" s="97"/>
      <c r="L496" s="97">
        <f>21668-21646</f>
        <v>22</v>
      </c>
      <c r="M496" s="100">
        <v>118</v>
      </c>
      <c r="N496" s="100">
        <v>144</v>
      </c>
      <c r="O496" s="97"/>
      <c r="P496" s="100"/>
    </row>
    <row r="497" spans="1:16" ht="15.75" customHeight="1" x14ac:dyDescent="0.35">
      <c r="A497" s="18"/>
      <c r="B497" s="18"/>
      <c r="C497" s="19"/>
      <c r="D497" s="20">
        <v>44421</v>
      </c>
      <c r="E497" s="58" t="s">
        <v>63</v>
      </c>
      <c r="F497" s="18" t="s">
        <v>39</v>
      </c>
      <c r="G497" s="18"/>
      <c r="H497" s="18"/>
      <c r="I497" s="18"/>
      <c r="J497" s="90">
        <v>158</v>
      </c>
      <c r="K497" s="18"/>
      <c r="L497" s="18">
        <f>21725-21703</f>
        <v>22</v>
      </c>
      <c r="M497" s="58">
        <v>176</v>
      </c>
      <c r="N497" s="58">
        <v>316</v>
      </c>
      <c r="O497" s="58">
        <v>-27</v>
      </c>
      <c r="P497" s="58"/>
    </row>
    <row r="498" spans="1:16" ht="15.75" customHeight="1" x14ac:dyDescent="0.35">
      <c r="A498" s="18"/>
      <c r="B498" s="18"/>
      <c r="C498" s="19"/>
      <c r="D498" s="20">
        <v>44422</v>
      </c>
      <c r="E498" s="58" t="s">
        <v>63</v>
      </c>
      <c r="F498" s="18" t="s">
        <v>23</v>
      </c>
      <c r="G498" s="18"/>
      <c r="H498" s="18"/>
      <c r="I498" s="18"/>
      <c r="J498" s="90">
        <v>158</v>
      </c>
      <c r="K498" s="18"/>
      <c r="L498" s="18">
        <f>21791-21759</f>
        <v>32</v>
      </c>
      <c r="M498" s="58">
        <v>173</v>
      </c>
      <c r="N498" s="58">
        <v>296</v>
      </c>
      <c r="O498" s="58"/>
      <c r="P498" s="58"/>
    </row>
    <row r="499" spans="1:16" ht="16.5" customHeight="1" x14ac:dyDescent="0.45">
      <c r="A499" s="59">
        <f>A491+1</f>
        <v>32</v>
      </c>
      <c r="B499" s="59">
        <f>SUM(B492:B498)</f>
        <v>595</v>
      </c>
      <c r="C499" s="81" t="s">
        <v>79</v>
      </c>
      <c r="D499" s="61"/>
      <c r="E499" s="13"/>
      <c r="F499" s="40" t="s">
        <v>28</v>
      </c>
      <c r="G499" s="40"/>
      <c r="H499" s="40"/>
      <c r="I499" s="40">
        <f>COUNT(J492:J498)</f>
        <v>6</v>
      </c>
      <c r="J499" s="41">
        <f t="shared" ref="J499:O499" si="57">SUM(J492:J498)</f>
        <v>928</v>
      </c>
      <c r="K499" s="42">
        <f t="shared" si="57"/>
        <v>0</v>
      </c>
      <c r="L499" s="42">
        <f t="shared" si="57"/>
        <v>153</v>
      </c>
      <c r="M499" s="42">
        <f t="shared" si="57"/>
        <v>953</v>
      </c>
      <c r="N499" s="42">
        <f t="shared" si="57"/>
        <v>1721</v>
      </c>
      <c r="O499" s="42">
        <f t="shared" si="57"/>
        <v>-54</v>
      </c>
      <c r="P499" s="62"/>
    </row>
    <row r="500" spans="1:16" ht="15.75" customHeight="1" x14ac:dyDescent="0.35">
      <c r="A500" s="36"/>
      <c r="B500" s="36"/>
      <c r="C500" s="37"/>
      <c r="D500" s="38">
        <v>44423</v>
      </c>
      <c r="E500" s="44" t="s">
        <v>42</v>
      </c>
      <c r="F500" s="36" t="s">
        <v>24</v>
      </c>
      <c r="G500" s="36"/>
      <c r="H500" s="36"/>
      <c r="I500" s="36"/>
      <c r="J500" s="93"/>
      <c r="K500" s="36"/>
      <c r="L500" s="36"/>
      <c r="M500" s="36"/>
      <c r="N500" s="36"/>
      <c r="O500" s="44"/>
      <c r="P500" s="44"/>
    </row>
    <row r="501" spans="1:16" ht="15.75" customHeight="1" x14ac:dyDescent="0.35">
      <c r="A501" s="36"/>
      <c r="B501" s="36"/>
      <c r="C501" s="37"/>
      <c r="D501" s="38">
        <v>44424</v>
      </c>
      <c r="E501" s="44" t="s">
        <v>63</v>
      </c>
      <c r="F501" s="36" t="s">
        <v>35</v>
      </c>
      <c r="G501" s="36"/>
      <c r="H501" s="36"/>
      <c r="I501" s="36"/>
      <c r="J501" s="93">
        <v>158</v>
      </c>
      <c r="K501" s="36"/>
      <c r="L501" s="36">
        <f>21863-21831</f>
        <v>32</v>
      </c>
      <c r="M501" s="44">
        <v>165</v>
      </c>
      <c r="N501" s="44">
        <v>291</v>
      </c>
      <c r="O501" s="44">
        <v>-27</v>
      </c>
      <c r="P501" s="44"/>
    </row>
    <row r="502" spans="1:16" ht="15.75" customHeight="1" x14ac:dyDescent="0.35">
      <c r="A502" s="45"/>
      <c r="B502" s="45"/>
      <c r="C502" s="102"/>
      <c r="D502" s="103">
        <v>44425</v>
      </c>
      <c r="E502" s="91" t="s">
        <v>64</v>
      </c>
      <c r="F502" s="45" t="s">
        <v>36</v>
      </c>
      <c r="G502" s="45"/>
      <c r="H502" s="45"/>
      <c r="I502" s="45"/>
      <c r="J502" s="94">
        <v>128</v>
      </c>
      <c r="K502" s="45"/>
      <c r="L502" s="45">
        <f>21925-21902</f>
        <v>23</v>
      </c>
      <c r="M502" s="91">
        <v>90</v>
      </c>
      <c r="N502" s="91">
        <v>191</v>
      </c>
      <c r="O502" s="91"/>
      <c r="P502" s="91"/>
    </row>
    <row r="503" spans="1:16" ht="15.75" customHeight="1" x14ac:dyDescent="0.35">
      <c r="A503" s="36"/>
      <c r="B503" s="36"/>
      <c r="C503" s="37"/>
      <c r="D503" s="38">
        <v>44426</v>
      </c>
      <c r="E503" s="44" t="s">
        <v>63</v>
      </c>
      <c r="F503" s="36" t="s">
        <v>37</v>
      </c>
      <c r="G503" s="36"/>
      <c r="H503" s="36"/>
      <c r="I503" s="36"/>
      <c r="J503" s="93">
        <v>158</v>
      </c>
      <c r="K503" s="36"/>
      <c r="L503" s="36">
        <f>21986-21964</f>
        <v>22</v>
      </c>
      <c r="M503" s="44">
        <v>170</v>
      </c>
      <c r="N503" s="44">
        <v>336</v>
      </c>
      <c r="O503" s="44">
        <v>-27</v>
      </c>
      <c r="P503" s="44"/>
    </row>
    <row r="504" spans="1:16" ht="15.75" customHeight="1" x14ac:dyDescent="0.35">
      <c r="A504" s="36"/>
      <c r="B504" s="36"/>
      <c r="C504" s="37"/>
      <c r="D504" s="38">
        <v>44427</v>
      </c>
      <c r="E504" s="44" t="s">
        <v>63</v>
      </c>
      <c r="F504" s="36" t="s">
        <v>38</v>
      </c>
      <c r="G504" s="36"/>
      <c r="H504" s="36"/>
      <c r="I504" s="36"/>
      <c r="J504" s="93">
        <v>158</v>
      </c>
      <c r="K504" s="36"/>
      <c r="L504" s="36">
        <f>22042-22019</f>
        <v>23</v>
      </c>
      <c r="M504" s="44">
        <v>164</v>
      </c>
      <c r="N504" s="44">
        <v>311</v>
      </c>
      <c r="O504" s="44"/>
      <c r="P504" s="44"/>
    </row>
    <row r="505" spans="1:16" ht="15.75" customHeight="1" x14ac:dyDescent="0.35">
      <c r="A505" s="36"/>
      <c r="B505" s="36"/>
      <c r="C505" s="37"/>
      <c r="D505" s="38">
        <v>44428</v>
      </c>
      <c r="E505" s="44" t="s">
        <v>63</v>
      </c>
      <c r="F505" s="36" t="s">
        <v>39</v>
      </c>
      <c r="G505" s="36"/>
      <c r="H505" s="36"/>
      <c r="I505" s="36"/>
      <c r="J505" s="93">
        <v>158</v>
      </c>
      <c r="K505" s="36"/>
      <c r="L505" s="36">
        <f>22110-22081</f>
        <v>29</v>
      </c>
      <c r="M505" s="44">
        <v>161</v>
      </c>
      <c r="N505" s="44">
        <v>318</v>
      </c>
      <c r="O505" s="44"/>
      <c r="P505" s="44"/>
    </row>
    <row r="506" spans="1:16" ht="15.75" customHeight="1" x14ac:dyDescent="0.35">
      <c r="A506" s="36"/>
      <c r="B506" s="36"/>
      <c r="C506" s="37"/>
      <c r="D506" s="38">
        <v>44429</v>
      </c>
      <c r="E506" s="44" t="s">
        <v>63</v>
      </c>
      <c r="F506" s="36" t="s">
        <v>23</v>
      </c>
      <c r="G506" s="36"/>
      <c r="H506" s="36"/>
      <c r="I506" s="36"/>
      <c r="J506" s="93">
        <v>158</v>
      </c>
      <c r="K506" s="36"/>
      <c r="L506" s="36">
        <f>22178-22151</f>
        <v>27</v>
      </c>
      <c r="M506" s="44">
        <v>165</v>
      </c>
      <c r="N506" s="44">
        <v>287</v>
      </c>
      <c r="O506" s="44">
        <v>-27</v>
      </c>
      <c r="P506" s="44"/>
    </row>
    <row r="507" spans="1:16" ht="16.5" customHeight="1" x14ac:dyDescent="0.45">
      <c r="A507" s="59">
        <f>A499+1</f>
        <v>33</v>
      </c>
      <c r="B507" s="59">
        <f>SUM(B500:B506)</f>
        <v>0</v>
      </c>
      <c r="C507" s="81" t="s">
        <v>80</v>
      </c>
      <c r="D507" s="61"/>
      <c r="E507" s="13"/>
      <c r="F507" s="40" t="s">
        <v>28</v>
      </c>
      <c r="G507" s="40"/>
      <c r="H507" s="40"/>
      <c r="I507" s="40">
        <f>COUNT(J500:J506)</f>
        <v>6</v>
      </c>
      <c r="J507" s="41">
        <f t="shared" ref="J507:O507" si="58">SUM(J500:J506)</f>
        <v>918</v>
      </c>
      <c r="K507" s="42">
        <f t="shared" si="58"/>
        <v>0</v>
      </c>
      <c r="L507" s="42">
        <f t="shared" si="58"/>
        <v>156</v>
      </c>
      <c r="M507" s="42">
        <f t="shared" si="58"/>
        <v>915</v>
      </c>
      <c r="N507" s="42">
        <f t="shared" si="58"/>
        <v>1734</v>
      </c>
      <c r="O507" s="42">
        <f t="shared" si="58"/>
        <v>-81</v>
      </c>
      <c r="P507" s="62"/>
    </row>
    <row r="508" spans="1:16" ht="15.75" customHeight="1" x14ac:dyDescent="0.35">
      <c r="A508" s="18"/>
      <c r="B508" s="18"/>
      <c r="C508" s="19"/>
      <c r="D508" s="20">
        <v>44430</v>
      </c>
      <c r="E508" s="58" t="s">
        <v>63</v>
      </c>
      <c r="F508" s="18" t="s">
        <v>24</v>
      </c>
      <c r="G508" s="18"/>
      <c r="H508" s="18"/>
      <c r="I508" s="18"/>
      <c r="J508" s="21">
        <v>158</v>
      </c>
      <c r="K508" s="18"/>
      <c r="L508" s="18">
        <f>22246-22215</f>
        <v>31</v>
      </c>
      <c r="M508" s="58">
        <v>162</v>
      </c>
      <c r="N508" s="58">
        <v>295</v>
      </c>
      <c r="O508" s="18"/>
      <c r="P508" s="58"/>
    </row>
    <row r="509" spans="1:16" ht="15.75" customHeight="1" x14ac:dyDescent="0.35">
      <c r="A509" s="18"/>
      <c r="B509" s="18"/>
      <c r="C509" s="19"/>
      <c r="D509" s="20">
        <v>44431</v>
      </c>
      <c r="E509" s="58" t="s">
        <v>63</v>
      </c>
      <c r="F509" s="18" t="s">
        <v>35</v>
      </c>
      <c r="G509" s="18"/>
      <c r="H509" s="18"/>
      <c r="I509" s="18"/>
      <c r="J509" s="21"/>
      <c r="K509" s="18"/>
      <c r="L509" s="18"/>
      <c r="M509" s="18"/>
      <c r="N509" s="18"/>
      <c r="O509" s="18"/>
      <c r="P509" s="58"/>
    </row>
    <row r="510" spans="1:16" ht="15.75" customHeight="1" x14ac:dyDescent="0.35">
      <c r="A510" s="18"/>
      <c r="B510" s="18"/>
      <c r="C510" s="19"/>
      <c r="D510" s="20">
        <v>44432</v>
      </c>
      <c r="E510" s="58" t="s">
        <v>63</v>
      </c>
      <c r="F510" s="18" t="s">
        <v>36</v>
      </c>
      <c r="G510" s="18"/>
      <c r="H510" s="18"/>
      <c r="I510" s="18"/>
      <c r="J510" s="21">
        <v>158</v>
      </c>
      <c r="K510" s="18"/>
      <c r="L510" s="18">
        <f>22314-22288</f>
        <v>26</v>
      </c>
      <c r="M510" s="58">
        <v>129</v>
      </c>
      <c r="N510" s="58">
        <v>273</v>
      </c>
      <c r="O510" s="58">
        <v>-27</v>
      </c>
      <c r="P510" s="58"/>
    </row>
    <row r="511" spans="1:16" ht="15.75" customHeight="1" x14ac:dyDescent="0.35">
      <c r="A511" s="18"/>
      <c r="B511" s="18"/>
      <c r="C511" s="19"/>
      <c r="D511" s="20">
        <v>44433</v>
      </c>
      <c r="E511" s="58" t="s">
        <v>63</v>
      </c>
      <c r="F511" s="18" t="s">
        <v>37</v>
      </c>
      <c r="G511" s="18"/>
      <c r="H511" s="18"/>
      <c r="I511" s="18"/>
      <c r="J511" s="21">
        <v>158</v>
      </c>
      <c r="K511" s="18"/>
      <c r="L511" s="58">
        <v>24</v>
      </c>
      <c r="M511" s="104"/>
      <c r="N511" s="104"/>
      <c r="P511" s="105"/>
    </row>
    <row r="512" spans="1:16" ht="15.75" customHeight="1" x14ac:dyDescent="0.35">
      <c r="A512" s="18"/>
      <c r="B512" s="18"/>
      <c r="C512" s="19"/>
      <c r="D512" s="20">
        <v>44434</v>
      </c>
      <c r="E512" s="58" t="s">
        <v>63</v>
      </c>
      <c r="F512" s="18" t="s">
        <v>38</v>
      </c>
      <c r="G512" s="18"/>
      <c r="H512" s="18"/>
      <c r="I512" s="18"/>
      <c r="J512" s="21">
        <v>158</v>
      </c>
      <c r="K512" s="18"/>
      <c r="L512" s="58">
        <v>26</v>
      </c>
      <c r="M512" s="58">
        <v>157</v>
      </c>
      <c r="N512" s="58">
        <v>311</v>
      </c>
      <c r="O512" s="58">
        <v>-27</v>
      </c>
      <c r="P512" s="58"/>
    </row>
    <row r="513" spans="1:16" ht="15.75" customHeight="1" x14ac:dyDescent="0.35">
      <c r="A513" s="18"/>
      <c r="B513" s="18"/>
      <c r="C513" s="19"/>
      <c r="D513" s="20">
        <v>44435</v>
      </c>
      <c r="E513" s="58" t="s">
        <v>63</v>
      </c>
      <c r="F513" s="18" t="s">
        <v>39</v>
      </c>
      <c r="G513" s="18"/>
      <c r="H513" s="18"/>
      <c r="I513" s="18"/>
      <c r="J513" s="21">
        <v>158</v>
      </c>
      <c r="K513" s="18"/>
      <c r="L513" s="58">
        <f>22517-22491</f>
        <v>26</v>
      </c>
      <c r="M513" s="58">
        <v>164</v>
      </c>
      <c r="N513" s="58">
        <v>294</v>
      </c>
      <c r="O513" s="18"/>
      <c r="P513" s="58"/>
    </row>
    <row r="514" spans="1:16" ht="15.75" customHeight="1" x14ac:dyDescent="0.35">
      <c r="A514" s="18"/>
      <c r="B514" s="18"/>
      <c r="C514" s="19"/>
      <c r="D514" s="20">
        <v>44436</v>
      </c>
      <c r="E514" s="58" t="s">
        <v>63</v>
      </c>
      <c r="F514" s="18" t="s">
        <v>23</v>
      </c>
      <c r="G514" s="18"/>
      <c r="H514" s="18"/>
      <c r="I514" s="18"/>
      <c r="J514" s="21"/>
      <c r="K514" s="18"/>
      <c r="L514" s="18"/>
      <c r="M514" s="18"/>
      <c r="N514" s="18"/>
      <c r="O514" s="58"/>
      <c r="P514" s="58"/>
    </row>
    <row r="515" spans="1:16" ht="16.5" customHeight="1" x14ac:dyDescent="0.45">
      <c r="A515" s="59">
        <f>A507+1</f>
        <v>34</v>
      </c>
      <c r="B515" s="59">
        <f>SUM(B508:B514)</f>
        <v>0</v>
      </c>
      <c r="C515" s="81" t="s">
        <v>81</v>
      </c>
      <c r="D515" s="61"/>
      <c r="E515" s="13"/>
      <c r="F515" s="40" t="s">
        <v>28</v>
      </c>
      <c r="G515" s="40"/>
      <c r="H515" s="40"/>
      <c r="I515" s="40">
        <f>COUNT(J508:J514)</f>
        <v>5</v>
      </c>
      <c r="J515" s="41">
        <f t="shared" ref="J515:O515" si="59">SUM(J508:J514)</f>
        <v>790</v>
      </c>
      <c r="K515" s="42">
        <f t="shared" si="59"/>
        <v>0</v>
      </c>
      <c r="L515" s="42">
        <f t="shared" si="59"/>
        <v>133</v>
      </c>
      <c r="M515" s="42">
        <f t="shared" si="59"/>
        <v>612</v>
      </c>
      <c r="N515" s="42">
        <f t="shared" si="59"/>
        <v>1173</v>
      </c>
      <c r="O515" s="42">
        <f t="shared" si="59"/>
        <v>-54</v>
      </c>
      <c r="P515" s="62"/>
    </row>
    <row r="516" spans="1:16" ht="15.75" customHeight="1" x14ac:dyDescent="0.35">
      <c r="A516" s="36"/>
      <c r="B516" s="36"/>
      <c r="C516" s="37"/>
      <c r="D516" s="38">
        <v>44437</v>
      </c>
      <c r="E516" s="44" t="s">
        <v>63</v>
      </c>
      <c r="F516" s="36" t="s">
        <v>24</v>
      </c>
      <c r="G516" s="36"/>
      <c r="H516" s="36"/>
      <c r="I516" s="36"/>
      <c r="J516" s="93">
        <v>158</v>
      </c>
      <c r="K516" s="36"/>
      <c r="L516" s="36">
        <f>22581-22553</f>
        <v>28</v>
      </c>
      <c r="M516" s="44">
        <v>173</v>
      </c>
      <c r="N516" s="44">
        <v>296</v>
      </c>
      <c r="O516" s="44">
        <v>-27</v>
      </c>
      <c r="P516" s="44"/>
    </row>
    <row r="517" spans="1:16" ht="15.75" customHeight="1" x14ac:dyDescent="0.35">
      <c r="A517" s="36"/>
      <c r="B517" s="36"/>
      <c r="C517" s="37"/>
      <c r="D517" s="38">
        <v>44438</v>
      </c>
      <c r="E517" s="44" t="s">
        <v>63</v>
      </c>
      <c r="F517" s="36" t="s">
        <v>35</v>
      </c>
      <c r="G517" s="36"/>
      <c r="H517" s="36"/>
      <c r="I517" s="36"/>
      <c r="J517" s="93">
        <v>158</v>
      </c>
      <c r="K517" s="36"/>
      <c r="L517" s="36">
        <f>22647-22617</f>
        <v>30</v>
      </c>
      <c r="M517" s="44">
        <v>173</v>
      </c>
      <c r="N517" s="44">
        <v>316</v>
      </c>
      <c r="O517" s="44"/>
      <c r="P517" s="44"/>
    </row>
    <row r="518" spans="1:16" ht="15.75" customHeight="1" x14ac:dyDescent="0.35">
      <c r="A518" s="36"/>
      <c r="B518" s="36">
        <f>J523</f>
        <v>928</v>
      </c>
      <c r="C518" s="37"/>
      <c r="D518" s="38">
        <v>44439</v>
      </c>
      <c r="E518" s="44" t="s">
        <v>63</v>
      </c>
      <c r="F518" s="36" t="s">
        <v>36</v>
      </c>
      <c r="G518" s="36"/>
      <c r="H518" s="36"/>
      <c r="I518" s="36"/>
      <c r="J518" s="93">
        <v>158</v>
      </c>
      <c r="K518" s="36"/>
      <c r="L518" s="36">
        <f>22712-22685</f>
        <v>27</v>
      </c>
      <c r="M518" s="44">
        <v>165</v>
      </c>
      <c r="N518" s="44">
        <v>354</v>
      </c>
      <c r="O518" s="44">
        <v>-27</v>
      </c>
      <c r="P518" s="44"/>
    </row>
    <row r="519" spans="1:16" ht="15.75" customHeight="1" x14ac:dyDescent="0.35">
      <c r="A519" s="36"/>
      <c r="B519" s="44">
        <v>-230</v>
      </c>
      <c r="C519" s="37"/>
      <c r="D519" s="38">
        <v>44440</v>
      </c>
      <c r="E519" s="44" t="s">
        <v>63</v>
      </c>
      <c r="F519" s="36" t="s">
        <v>37</v>
      </c>
      <c r="G519" s="36"/>
      <c r="H519" s="36"/>
      <c r="I519" s="36"/>
      <c r="J519" s="93">
        <v>158</v>
      </c>
      <c r="K519" s="36"/>
      <c r="L519" s="36">
        <f>22769-22745</f>
        <v>24</v>
      </c>
      <c r="M519" s="44">
        <v>155</v>
      </c>
      <c r="N519" s="44">
        <v>319</v>
      </c>
      <c r="O519" s="44"/>
      <c r="P519" s="44"/>
    </row>
    <row r="520" spans="1:16" ht="15.75" customHeight="1" x14ac:dyDescent="0.35">
      <c r="A520" s="45"/>
      <c r="B520" s="91">
        <v>-103</v>
      </c>
      <c r="C520" s="102"/>
      <c r="D520" s="103">
        <v>44441</v>
      </c>
      <c r="E520" s="91" t="s">
        <v>63</v>
      </c>
      <c r="F520" s="45" t="s">
        <v>38</v>
      </c>
      <c r="G520" s="45"/>
      <c r="H520" s="45"/>
      <c r="I520" s="45"/>
      <c r="J520" s="94">
        <v>138</v>
      </c>
      <c r="K520" s="45"/>
      <c r="L520" s="45">
        <f>22826-22801</f>
        <v>25</v>
      </c>
      <c r="M520" s="91">
        <v>133</v>
      </c>
      <c r="N520" s="91">
        <v>253</v>
      </c>
      <c r="O520" s="91">
        <v>-27</v>
      </c>
      <c r="P520" s="91"/>
    </row>
    <row r="521" spans="1:16" ht="15.75" customHeight="1" x14ac:dyDescent="0.35">
      <c r="A521" s="36"/>
      <c r="B521" s="36"/>
      <c r="C521" s="37"/>
      <c r="D521" s="38">
        <v>44442</v>
      </c>
      <c r="E521" s="44" t="s">
        <v>63</v>
      </c>
      <c r="F521" s="36" t="s">
        <v>39</v>
      </c>
      <c r="G521" s="36"/>
      <c r="H521" s="36"/>
      <c r="I521" s="36"/>
      <c r="J521" s="93">
        <v>158</v>
      </c>
      <c r="K521" s="36"/>
      <c r="L521" s="44">
        <v>25</v>
      </c>
      <c r="M521" s="44">
        <v>160</v>
      </c>
      <c r="N521" s="44">
        <v>300</v>
      </c>
      <c r="O521" s="44"/>
      <c r="P521" s="44"/>
    </row>
    <row r="522" spans="1:16" ht="15.75" customHeight="1" x14ac:dyDescent="0.35">
      <c r="A522" s="36"/>
      <c r="B522" s="36"/>
      <c r="C522" s="37"/>
      <c r="D522" s="38">
        <v>44443</v>
      </c>
      <c r="E522" s="44" t="s">
        <v>63</v>
      </c>
      <c r="F522" s="36" t="s">
        <v>23</v>
      </c>
      <c r="G522" s="36"/>
      <c r="H522" s="36"/>
      <c r="I522" s="36"/>
      <c r="J522" s="93"/>
      <c r="K522" s="36"/>
      <c r="L522" s="36"/>
      <c r="M522" s="36"/>
      <c r="N522" s="36"/>
      <c r="O522" s="44"/>
      <c r="P522" s="44"/>
    </row>
    <row r="523" spans="1:16" ht="16.5" customHeight="1" x14ac:dyDescent="0.45">
      <c r="A523" s="59">
        <f>A515+1</f>
        <v>35</v>
      </c>
      <c r="B523" s="59">
        <f>SUM(B516:B522)</f>
        <v>595</v>
      </c>
      <c r="C523" s="81" t="s">
        <v>82</v>
      </c>
      <c r="D523" s="61"/>
      <c r="E523" s="13"/>
      <c r="F523" s="40" t="s">
        <v>28</v>
      </c>
      <c r="G523" s="40"/>
      <c r="H523" s="40"/>
      <c r="I523" s="40">
        <f>COUNT(J516:J522)</f>
        <v>6</v>
      </c>
      <c r="J523" s="41">
        <f t="shared" ref="J523:O523" si="60">SUM(J516:J522)</f>
        <v>928</v>
      </c>
      <c r="K523" s="42">
        <f t="shared" si="60"/>
        <v>0</v>
      </c>
      <c r="L523" s="42">
        <f t="shared" si="60"/>
        <v>159</v>
      </c>
      <c r="M523" s="42">
        <f t="shared" si="60"/>
        <v>959</v>
      </c>
      <c r="N523" s="42">
        <f t="shared" si="60"/>
        <v>1838</v>
      </c>
      <c r="O523" s="42">
        <f t="shared" si="60"/>
        <v>-81</v>
      </c>
      <c r="P523" s="62"/>
    </row>
    <row r="524" spans="1:16" ht="15.75" customHeight="1" x14ac:dyDescent="0.35">
      <c r="A524" s="18"/>
      <c r="B524" s="18"/>
      <c r="C524" s="19"/>
      <c r="D524" s="20">
        <v>44444</v>
      </c>
      <c r="E524" s="58" t="s">
        <v>63</v>
      </c>
      <c r="F524" s="18" t="s">
        <v>24</v>
      </c>
      <c r="G524" s="18"/>
      <c r="H524" s="18"/>
      <c r="I524" s="18"/>
      <c r="J524" s="90">
        <v>167</v>
      </c>
      <c r="K524" s="18"/>
      <c r="L524" s="18">
        <f>22954-22923</f>
        <v>31</v>
      </c>
      <c r="M524" s="58">
        <v>168</v>
      </c>
      <c r="N524" s="58">
        <v>313</v>
      </c>
      <c r="O524" s="18"/>
      <c r="P524" s="58"/>
    </row>
    <row r="525" spans="1:16" ht="15.75" customHeight="1" x14ac:dyDescent="0.35">
      <c r="A525" s="18"/>
      <c r="B525" s="18"/>
      <c r="C525" s="19"/>
      <c r="D525" s="20">
        <v>44445</v>
      </c>
      <c r="E525" s="58" t="s">
        <v>63</v>
      </c>
      <c r="F525" s="18" t="s">
        <v>35</v>
      </c>
      <c r="G525" s="18"/>
      <c r="H525" s="18"/>
      <c r="I525" s="18"/>
      <c r="J525" s="90">
        <v>167</v>
      </c>
      <c r="K525" s="18"/>
      <c r="L525" s="18">
        <f>23014-22991</f>
        <v>23</v>
      </c>
      <c r="M525" s="58">
        <v>159</v>
      </c>
      <c r="N525" s="58">
        <v>299</v>
      </c>
      <c r="O525" s="58">
        <v>-27</v>
      </c>
      <c r="P525" s="58"/>
    </row>
    <row r="526" spans="1:16" ht="15.75" customHeight="1" x14ac:dyDescent="0.35">
      <c r="A526" s="18"/>
      <c r="B526" s="18">
        <f>J531</f>
        <v>835</v>
      </c>
      <c r="C526" s="19"/>
      <c r="D526" s="20">
        <v>44446</v>
      </c>
      <c r="E526" s="58" t="s">
        <v>63</v>
      </c>
      <c r="F526" s="18" t="s">
        <v>36</v>
      </c>
      <c r="G526" s="18"/>
      <c r="H526" s="18"/>
      <c r="I526" s="18"/>
      <c r="J526" s="90">
        <v>167</v>
      </c>
      <c r="K526" s="18"/>
      <c r="L526" s="58">
        <v>28</v>
      </c>
      <c r="M526" s="58">
        <v>166</v>
      </c>
      <c r="N526" s="58">
        <v>339</v>
      </c>
      <c r="O526" s="18"/>
      <c r="P526" s="58"/>
    </row>
    <row r="527" spans="1:16" ht="15.75" customHeight="1" x14ac:dyDescent="0.35">
      <c r="A527" s="18"/>
      <c r="B527" s="44">
        <v>-230</v>
      </c>
      <c r="C527" s="19"/>
      <c r="D527" s="20">
        <v>44447</v>
      </c>
      <c r="E527" s="58" t="s">
        <v>63</v>
      </c>
      <c r="F527" s="18" t="s">
        <v>37</v>
      </c>
      <c r="G527" s="18"/>
      <c r="H527" s="18"/>
      <c r="I527" s="18"/>
      <c r="J527" s="90"/>
      <c r="K527" s="18"/>
      <c r="L527" s="58"/>
      <c r="M527" s="58"/>
      <c r="N527" s="58"/>
      <c r="O527" s="18"/>
      <c r="P527" s="58"/>
    </row>
    <row r="528" spans="1:16" ht="15.75" customHeight="1" x14ac:dyDescent="0.35">
      <c r="A528" s="18"/>
      <c r="B528" s="91">
        <v>-103</v>
      </c>
      <c r="C528" s="19"/>
      <c r="D528" s="20">
        <v>44448</v>
      </c>
      <c r="E528" s="58" t="s">
        <v>63</v>
      </c>
      <c r="F528" s="18" t="s">
        <v>38</v>
      </c>
      <c r="G528" s="18"/>
      <c r="H528" s="18"/>
      <c r="I528" s="18"/>
      <c r="J528" s="90">
        <v>167</v>
      </c>
      <c r="K528" s="18"/>
      <c r="L528" s="58">
        <v>29</v>
      </c>
      <c r="M528" s="58">
        <v>166</v>
      </c>
      <c r="N528" s="58">
        <v>339</v>
      </c>
      <c r="O528" s="18"/>
      <c r="P528" s="58"/>
    </row>
    <row r="529" spans="1:16" ht="15.75" customHeight="1" x14ac:dyDescent="0.35">
      <c r="A529" s="18"/>
      <c r="B529" s="18"/>
      <c r="C529" s="19"/>
      <c r="D529" s="20">
        <v>44449</v>
      </c>
      <c r="E529" s="58" t="s">
        <v>63</v>
      </c>
      <c r="F529" s="18" t="s">
        <v>39</v>
      </c>
      <c r="G529" s="18"/>
      <c r="H529" s="18"/>
      <c r="I529" s="18"/>
      <c r="J529" s="90">
        <v>167</v>
      </c>
      <c r="K529" s="18"/>
      <c r="L529" s="58">
        <v>27</v>
      </c>
      <c r="M529" s="58">
        <v>153</v>
      </c>
      <c r="N529" s="58">
        <v>328</v>
      </c>
      <c r="O529" s="18"/>
      <c r="P529" s="58"/>
    </row>
    <row r="530" spans="1:16" ht="15.75" customHeight="1" x14ac:dyDescent="0.35">
      <c r="A530" s="18"/>
      <c r="B530" s="18"/>
      <c r="C530" s="19"/>
      <c r="D530" s="20">
        <v>44450</v>
      </c>
      <c r="E530" s="58" t="s">
        <v>63</v>
      </c>
      <c r="F530" s="18" t="s">
        <v>23</v>
      </c>
      <c r="G530" s="18"/>
      <c r="H530" s="18"/>
      <c r="I530" s="18"/>
      <c r="J530" s="90"/>
      <c r="K530" s="18"/>
      <c r="L530" s="18"/>
      <c r="M530" s="18"/>
      <c r="N530" s="18"/>
      <c r="O530" s="58">
        <v>-39</v>
      </c>
      <c r="P530" s="58"/>
    </row>
    <row r="531" spans="1:16" ht="16.5" customHeight="1" x14ac:dyDescent="0.45">
      <c r="A531" s="59">
        <f>A523+1</f>
        <v>36</v>
      </c>
      <c r="B531" s="59">
        <f>SUM(B524:B530)</f>
        <v>502</v>
      </c>
      <c r="C531" s="81" t="s">
        <v>83</v>
      </c>
      <c r="D531" s="61"/>
      <c r="E531" s="13"/>
      <c r="F531" s="40" t="s">
        <v>28</v>
      </c>
      <c r="G531" s="40"/>
      <c r="H531" s="40"/>
      <c r="I531" s="40">
        <f>COUNT(J524:J530)</f>
        <v>5</v>
      </c>
      <c r="J531" s="41">
        <f t="shared" ref="J531:O531" si="61">SUM(J524:J530)</f>
        <v>835</v>
      </c>
      <c r="K531" s="42">
        <f t="shared" si="61"/>
        <v>0</v>
      </c>
      <c r="L531" s="42">
        <f t="shared" si="61"/>
        <v>138</v>
      </c>
      <c r="M531" s="42">
        <f t="shared" si="61"/>
        <v>812</v>
      </c>
      <c r="N531" s="42">
        <f t="shared" si="61"/>
        <v>1618</v>
      </c>
      <c r="O531" s="42">
        <f t="shared" si="61"/>
        <v>-66</v>
      </c>
      <c r="P531" s="62"/>
    </row>
    <row r="532" spans="1:16" ht="15.75" customHeight="1" x14ac:dyDescent="0.35">
      <c r="A532" s="36"/>
      <c r="B532" s="36"/>
      <c r="C532" s="37"/>
      <c r="D532" s="38">
        <v>44451</v>
      </c>
      <c r="E532" s="44" t="s">
        <v>63</v>
      </c>
      <c r="F532" s="36" t="s">
        <v>24</v>
      </c>
      <c r="G532" s="36"/>
      <c r="H532" s="36"/>
      <c r="I532" s="36"/>
      <c r="J532" s="93"/>
      <c r="K532" s="36"/>
      <c r="L532" s="36"/>
      <c r="M532" s="36"/>
      <c r="N532" s="36"/>
      <c r="O532" s="44"/>
      <c r="P532" s="44"/>
    </row>
    <row r="533" spans="1:16" ht="15.75" customHeight="1" x14ac:dyDescent="0.35">
      <c r="A533" s="36"/>
      <c r="B533" s="36"/>
      <c r="C533" s="37"/>
      <c r="D533" s="38">
        <v>44452</v>
      </c>
      <c r="E533" s="44" t="s">
        <v>63</v>
      </c>
      <c r="F533" s="36" t="s">
        <v>35</v>
      </c>
      <c r="G533" s="36"/>
      <c r="H533" s="36"/>
      <c r="I533" s="36"/>
      <c r="J533" s="93">
        <v>167</v>
      </c>
      <c r="K533" s="36"/>
      <c r="L533" s="36">
        <f>23345-23323</f>
        <v>22</v>
      </c>
      <c r="M533" s="44">
        <v>149</v>
      </c>
      <c r="N533" s="44">
        <v>360</v>
      </c>
      <c r="O533" s="44"/>
      <c r="P533" s="44"/>
    </row>
    <row r="534" spans="1:16" ht="15.75" customHeight="1" x14ac:dyDescent="0.35">
      <c r="A534" s="36"/>
      <c r="B534" s="36">
        <f>J539</f>
        <v>835</v>
      </c>
      <c r="C534" s="37"/>
      <c r="D534" s="38">
        <v>44453</v>
      </c>
      <c r="E534" s="44" t="s">
        <v>63</v>
      </c>
      <c r="F534" s="36" t="s">
        <v>36</v>
      </c>
      <c r="G534" s="36"/>
      <c r="H534" s="36"/>
      <c r="I534" s="36"/>
      <c r="J534" s="93">
        <v>167</v>
      </c>
      <c r="K534" s="36"/>
      <c r="L534" s="36">
        <f>23407-23380</f>
        <v>27</v>
      </c>
      <c r="M534" s="44">
        <v>167</v>
      </c>
      <c r="N534" s="44">
        <v>311</v>
      </c>
      <c r="O534" s="44"/>
      <c r="P534" s="44"/>
    </row>
    <row r="535" spans="1:16" ht="15.75" customHeight="1" x14ac:dyDescent="0.35">
      <c r="A535" s="36"/>
      <c r="B535" s="44">
        <v>-230</v>
      </c>
      <c r="C535" s="37"/>
      <c r="D535" s="38">
        <v>44454</v>
      </c>
      <c r="E535" s="44" t="s">
        <v>63</v>
      </c>
      <c r="F535" s="36" t="s">
        <v>37</v>
      </c>
      <c r="G535" s="36"/>
      <c r="H535" s="36"/>
      <c r="I535" s="36"/>
      <c r="J535" s="93"/>
      <c r="K535" s="36"/>
      <c r="L535" s="36"/>
      <c r="M535" s="36"/>
      <c r="N535" s="36"/>
      <c r="O535" s="44"/>
      <c r="P535" s="44"/>
    </row>
    <row r="536" spans="1:16" ht="15.75" customHeight="1" x14ac:dyDescent="0.35">
      <c r="A536" s="36"/>
      <c r="B536" s="44">
        <v>-103</v>
      </c>
      <c r="C536" s="37"/>
      <c r="D536" s="38">
        <v>44455</v>
      </c>
      <c r="E536" s="44" t="s">
        <v>63</v>
      </c>
      <c r="F536" s="36" t="s">
        <v>38</v>
      </c>
      <c r="G536" s="36"/>
      <c r="H536" s="36"/>
      <c r="I536" s="36"/>
      <c r="J536" s="93">
        <v>167</v>
      </c>
      <c r="K536" s="36"/>
      <c r="L536" s="36">
        <f>23468-23443</f>
        <v>25</v>
      </c>
      <c r="M536" s="44">
        <v>175</v>
      </c>
      <c r="N536" s="44">
        <v>342</v>
      </c>
      <c r="O536" s="44">
        <v>-27</v>
      </c>
      <c r="P536" s="44"/>
    </row>
    <row r="537" spans="1:16" ht="15.75" customHeight="1" x14ac:dyDescent="0.35">
      <c r="A537" s="36"/>
      <c r="B537" s="36"/>
      <c r="C537" s="37"/>
      <c r="D537" s="38">
        <v>44456</v>
      </c>
      <c r="E537" s="44" t="s">
        <v>63</v>
      </c>
      <c r="F537" s="36" t="s">
        <v>39</v>
      </c>
      <c r="G537" s="36"/>
      <c r="H537" s="36"/>
      <c r="I537" s="36"/>
      <c r="J537" s="93">
        <v>167</v>
      </c>
      <c r="K537" s="36"/>
      <c r="L537" s="36">
        <f>23529-23503</f>
        <v>26</v>
      </c>
      <c r="M537" s="44">
        <v>174</v>
      </c>
      <c r="N537" s="44">
        <v>357</v>
      </c>
      <c r="O537" s="44"/>
      <c r="P537" s="44"/>
    </row>
    <row r="538" spans="1:16" ht="15.75" customHeight="1" x14ac:dyDescent="0.35">
      <c r="A538" s="36"/>
      <c r="B538" s="36"/>
      <c r="C538" s="37"/>
      <c r="D538" s="38">
        <v>44457</v>
      </c>
      <c r="E538" s="44" t="s">
        <v>63</v>
      </c>
      <c r="F538" s="36" t="s">
        <v>23</v>
      </c>
      <c r="G538" s="36"/>
      <c r="H538" s="36"/>
      <c r="I538" s="36"/>
      <c r="J538" s="93">
        <v>167</v>
      </c>
      <c r="K538" s="36"/>
      <c r="L538" s="36">
        <f>23595-23562</f>
        <v>33</v>
      </c>
      <c r="M538" s="44">
        <v>168</v>
      </c>
      <c r="N538" s="44">
        <v>287</v>
      </c>
      <c r="O538" s="44"/>
      <c r="P538" s="44"/>
    </row>
    <row r="539" spans="1:16" ht="16.5" customHeight="1" x14ac:dyDescent="0.45">
      <c r="A539" s="59">
        <f>A531+1</f>
        <v>37</v>
      </c>
      <c r="B539" s="59">
        <f>SUM(B532:B538)</f>
        <v>502</v>
      </c>
      <c r="C539" s="81" t="s">
        <v>84</v>
      </c>
      <c r="D539" s="61"/>
      <c r="E539" s="13"/>
      <c r="F539" s="40" t="s">
        <v>28</v>
      </c>
      <c r="G539" s="40"/>
      <c r="H539" s="40"/>
      <c r="I539" s="40">
        <f>COUNT(J532:J538)</f>
        <v>5</v>
      </c>
      <c r="J539" s="41">
        <f t="shared" ref="J539:O539" si="62">SUM(J532:J538)</f>
        <v>835</v>
      </c>
      <c r="K539" s="42">
        <f t="shared" si="62"/>
        <v>0</v>
      </c>
      <c r="L539" s="42">
        <f t="shared" si="62"/>
        <v>133</v>
      </c>
      <c r="M539" s="42">
        <f t="shared" si="62"/>
        <v>833</v>
      </c>
      <c r="N539" s="42">
        <f t="shared" si="62"/>
        <v>1657</v>
      </c>
      <c r="O539" s="42">
        <f t="shared" si="62"/>
        <v>-27</v>
      </c>
      <c r="P539" s="62"/>
    </row>
    <row r="540" spans="1:16" ht="15.75" customHeight="1" x14ac:dyDescent="0.35">
      <c r="A540" s="18"/>
      <c r="B540" s="18"/>
      <c r="C540" s="19"/>
      <c r="D540" s="20">
        <v>44458</v>
      </c>
      <c r="E540" s="58" t="s">
        <v>63</v>
      </c>
      <c r="F540" s="18" t="s">
        <v>24</v>
      </c>
      <c r="G540" s="18"/>
      <c r="H540" s="18"/>
      <c r="I540" s="18"/>
      <c r="J540" s="90">
        <v>167</v>
      </c>
      <c r="K540" s="18"/>
      <c r="L540" s="18">
        <f>23664-23633</f>
        <v>31</v>
      </c>
      <c r="M540" s="58">
        <v>151</v>
      </c>
      <c r="N540" s="58">
        <v>262</v>
      </c>
      <c r="O540" s="18"/>
      <c r="P540" s="58"/>
    </row>
    <row r="541" spans="1:16" ht="15.75" customHeight="1" x14ac:dyDescent="0.35">
      <c r="A541" s="18"/>
      <c r="B541" s="18"/>
      <c r="C541" s="19"/>
      <c r="D541" s="20">
        <v>44459</v>
      </c>
      <c r="E541" s="58" t="s">
        <v>63</v>
      </c>
      <c r="F541" s="18" t="s">
        <v>35</v>
      </c>
      <c r="G541" s="18"/>
      <c r="H541" s="18"/>
      <c r="I541" s="18"/>
      <c r="J541" s="90">
        <v>167</v>
      </c>
      <c r="K541" s="18"/>
      <c r="L541" s="18">
        <f>23725-23704</f>
        <v>21</v>
      </c>
      <c r="M541" s="58">
        <v>141</v>
      </c>
      <c r="N541" s="58">
        <v>283</v>
      </c>
      <c r="O541" s="18"/>
      <c r="P541" s="58"/>
    </row>
    <row r="542" spans="1:16" ht="15.75" customHeight="1" x14ac:dyDescent="0.35">
      <c r="A542" s="18"/>
      <c r="B542" s="18">
        <f>J547</f>
        <v>1002</v>
      </c>
      <c r="C542" s="19"/>
      <c r="D542" s="20">
        <v>44460</v>
      </c>
      <c r="E542" s="58" t="s">
        <v>63</v>
      </c>
      <c r="F542" s="18" t="s">
        <v>36</v>
      </c>
      <c r="G542" s="18"/>
      <c r="H542" s="18"/>
      <c r="I542" s="18"/>
      <c r="J542" s="90">
        <v>167</v>
      </c>
      <c r="K542" s="18"/>
      <c r="L542" s="18">
        <f>23789-23761</f>
        <v>28</v>
      </c>
      <c r="M542" s="58">
        <v>153</v>
      </c>
      <c r="N542" s="58">
        <v>310</v>
      </c>
      <c r="O542" s="58">
        <v>-29</v>
      </c>
      <c r="P542" s="58"/>
    </row>
    <row r="543" spans="1:16" ht="15.75" customHeight="1" x14ac:dyDescent="0.35">
      <c r="A543" s="18"/>
      <c r="B543" s="58">
        <v>-230</v>
      </c>
      <c r="C543" s="19"/>
      <c r="D543" s="20">
        <v>44461</v>
      </c>
      <c r="E543" s="58" t="s">
        <v>63</v>
      </c>
      <c r="F543" s="18" t="s">
        <v>37</v>
      </c>
      <c r="G543" s="18"/>
      <c r="H543" s="18"/>
      <c r="I543" s="18"/>
      <c r="J543" s="90"/>
      <c r="K543" s="18"/>
      <c r="L543" s="18"/>
      <c r="M543" s="18"/>
      <c r="N543" s="18"/>
      <c r="O543" s="18"/>
      <c r="P543" s="58"/>
    </row>
    <row r="544" spans="1:16" ht="15.75" customHeight="1" x14ac:dyDescent="0.35">
      <c r="A544" s="18"/>
      <c r="B544" s="58">
        <v>-103</v>
      </c>
      <c r="C544" s="19"/>
      <c r="D544" s="20">
        <v>44462</v>
      </c>
      <c r="E544" s="58" t="s">
        <v>63</v>
      </c>
      <c r="F544" s="18" t="s">
        <v>38</v>
      </c>
      <c r="G544" s="18"/>
      <c r="H544" s="18"/>
      <c r="I544" s="18"/>
      <c r="J544" s="90">
        <v>167</v>
      </c>
      <c r="K544" s="18"/>
      <c r="L544" s="18">
        <f>23860-23832</f>
        <v>28</v>
      </c>
      <c r="M544" s="58">
        <v>159</v>
      </c>
      <c r="N544" s="58">
        <v>320</v>
      </c>
      <c r="O544" s="18"/>
      <c r="P544" s="58"/>
    </row>
    <row r="545" spans="1:16" ht="15.75" customHeight="1" x14ac:dyDescent="0.35">
      <c r="A545" s="18"/>
      <c r="B545" s="18"/>
      <c r="C545" s="19"/>
      <c r="D545" s="20">
        <v>44463</v>
      </c>
      <c r="E545" s="58" t="s">
        <v>63</v>
      </c>
      <c r="F545" s="18" t="s">
        <v>39</v>
      </c>
      <c r="G545" s="18"/>
      <c r="H545" s="18"/>
      <c r="I545" s="18"/>
      <c r="J545" s="90">
        <v>167</v>
      </c>
      <c r="K545" s="18"/>
      <c r="L545" s="18">
        <f>23929-23901</f>
        <v>28</v>
      </c>
      <c r="M545" s="58">
        <v>169</v>
      </c>
      <c r="N545" s="58">
        <v>323</v>
      </c>
      <c r="O545" s="58">
        <v>-29</v>
      </c>
      <c r="P545" s="58"/>
    </row>
    <row r="546" spans="1:16" ht="15.75" customHeight="1" x14ac:dyDescent="0.35">
      <c r="A546" s="18"/>
      <c r="B546" s="18"/>
      <c r="C546" s="19"/>
      <c r="D546" s="20">
        <v>44464</v>
      </c>
      <c r="E546" s="58" t="s">
        <v>63</v>
      </c>
      <c r="F546" s="18" t="s">
        <v>23</v>
      </c>
      <c r="G546" s="18"/>
      <c r="H546" s="18"/>
      <c r="I546" s="18"/>
      <c r="J546" s="90">
        <v>167</v>
      </c>
      <c r="K546" s="18"/>
      <c r="L546" s="18">
        <f>23993-23963</f>
        <v>30</v>
      </c>
      <c r="M546" s="58">
        <v>178</v>
      </c>
      <c r="N546" s="58">
        <v>303</v>
      </c>
      <c r="O546" s="58">
        <v>-59</v>
      </c>
      <c r="P546" s="58"/>
    </row>
    <row r="547" spans="1:16" ht="16.5" customHeight="1" x14ac:dyDescent="0.45">
      <c r="A547" s="59">
        <f>A539+1</f>
        <v>38</v>
      </c>
      <c r="B547" s="59">
        <f>SUM(B540:B546)</f>
        <v>669</v>
      </c>
      <c r="C547" s="81" t="s">
        <v>85</v>
      </c>
      <c r="D547" s="61"/>
      <c r="E547" s="13"/>
      <c r="F547" s="40" t="s">
        <v>28</v>
      </c>
      <c r="G547" s="40"/>
      <c r="H547" s="40"/>
      <c r="I547" s="40">
        <f>COUNT(J540:J546)</f>
        <v>6</v>
      </c>
      <c r="J547" s="41">
        <f t="shared" ref="J547:N547" si="63">SUM(J540:J546)</f>
        <v>1002</v>
      </c>
      <c r="K547" s="42">
        <f t="shared" si="63"/>
        <v>0</v>
      </c>
      <c r="L547" s="42">
        <f t="shared" si="63"/>
        <v>166</v>
      </c>
      <c r="M547" s="42">
        <f t="shared" si="63"/>
        <v>951</v>
      </c>
      <c r="N547" s="42">
        <f t="shared" si="63"/>
        <v>1801</v>
      </c>
      <c r="O547" s="42"/>
      <c r="P547" s="62"/>
    </row>
    <row r="548" spans="1:16" ht="15.75" customHeight="1" x14ac:dyDescent="0.35">
      <c r="A548" s="36"/>
      <c r="B548" s="36"/>
      <c r="C548" s="37"/>
      <c r="D548" s="38">
        <v>44465</v>
      </c>
      <c r="E548" s="44" t="s">
        <v>63</v>
      </c>
      <c r="F548" s="36" t="s">
        <v>24</v>
      </c>
      <c r="G548" s="36"/>
      <c r="H548" s="36"/>
      <c r="I548" s="36"/>
      <c r="J548" s="93"/>
      <c r="K548" s="36"/>
      <c r="L548" s="36"/>
      <c r="M548" s="36"/>
      <c r="N548" s="36"/>
      <c r="O548" s="44"/>
      <c r="P548" s="44"/>
    </row>
    <row r="549" spans="1:16" ht="15.75" customHeight="1" x14ac:dyDescent="0.35">
      <c r="A549" s="36"/>
      <c r="B549" s="36"/>
      <c r="C549" s="37"/>
      <c r="D549" s="38">
        <v>44466</v>
      </c>
      <c r="E549" s="44" t="s">
        <v>63</v>
      </c>
      <c r="F549" s="36" t="s">
        <v>35</v>
      </c>
      <c r="G549" s="36"/>
      <c r="H549" s="36"/>
      <c r="I549" s="36"/>
      <c r="J549" s="93">
        <v>167</v>
      </c>
      <c r="K549" s="36"/>
      <c r="L549" s="36">
        <f>24057-24030</f>
        <v>27</v>
      </c>
      <c r="M549" s="44">
        <v>179</v>
      </c>
      <c r="N549" s="44">
        <v>324</v>
      </c>
      <c r="O549" s="44"/>
      <c r="P549" s="44"/>
    </row>
    <row r="550" spans="1:16" ht="15.75" customHeight="1" x14ac:dyDescent="0.35">
      <c r="A550" s="36"/>
      <c r="B550" s="36">
        <f>J555</f>
        <v>835</v>
      </c>
      <c r="C550" s="37"/>
      <c r="D550" s="38">
        <v>44467</v>
      </c>
      <c r="E550" s="44" t="s">
        <v>63</v>
      </c>
      <c r="F550" s="36" t="s">
        <v>36</v>
      </c>
      <c r="G550" s="36"/>
      <c r="H550" s="36"/>
      <c r="I550" s="36"/>
      <c r="J550" s="93">
        <v>167</v>
      </c>
      <c r="K550" s="36"/>
      <c r="L550" s="36">
        <f>24122-24093</f>
        <v>29</v>
      </c>
      <c r="M550" s="44">
        <v>181</v>
      </c>
      <c r="N550" s="44">
        <v>324</v>
      </c>
      <c r="O550" s="44"/>
      <c r="P550" s="44"/>
    </row>
    <row r="551" spans="1:16" ht="15.75" customHeight="1" x14ac:dyDescent="0.35">
      <c r="A551" s="36"/>
      <c r="B551" s="44">
        <v>-230</v>
      </c>
      <c r="C551" s="37"/>
      <c r="D551" s="38">
        <v>44468</v>
      </c>
      <c r="E551" s="44" t="s">
        <v>63</v>
      </c>
      <c r="F551" s="36" t="s">
        <v>37</v>
      </c>
      <c r="G551" s="36"/>
      <c r="H551" s="36"/>
      <c r="I551" s="36"/>
      <c r="J551" s="93"/>
      <c r="K551" s="36"/>
      <c r="L551" s="36"/>
      <c r="M551" s="36"/>
      <c r="N551" s="36"/>
      <c r="O551" s="44"/>
      <c r="P551" s="44"/>
    </row>
    <row r="552" spans="1:16" ht="15.75" customHeight="1" x14ac:dyDescent="0.35">
      <c r="A552" s="36"/>
      <c r="B552" s="44">
        <v>-103</v>
      </c>
      <c r="C552" s="37"/>
      <c r="D552" s="38">
        <v>44469</v>
      </c>
      <c r="E552" s="44" t="s">
        <v>63</v>
      </c>
      <c r="F552" s="36" t="s">
        <v>38</v>
      </c>
      <c r="G552" s="36"/>
      <c r="H552" s="36"/>
      <c r="I552" s="36"/>
      <c r="J552" s="93">
        <v>167</v>
      </c>
      <c r="K552" s="36"/>
      <c r="L552" s="36">
        <f>24189-24158</f>
        <v>31</v>
      </c>
      <c r="M552" s="44">
        <v>171</v>
      </c>
      <c r="N552" s="44">
        <v>370</v>
      </c>
      <c r="O552" s="44"/>
      <c r="P552" s="44"/>
    </row>
    <row r="553" spans="1:16" ht="15.75" customHeight="1" x14ac:dyDescent="0.35">
      <c r="A553" s="36"/>
      <c r="B553" s="36"/>
      <c r="C553" s="37"/>
      <c r="D553" s="38">
        <v>44470</v>
      </c>
      <c r="E553" s="44" t="s">
        <v>63</v>
      </c>
      <c r="F553" s="36" t="s">
        <v>39</v>
      </c>
      <c r="G553" s="36"/>
      <c r="H553" s="36"/>
      <c r="I553" s="36"/>
      <c r="J553" s="93">
        <v>167</v>
      </c>
      <c r="K553" s="36"/>
      <c r="L553" s="36">
        <f>24263-24237</f>
        <v>26</v>
      </c>
      <c r="M553" s="44">
        <v>173</v>
      </c>
      <c r="N553" s="44">
        <v>319</v>
      </c>
      <c r="O553" s="44">
        <v>-29</v>
      </c>
      <c r="P553" s="44"/>
    </row>
    <row r="554" spans="1:16" ht="15.75" customHeight="1" x14ac:dyDescent="0.35">
      <c r="A554" s="36"/>
      <c r="B554" s="36"/>
      <c r="C554" s="37"/>
      <c r="D554" s="38">
        <v>44471</v>
      </c>
      <c r="E554" s="44" t="s">
        <v>63</v>
      </c>
      <c r="F554" s="36" t="s">
        <v>23</v>
      </c>
      <c r="G554" s="36"/>
      <c r="H554" s="36"/>
      <c r="I554" s="36"/>
      <c r="J554" s="93">
        <v>167</v>
      </c>
      <c r="K554" s="36"/>
      <c r="L554" s="36">
        <f>24318-24296</f>
        <v>22</v>
      </c>
      <c r="M554" s="44">
        <v>172</v>
      </c>
      <c r="N554" s="44">
        <v>321</v>
      </c>
      <c r="O554" s="44"/>
      <c r="P554" s="44"/>
    </row>
    <row r="555" spans="1:16" ht="16.5" customHeight="1" x14ac:dyDescent="0.45">
      <c r="A555" s="59">
        <f>A547+1</f>
        <v>39</v>
      </c>
      <c r="B555" s="59">
        <f>SUM(B548:B554)</f>
        <v>502</v>
      </c>
      <c r="C555" s="81" t="s">
        <v>86</v>
      </c>
      <c r="D555" s="61"/>
      <c r="E555" s="13"/>
      <c r="F555" s="40" t="s">
        <v>28</v>
      </c>
      <c r="G555" s="40"/>
      <c r="H555" s="40"/>
      <c r="I555" s="40">
        <f>COUNT(J548:J554)</f>
        <v>5</v>
      </c>
      <c r="J555" s="41">
        <f t="shared" ref="J555:O555" si="64">SUM(J548:J554)</f>
        <v>835</v>
      </c>
      <c r="K555" s="42">
        <f t="shared" si="64"/>
        <v>0</v>
      </c>
      <c r="L555" s="42">
        <f t="shared" si="64"/>
        <v>135</v>
      </c>
      <c r="M555" s="42">
        <f t="shared" si="64"/>
        <v>876</v>
      </c>
      <c r="N555" s="42">
        <f t="shared" si="64"/>
        <v>1658</v>
      </c>
      <c r="O555" s="42">
        <f t="shared" si="64"/>
        <v>-29</v>
      </c>
      <c r="P555" s="62"/>
    </row>
    <row r="556" spans="1:16" ht="15.75" customHeight="1" x14ac:dyDescent="0.35">
      <c r="A556" s="18"/>
      <c r="B556" s="18"/>
      <c r="C556" s="19"/>
      <c r="D556" s="20">
        <v>44472</v>
      </c>
      <c r="E556" s="58" t="s">
        <v>63</v>
      </c>
      <c r="F556" s="18" t="s">
        <v>24</v>
      </c>
      <c r="G556" s="18"/>
      <c r="H556" s="18"/>
      <c r="I556" s="18"/>
      <c r="J556" s="90">
        <v>167</v>
      </c>
      <c r="K556" s="18"/>
      <c r="L556" s="18">
        <f>24382-24352</f>
        <v>30</v>
      </c>
      <c r="M556" s="58">
        <v>182</v>
      </c>
      <c r="N556" s="58">
        <v>351</v>
      </c>
      <c r="O556" s="18"/>
      <c r="P556" s="58"/>
    </row>
    <row r="557" spans="1:16" ht="15.75" customHeight="1" x14ac:dyDescent="0.35">
      <c r="A557" s="18"/>
      <c r="B557" s="18"/>
      <c r="C557" s="19"/>
      <c r="D557" s="20">
        <v>44473</v>
      </c>
      <c r="E557" s="58" t="s">
        <v>63</v>
      </c>
      <c r="F557" s="18" t="s">
        <v>35</v>
      </c>
      <c r="G557" s="18"/>
      <c r="H557" s="18"/>
      <c r="I557" s="18"/>
      <c r="J557" s="90">
        <v>167</v>
      </c>
      <c r="K557" s="18"/>
      <c r="L557" s="18">
        <f>24447-24419</f>
        <v>28</v>
      </c>
      <c r="M557" s="58">
        <v>163</v>
      </c>
      <c r="N557" s="58">
        <v>344</v>
      </c>
      <c r="O557" s="58">
        <v>-41</v>
      </c>
      <c r="P557" s="58"/>
    </row>
    <row r="558" spans="1:16" ht="15.75" customHeight="1" x14ac:dyDescent="0.35">
      <c r="A558" s="18"/>
      <c r="B558" s="18">
        <f>J563</f>
        <v>1002</v>
      </c>
      <c r="C558" s="19"/>
      <c r="D558" s="20">
        <v>44474</v>
      </c>
      <c r="E558" s="58" t="s">
        <v>63</v>
      </c>
      <c r="F558" s="18" t="s">
        <v>36</v>
      </c>
      <c r="G558" s="18"/>
      <c r="H558" s="18"/>
      <c r="I558" s="18"/>
      <c r="J558" s="90">
        <v>167</v>
      </c>
      <c r="K558" s="18"/>
      <c r="L558" s="18">
        <f>24505-24478</f>
        <v>27</v>
      </c>
      <c r="M558" s="58">
        <v>180</v>
      </c>
      <c r="N558" s="58">
        <v>355</v>
      </c>
      <c r="O558" s="18"/>
      <c r="P558" s="58"/>
    </row>
    <row r="559" spans="1:16" ht="15.75" customHeight="1" x14ac:dyDescent="0.35">
      <c r="A559" s="18"/>
      <c r="B559" s="58">
        <v>-230</v>
      </c>
      <c r="C559" s="19"/>
      <c r="D559" s="20">
        <v>44475</v>
      </c>
      <c r="E559" s="58" t="s">
        <v>63</v>
      </c>
      <c r="F559" s="18" t="s">
        <v>37</v>
      </c>
      <c r="G559" s="18"/>
      <c r="H559" s="18"/>
      <c r="I559" s="18"/>
      <c r="J559" s="90"/>
      <c r="K559" s="18"/>
      <c r="L559" s="18"/>
      <c r="M559" s="18"/>
      <c r="N559" s="18"/>
      <c r="O559" s="18"/>
      <c r="P559" s="58"/>
    </row>
    <row r="560" spans="1:16" ht="15.75" customHeight="1" x14ac:dyDescent="0.35">
      <c r="A560" s="18"/>
      <c r="B560" s="58">
        <v>-103</v>
      </c>
      <c r="C560" s="19"/>
      <c r="D560" s="20">
        <v>44476</v>
      </c>
      <c r="E560" s="58" t="s">
        <v>63</v>
      </c>
      <c r="F560" s="18" t="s">
        <v>38</v>
      </c>
      <c r="G560" s="18"/>
      <c r="H560" s="18"/>
      <c r="I560" s="18"/>
      <c r="J560" s="90">
        <v>167</v>
      </c>
      <c r="K560" s="18"/>
      <c r="L560" s="18">
        <f>24565-24540</f>
        <v>25</v>
      </c>
      <c r="M560" s="58">
        <v>176</v>
      </c>
      <c r="N560" s="58">
        <v>337</v>
      </c>
      <c r="O560" s="18"/>
      <c r="P560" s="58"/>
    </row>
    <row r="561" spans="1:16" ht="15.75" customHeight="1" x14ac:dyDescent="0.35">
      <c r="A561" s="18"/>
      <c r="B561" s="58">
        <v>-65</v>
      </c>
      <c r="C561" s="19"/>
      <c r="D561" s="20">
        <v>44477</v>
      </c>
      <c r="E561" s="58" t="s">
        <v>63</v>
      </c>
      <c r="F561" s="18" t="s">
        <v>39</v>
      </c>
      <c r="G561" s="18"/>
      <c r="H561" s="18"/>
      <c r="I561" s="18"/>
      <c r="J561" s="90">
        <v>167</v>
      </c>
      <c r="K561" s="18"/>
      <c r="L561" s="18">
        <f>24633-24601</f>
        <v>32</v>
      </c>
      <c r="M561" s="58">
        <v>172</v>
      </c>
      <c r="N561" s="58">
        <v>352</v>
      </c>
      <c r="O561" s="58">
        <v>-39</v>
      </c>
      <c r="P561" s="58"/>
    </row>
    <row r="562" spans="1:16" ht="15.75" customHeight="1" x14ac:dyDescent="0.35">
      <c r="A562" s="18"/>
      <c r="B562" s="18"/>
      <c r="C562" s="19"/>
      <c r="D562" s="20">
        <v>44478</v>
      </c>
      <c r="E562" s="58" t="s">
        <v>63</v>
      </c>
      <c r="F562" s="18" t="s">
        <v>23</v>
      </c>
      <c r="G562" s="18"/>
      <c r="H562" s="18"/>
      <c r="I562" s="18"/>
      <c r="J562" s="90">
        <v>167</v>
      </c>
      <c r="K562" s="18"/>
      <c r="L562" s="18"/>
      <c r="M562" s="18"/>
      <c r="N562" s="18"/>
      <c r="O562" s="58"/>
      <c r="P562" s="58"/>
    </row>
    <row r="563" spans="1:16" ht="16.5" customHeight="1" x14ac:dyDescent="0.45">
      <c r="A563" s="59">
        <f>A555+1</f>
        <v>40</v>
      </c>
      <c r="B563" s="59">
        <f>SUM(B556:B562)</f>
        <v>604</v>
      </c>
      <c r="C563" s="81">
        <v>666.71</v>
      </c>
      <c r="D563" s="61"/>
      <c r="E563" s="13"/>
      <c r="F563" s="40" t="s">
        <v>28</v>
      </c>
      <c r="G563" s="40"/>
      <c r="H563" s="40"/>
      <c r="I563" s="40">
        <f>COUNT(J556:J562)</f>
        <v>6</v>
      </c>
      <c r="J563" s="41">
        <f t="shared" ref="J563:O563" si="65">SUM(J556:J562)</f>
        <v>1002</v>
      </c>
      <c r="K563" s="42">
        <f t="shared" si="65"/>
        <v>0</v>
      </c>
      <c r="L563" s="42">
        <f t="shared" si="65"/>
        <v>142</v>
      </c>
      <c r="M563" s="42">
        <f t="shared" si="65"/>
        <v>873</v>
      </c>
      <c r="N563" s="42">
        <f t="shared" si="65"/>
        <v>1739</v>
      </c>
      <c r="O563" s="42">
        <f t="shared" si="65"/>
        <v>-80</v>
      </c>
      <c r="P563" s="62"/>
    </row>
    <row r="564" spans="1:16" ht="15.75" customHeight="1" x14ac:dyDescent="0.35">
      <c r="A564" s="36"/>
      <c r="B564" s="44"/>
      <c r="C564" s="37"/>
      <c r="D564" s="38">
        <v>44479</v>
      </c>
      <c r="E564" s="44" t="s">
        <v>63</v>
      </c>
      <c r="F564" s="36" t="s">
        <v>24</v>
      </c>
      <c r="G564" s="36"/>
      <c r="H564" s="36"/>
      <c r="I564" s="36"/>
      <c r="J564" s="93"/>
      <c r="K564" s="36"/>
      <c r="L564" s="36"/>
      <c r="M564" s="36"/>
      <c r="N564" s="36"/>
      <c r="O564" s="44"/>
      <c r="P564" s="44"/>
    </row>
    <row r="565" spans="1:16" ht="15.75" customHeight="1" x14ac:dyDescent="0.35">
      <c r="A565" s="36"/>
      <c r="B565" s="44"/>
      <c r="C565" s="37"/>
      <c r="D565" s="38">
        <v>44480</v>
      </c>
      <c r="E565" s="44" t="s">
        <v>63</v>
      </c>
      <c r="F565" s="36" t="s">
        <v>35</v>
      </c>
      <c r="G565" s="36"/>
      <c r="H565" s="36"/>
      <c r="I565" s="36"/>
      <c r="J565" s="93">
        <v>176</v>
      </c>
      <c r="K565" s="36"/>
      <c r="L565" s="36">
        <f>24756-24732</f>
        <v>24</v>
      </c>
      <c r="M565" s="44">
        <v>163</v>
      </c>
      <c r="N565" s="44">
        <v>292</v>
      </c>
      <c r="O565" s="44"/>
      <c r="P565" s="44"/>
    </row>
    <row r="566" spans="1:16" ht="15.75" customHeight="1" x14ac:dyDescent="0.35">
      <c r="A566" s="36"/>
      <c r="B566" s="44">
        <f>J571</f>
        <v>880</v>
      </c>
      <c r="C566" s="37"/>
      <c r="D566" s="38">
        <v>44481</v>
      </c>
      <c r="E566" s="44" t="s">
        <v>63</v>
      </c>
      <c r="F566" s="36" t="s">
        <v>36</v>
      </c>
      <c r="G566" s="36"/>
      <c r="H566" s="36"/>
      <c r="I566" s="36"/>
      <c r="J566" s="93">
        <v>176</v>
      </c>
      <c r="K566" s="36"/>
      <c r="L566" s="36">
        <f>24819-24790</f>
        <v>29</v>
      </c>
      <c r="M566" s="44">
        <v>178</v>
      </c>
      <c r="N566" s="44">
        <v>365</v>
      </c>
      <c r="O566" s="44">
        <v>-37</v>
      </c>
      <c r="P566" s="44"/>
    </row>
    <row r="567" spans="1:16" ht="15.75" customHeight="1" x14ac:dyDescent="0.35">
      <c r="A567" s="36"/>
      <c r="B567" s="44">
        <v>-230</v>
      </c>
      <c r="C567" s="37"/>
      <c r="D567" s="38">
        <v>44482</v>
      </c>
      <c r="E567" s="44" t="s">
        <v>53</v>
      </c>
      <c r="F567" s="36" t="s">
        <v>37</v>
      </c>
      <c r="G567" s="36"/>
      <c r="H567" s="36"/>
      <c r="I567" s="36"/>
      <c r="J567" s="93">
        <v>176</v>
      </c>
      <c r="K567" s="36"/>
      <c r="L567" s="36">
        <f>24882-24856</f>
        <v>26</v>
      </c>
      <c r="M567" s="44">
        <v>176</v>
      </c>
      <c r="N567" s="44">
        <v>357</v>
      </c>
      <c r="O567" s="44"/>
      <c r="P567" s="44"/>
    </row>
    <row r="568" spans="1:16" ht="15.75" customHeight="1" x14ac:dyDescent="0.35">
      <c r="A568" s="36"/>
      <c r="B568" s="44">
        <v>-103</v>
      </c>
      <c r="C568" s="37"/>
      <c r="D568" s="38">
        <v>44483</v>
      </c>
      <c r="E568" s="44" t="s">
        <v>53</v>
      </c>
      <c r="F568" s="36" t="s">
        <v>38</v>
      </c>
      <c r="G568" s="36"/>
      <c r="H568" s="36"/>
      <c r="I568" s="36"/>
      <c r="J568" s="93"/>
      <c r="K568" s="36"/>
      <c r="L568" s="36"/>
      <c r="M568" s="36"/>
      <c r="N568" s="36"/>
      <c r="O568" s="44"/>
      <c r="P568" s="44"/>
    </row>
    <row r="569" spans="1:16" ht="15.75" customHeight="1" x14ac:dyDescent="0.35">
      <c r="A569" s="36"/>
      <c r="B569" s="44"/>
      <c r="C569" s="37"/>
      <c r="D569" s="38">
        <v>44484</v>
      </c>
      <c r="E569" s="44" t="s">
        <v>53</v>
      </c>
      <c r="F569" s="36" t="s">
        <v>39</v>
      </c>
      <c r="G569" s="36"/>
      <c r="H569" s="36"/>
      <c r="I569" s="36"/>
      <c r="J569" s="93">
        <v>176</v>
      </c>
      <c r="K569" s="36"/>
      <c r="L569" s="36">
        <f>24944-24916</f>
        <v>28</v>
      </c>
      <c r="M569" s="44">
        <v>174</v>
      </c>
      <c r="N569" s="44">
        <v>301</v>
      </c>
      <c r="O569" s="44"/>
      <c r="P569" s="44"/>
    </row>
    <row r="570" spans="1:16" ht="15.75" customHeight="1" x14ac:dyDescent="0.35">
      <c r="A570" s="36"/>
      <c r="B570" s="44"/>
      <c r="C570" s="37"/>
      <c r="D570" s="38">
        <v>44485</v>
      </c>
      <c r="E570" s="44" t="s">
        <v>53</v>
      </c>
      <c r="F570" s="36" t="s">
        <v>23</v>
      </c>
      <c r="G570" s="36"/>
      <c r="H570" s="36"/>
      <c r="I570" s="36"/>
      <c r="J570" s="93">
        <v>176</v>
      </c>
      <c r="K570" s="36"/>
      <c r="L570" s="36">
        <f>25008-24984</f>
        <v>24</v>
      </c>
      <c r="M570" s="44">
        <v>180</v>
      </c>
      <c r="N570" s="44">
        <v>315</v>
      </c>
      <c r="O570" s="44">
        <v>-37</v>
      </c>
      <c r="P570" s="44"/>
    </row>
    <row r="571" spans="1:16" ht="16.5" customHeight="1" x14ac:dyDescent="0.45">
      <c r="A571" s="59">
        <f>A563+1</f>
        <v>41</v>
      </c>
      <c r="B571" s="59">
        <f>SUM(B564:B570)</f>
        <v>547</v>
      </c>
      <c r="C571" s="81">
        <v>594.61</v>
      </c>
      <c r="D571" s="61"/>
      <c r="E571" s="13"/>
      <c r="F571" s="40" t="s">
        <v>28</v>
      </c>
      <c r="G571" s="40"/>
      <c r="H571" s="40"/>
      <c r="I571" s="40">
        <f>COUNT(J564:J570)</f>
        <v>5</v>
      </c>
      <c r="J571" s="41">
        <f t="shared" ref="J571:O571" si="66">SUM(J564:J570)</f>
        <v>880</v>
      </c>
      <c r="K571" s="42">
        <f t="shared" si="66"/>
        <v>0</v>
      </c>
      <c r="L571" s="42">
        <f t="shared" si="66"/>
        <v>131</v>
      </c>
      <c r="M571" s="42">
        <f t="shared" si="66"/>
        <v>871</v>
      </c>
      <c r="N571" s="42">
        <f t="shared" si="66"/>
        <v>1630</v>
      </c>
      <c r="O571" s="42">
        <f t="shared" si="66"/>
        <v>-74</v>
      </c>
      <c r="P571" s="62"/>
    </row>
    <row r="572" spans="1:16" ht="15.75" customHeight="1" x14ac:dyDescent="0.35">
      <c r="A572" s="18"/>
      <c r="B572" s="18"/>
      <c r="C572" s="19"/>
      <c r="D572" s="20">
        <v>44486</v>
      </c>
      <c r="E572" s="58" t="s">
        <v>53</v>
      </c>
      <c r="F572" s="18" t="s">
        <v>24</v>
      </c>
      <c r="G572" s="18"/>
      <c r="H572" s="18"/>
      <c r="I572" s="18"/>
      <c r="J572" s="90">
        <v>176</v>
      </c>
      <c r="K572" s="18"/>
      <c r="L572" s="18">
        <f>25067-25043</f>
        <v>24</v>
      </c>
      <c r="M572" s="58">
        <v>155</v>
      </c>
      <c r="N572" s="58">
        <v>269</v>
      </c>
      <c r="O572" s="18"/>
      <c r="P572" s="58"/>
    </row>
    <row r="573" spans="1:16" ht="15.75" customHeight="1" x14ac:dyDescent="0.35">
      <c r="A573" s="18"/>
      <c r="B573" s="18"/>
      <c r="C573" s="19"/>
      <c r="D573" s="20">
        <v>44487</v>
      </c>
      <c r="E573" s="58" t="s">
        <v>63</v>
      </c>
      <c r="F573" s="18" t="s">
        <v>35</v>
      </c>
      <c r="G573" s="18"/>
      <c r="H573" s="18"/>
      <c r="I573" s="18"/>
      <c r="J573" s="90">
        <v>176</v>
      </c>
      <c r="K573" s="18"/>
      <c r="L573" s="18">
        <f>25130-25103</f>
        <v>27</v>
      </c>
      <c r="M573" s="58">
        <v>135</v>
      </c>
      <c r="N573" s="58">
        <v>236</v>
      </c>
      <c r="O573" s="18"/>
      <c r="P573" s="58"/>
    </row>
    <row r="574" spans="1:16" ht="15.75" customHeight="1" x14ac:dyDescent="0.35">
      <c r="A574" s="18"/>
      <c r="B574" s="18">
        <f>J579</f>
        <v>944</v>
      </c>
      <c r="C574" s="19"/>
      <c r="D574" s="20">
        <v>44488</v>
      </c>
      <c r="E574" s="58" t="s">
        <v>87</v>
      </c>
      <c r="F574" s="18" t="s">
        <v>36</v>
      </c>
      <c r="G574" s="18"/>
      <c r="H574" s="18"/>
      <c r="I574" s="18"/>
      <c r="J574" s="90"/>
      <c r="K574" s="18"/>
      <c r="L574" s="18"/>
      <c r="M574" s="18"/>
      <c r="N574" s="18"/>
      <c r="O574" s="18"/>
      <c r="P574" s="58"/>
    </row>
    <row r="575" spans="1:16" ht="15.75" customHeight="1" x14ac:dyDescent="0.35">
      <c r="A575" s="18"/>
      <c r="B575" s="58">
        <v>-230</v>
      </c>
      <c r="C575" s="19"/>
      <c r="D575" s="20">
        <v>44489</v>
      </c>
      <c r="E575" s="58" t="s">
        <v>88</v>
      </c>
      <c r="F575" s="18" t="s">
        <v>37</v>
      </c>
      <c r="G575" s="91" t="s">
        <v>89</v>
      </c>
      <c r="H575" s="18"/>
      <c r="I575" s="18"/>
      <c r="J575" s="90">
        <v>240</v>
      </c>
      <c r="K575" s="18"/>
      <c r="L575" s="18">
        <f>25345-25151</f>
        <v>194</v>
      </c>
      <c r="M575" s="58">
        <v>106</v>
      </c>
      <c r="N575" s="58">
        <v>157</v>
      </c>
      <c r="O575" s="58">
        <v>-47</v>
      </c>
      <c r="P575" s="58"/>
    </row>
    <row r="576" spans="1:16" ht="15.75" customHeight="1" x14ac:dyDescent="0.35">
      <c r="A576" s="18"/>
      <c r="B576" s="58"/>
      <c r="C576" s="19"/>
      <c r="D576" s="20">
        <v>44490</v>
      </c>
      <c r="E576" s="58" t="s">
        <v>87</v>
      </c>
      <c r="F576" s="18" t="s">
        <v>38</v>
      </c>
      <c r="G576" s="18"/>
      <c r="H576" s="18"/>
      <c r="I576" s="18"/>
      <c r="J576" s="90">
        <v>176</v>
      </c>
      <c r="K576" s="18"/>
      <c r="L576" s="18">
        <f>25394-25367</f>
        <v>27</v>
      </c>
      <c r="M576" s="58">
        <v>150</v>
      </c>
      <c r="N576" s="58">
        <v>330</v>
      </c>
      <c r="O576" s="18"/>
      <c r="P576" s="58"/>
    </row>
    <row r="577" spans="1:16" ht="15.75" customHeight="1" x14ac:dyDescent="0.35">
      <c r="A577" s="18"/>
      <c r="B577" s="18"/>
      <c r="C577" s="19"/>
      <c r="D577" s="20">
        <v>44491</v>
      </c>
      <c r="E577" s="58" t="s">
        <v>87</v>
      </c>
      <c r="F577" s="18" t="s">
        <v>39</v>
      </c>
      <c r="G577" s="18"/>
      <c r="H577" s="18"/>
      <c r="I577" s="18"/>
      <c r="J577" s="90">
        <v>176</v>
      </c>
      <c r="K577" s="18"/>
      <c r="L577" s="18">
        <f>25458-25433</f>
        <v>25</v>
      </c>
      <c r="M577" s="58">
        <v>142</v>
      </c>
      <c r="N577" s="58">
        <v>262</v>
      </c>
      <c r="O577" s="58">
        <v>-37</v>
      </c>
      <c r="P577" s="58"/>
    </row>
    <row r="578" spans="1:16" ht="15.75" customHeight="1" x14ac:dyDescent="0.35">
      <c r="A578" s="18"/>
      <c r="B578" s="18"/>
      <c r="C578" s="19"/>
      <c r="D578" s="20">
        <v>44492</v>
      </c>
      <c r="E578" s="58" t="s">
        <v>42</v>
      </c>
      <c r="F578" s="18" t="s">
        <v>23</v>
      </c>
      <c r="G578" s="18"/>
      <c r="H578" s="18"/>
      <c r="I578" s="18"/>
      <c r="J578" s="90"/>
      <c r="K578" s="18"/>
      <c r="L578" s="18"/>
      <c r="M578" s="18"/>
      <c r="N578" s="18"/>
      <c r="O578" s="58"/>
      <c r="P578" s="58"/>
    </row>
    <row r="579" spans="1:16" ht="16.5" customHeight="1" x14ac:dyDescent="0.45">
      <c r="A579" s="59">
        <f>A571+1</f>
        <v>42</v>
      </c>
      <c r="B579" s="59">
        <f>SUM(B572:B578)</f>
        <v>714</v>
      </c>
      <c r="C579" s="81">
        <v>774.5</v>
      </c>
      <c r="D579" s="61"/>
      <c r="E579" s="13"/>
      <c r="F579" s="40" t="s">
        <v>28</v>
      </c>
      <c r="G579" s="40"/>
      <c r="H579" s="40"/>
      <c r="I579" s="40">
        <f>COUNT(J572:J578)</f>
        <v>5</v>
      </c>
      <c r="J579" s="41">
        <f t="shared" ref="J579:O579" si="67">SUM(J572:J578)</f>
        <v>944</v>
      </c>
      <c r="K579" s="42">
        <f t="shared" si="67"/>
        <v>0</v>
      </c>
      <c r="L579" s="42">
        <f t="shared" si="67"/>
        <v>297</v>
      </c>
      <c r="M579" s="42">
        <f t="shared" si="67"/>
        <v>688</v>
      </c>
      <c r="N579" s="42">
        <f t="shared" si="67"/>
        <v>1254</v>
      </c>
      <c r="O579" s="42">
        <f t="shared" si="67"/>
        <v>-84</v>
      </c>
      <c r="P579" s="62"/>
    </row>
    <row r="580" spans="1:16" ht="15.75" customHeight="1" x14ac:dyDescent="0.35">
      <c r="A580" s="36"/>
      <c r="B580" s="44"/>
      <c r="C580" s="37"/>
      <c r="D580" s="38">
        <v>44493</v>
      </c>
      <c r="E580" s="44" t="s">
        <v>88</v>
      </c>
      <c r="F580" s="36" t="s">
        <v>24</v>
      </c>
      <c r="G580" s="91" t="s">
        <v>89</v>
      </c>
      <c r="H580" s="36"/>
      <c r="I580" s="36"/>
      <c r="J580" s="93">
        <v>240</v>
      </c>
      <c r="K580" s="36"/>
      <c r="L580" s="36">
        <f>25648-25478</f>
        <v>170</v>
      </c>
      <c r="M580" s="44">
        <v>146</v>
      </c>
      <c r="N580" s="44">
        <v>219</v>
      </c>
      <c r="O580" s="44">
        <v>-19</v>
      </c>
      <c r="P580" s="44"/>
    </row>
    <row r="581" spans="1:16" ht="15.75" customHeight="1" x14ac:dyDescent="0.35">
      <c r="A581" s="36"/>
      <c r="B581" s="44"/>
      <c r="C581" s="37"/>
      <c r="D581" s="38">
        <v>44494</v>
      </c>
      <c r="E581" s="44" t="s">
        <v>87</v>
      </c>
      <c r="F581" s="36" t="s">
        <v>35</v>
      </c>
      <c r="G581" s="36"/>
      <c r="H581" s="36"/>
      <c r="I581" s="36"/>
      <c r="J581" s="93">
        <v>176</v>
      </c>
      <c r="K581" s="36"/>
      <c r="L581" s="36">
        <f>25693-25670</f>
        <v>23</v>
      </c>
      <c r="M581" s="44">
        <v>148</v>
      </c>
      <c r="N581" s="44">
        <v>270</v>
      </c>
      <c r="O581" s="44">
        <v>-31</v>
      </c>
      <c r="P581" s="44"/>
    </row>
    <row r="582" spans="1:16" ht="15.75" customHeight="1" x14ac:dyDescent="0.35">
      <c r="A582" s="36"/>
      <c r="B582" s="44">
        <f>J587</f>
        <v>1184</v>
      </c>
      <c r="C582" s="37"/>
      <c r="D582" s="38">
        <v>44495</v>
      </c>
      <c r="E582" s="44" t="s">
        <v>87</v>
      </c>
      <c r="F582" s="36" t="s">
        <v>36</v>
      </c>
      <c r="G582" s="36"/>
      <c r="H582" s="36"/>
      <c r="I582" s="36"/>
      <c r="J582" s="93">
        <v>176</v>
      </c>
      <c r="K582" s="36"/>
      <c r="L582" s="44">
        <v>25</v>
      </c>
      <c r="M582" s="44">
        <v>147</v>
      </c>
      <c r="N582" s="44">
        <v>271</v>
      </c>
      <c r="O582" s="44"/>
      <c r="P582" s="44"/>
    </row>
    <row r="583" spans="1:16" ht="15.75" customHeight="1" x14ac:dyDescent="0.35">
      <c r="A583" s="36"/>
      <c r="B583" s="44">
        <v>-230</v>
      </c>
      <c r="C583" s="37"/>
      <c r="D583" s="38">
        <v>44496</v>
      </c>
      <c r="E583" s="44" t="s">
        <v>87</v>
      </c>
      <c r="F583" s="36" t="s">
        <v>37</v>
      </c>
      <c r="G583" s="36"/>
      <c r="H583" s="36"/>
      <c r="I583" s="36"/>
      <c r="J583" s="93"/>
      <c r="K583" s="36"/>
      <c r="L583" s="36"/>
      <c r="M583" s="36"/>
      <c r="N583" s="36"/>
      <c r="O583" s="44"/>
      <c r="P583" s="44"/>
    </row>
    <row r="584" spans="1:16" ht="15.75" customHeight="1" x14ac:dyDescent="0.35">
      <c r="A584" s="36"/>
      <c r="B584" s="44"/>
      <c r="C584" s="37"/>
      <c r="D584" s="38">
        <v>44497</v>
      </c>
      <c r="E584" s="44" t="s">
        <v>87</v>
      </c>
      <c r="F584" s="36" t="s">
        <v>38</v>
      </c>
      <c r="G584" s="91" t="s">
        <v>89</v>
      </c>
      <c r="H584" s="36"/>
      <c r="I584" s="36"/>
      <c r="J584" s="93">
        <v>240</v>
      </c>
      <c r="K584" s="36"/>
      <c r="L584" s="36">
        <f>25951-25779</f>
        <v>172</v>
      </c>
      <c r="M584" s="44">
        <v>132</v>
      </c>
      <c r="N584" s="44">
        <v>210</v>
      </c>
      <c r="O584" s="44">
        <v>-39</v>
      </c>
      <c r="P584" s="44"/>
    </row>
    <row r="585" spans="1:16" ht="15.75" customHeight="1" x14ac:dyDescent="0.35">
      <c r="A585" s="36"/>
      <c r="B585" s="44"/>
      <c r="C585" s="37"/>
      <c r="D585" s="38">
        <v>44498</v>
      </c>
      <c r="E585" s="44" t="s">
        <v>87</v>
      </c>
      <c r="F585" s="36" t="s">
        <v>39</v>
      </c>
      <c r="G585" s="36"/>
      <c r="H585" s="36"/>
      <c r="I585" s="36"/>
      <c r="J585" s="93">
        <v>176</v>
      </c>
      <c r="K585" s="36"/>
      <c r="L585" s="36">
        <f>25999-25973</f>
        <v>26</v>
      </c>
      <c r="M585" s="44">
        <v>130</v>
      </c>
      <c r="N585" s="44">
        <v>294</v>
      </c>
      <c r="O585" s="44"/>
      <c r="P585" s="44"/>
    </row>
    <row r="586" spans="1:16" ht="15.75" customHeight="1" x14ac:dyDescent="0.35">
      <c r="A586" s="36"/>
      <c r="B586" s="44"/>
      <c r="C586" s="37"/>
      <c r="D586" s="38">
        <v>44499</v>
      </c>
      <c r="E586" s="44" t="s">
        <v>87</v>
      </c>
      <c r="F586" s="36" t="s">
        <v>23</v>
      </c>
      <c r="G586" s="36"/>
      <c r="H586" s="36"/>
      <c r="I586" s="36"/>
      <c r="J586" s="93">
        <v>176</v>
      </c>
      <c r="K586" s="36"/>
      <c r="L586" s="36">
        <f>26064-26043</f>
        <v>21</v>
      </c>
      <c r="M586" s="44">
        <v>153</v>
      </c>
      <c r="N586" s="44">
        <v>296</v>
      </c>
      <c r="O586" s="44">
        <f>-37-11</f>
        <v>-48</v>
      </c>
      <c r="P586" s="44"/>
    </row>
    <row r="587" spans="1:16" ht="16.5" customHeight="1" x14ac:dyDescent="0.45">
      <c r="A587" s="59">
        <f>A579+1</f>
        <v>43</v>
      </c>
      <c r="B587" s="59">
        <f>SUM(B580:B586)</f>
        <v>954</v>
      </c>
      <c r="C587" s="81">
        <v>1041.3900000000001</v>
      </c>
      <c r="D587" s="61"/>
      <c r="E587" s="13"/>
      <c r="F587" s="40" t="s">
        <v>28</v>
      </c>
      <c r="G587" s="40"/>
      <c r="H587" s="40"/>
      <c r="I587" s="40">
        <f>COUNT(J580:J586)</f>
        <v>6</v>
      </c>
      <c r="J587" s="41">
        <f t="shared" ref="J587:O587" si="68">SUM(J580:J586)</f>
        <v>1184</v>
      </c>
      <c r="K587" s="42">
        <f t="shared" si="68"/>
        <v>0</v>
      </c>
      <c r="L587" s="42">
        <f t="shared" si="68"/>
        <v>437</v>
      </c>
      <c r="M587" s="42">
        <f t="shared" si="68"/>
        <v>856</v>
      </c>
      <c r="N587" s="42">
        <f t="shared" si="68"/>
        <v>1560</v>
      </c>
      <c r="O587" s="42">
        <f t="shared" si="68"/>
        <v>-137</v>
      </c>
      <c r="P587" s="62"/>
    </row>
    <row r="588" spans="1:16" ht="15.75" customHeight="1" x14ac:dyDescent="0.35">
      <c r="C588" s="60"/>
      <c r="D588" s="61">
        <v>44500</v>
      </c>
      <c r="E588" s="58" t="s">
        <v>90</v>
      </c>
      <c r="F588" s="59" t="s">
        <v>24</v>
      </c>
      <c r="J588" s="90"/>
      <c r="P588" s="44"/>
    </row>
    <row r="589" spans="1:16" ht="15.75" customHeight="1" x14ac:dyDescent="0.35">
      <c r="A589" s="18"/>
      <c r="B589" s="18"/>
      <c r="C589" s="19"/>
      <c r="D589" s="20">
        <v>44501</v>
      </c>
      <c r="E589" s="58" t="s">
        <v>90</v>
      </c>
      <c r="F589" s="18" t="s">
        <v>35</v>
      </c>
      <c r="G589" s="18"/>
      <c r="H589" s="18"/>
      <c r="I589" s="18"/>
      <c r="J589" s="90">
        <v>176</v>
      </c>
      <c r="K589" s="18"/>
      <c r="L589" s="18">
        <f>26121-26098</f>
        <v>23</v>
      </c>
      <c r="M589" s="58">
        <v>141</v>
      </c>
      <c r="N589" s="58">
        <v>250</v>
      </c>
      <c r="O589" s="18"/>
      <c r="P589" s="58"/>
    </row>
    <row r="590" spans="1:16" ht="15.75" customHeight="1" x14ac:dyDescent="0.35">
      <c r="A590" s="18"/>
      <c r="B590" s="18">
        <f>J595+K595</f>
        <v>919</v>
      </c>
      <c r="C590" s="19"/>
      <c r="D590" s="20">
        <v>44502</v>
      </c>
      <c r="E590" s="58" t="s">
        <v>90</v>
      </c>
      <c r="F590" s="18" t="s">
        <v>36</v>
      </c>
      <c r="G590" s="18"/>
      <c r="H590" s="18"/>
      <c r="I590" s="18"/>
      <c r="J590" s="90">
        <v>176</v>
      </c>
      <c r="K590" s="18"/>
      <c r="L590" s="18">
        <f>26180-26155</f>
        <v>25</v>
      </c>
      <c r="M590" s="58">
        <v>138</v>
      </c>
      <c r="N590" s="58">
        <v>256</v>
      </c>
      <c r="O590" s="58">
        <v>-43</v>
      </c>
      <c r="P590" s="58"/>
    </row>
    <row r="591" spans="1:16" ht="15.75" customHeight="1" x14ac:dyDescent="0.35">
      <c r="A591" s="18"/>
      <c r="B591" s="58">
        <v>-230</v>
      </c>
      <c r="C591" s="19"/>
      <c r="D591" s="20">
        <v>44503</v>
      </c>
      <c r="E591" s="58" t="s">
        <v>90</v>
      </c>
      <c r="F591" s="18" t="s">
        <v>37</v>
      </c>
      <c r="G591" s="18"/>
      <c r="H591" s="18"/>
      <c r="I591" s="18"/>
      <c r="J591" s="90">
        <v>176</v>
      </c>
      <c r="K591" s="18"/>
      <c r="L591" s="58">
        <v>25</v>
      </c>
      <c r="M591" s="58">
        <v>143</v>
      </c>
      <c r="N591" s="58">
        <v>267</v>
      </c>
      <c r="O591" s="18"/>
      <c r="P591" s="58"/>
    </row>
    <row r="592" spans="1:16" ht="15.75" customHeight="1" x14ac:dyDescent="0.35">
      <c r="A592" s="18"/>
      <c r="B592" s="18"/>
      <c r="C592" s="19"/>
      <c r="D592" s="20">
        <v>44504</v>
      </c>
      <c r="E592" s="58" t="s">
        <v>90</v>
      </c>
      <c r="F592" s="18" t="s">
        <v>38</v>
      </c>
      <c r="G592" s="18"/>
      <c r="H592" s="18"/>
      <c r="I592" s="18"/>
      <c r="J592" s="90"/>
      <c r="K592" s="18"/>
      <c r="L592" s="18"/>
      <c r="M592" s="18"/>
      <c r="N592" s="18"/>
      <c r="O592" s="18"/>
      <c r="P592" s="58"/>
    </row>
    <row r="593" spans="1:16" ht="15.75" customHeight="1" x14ac:dyDescent="0.35">
      <c r="A593" s="18"/>
      <c r="B593" s="18"/>
      <c r="C593" s="19"/>
      <c r="D593" s="20">
        <v>44505</v>
      </c>
      <c r="E593" s="58" t="s">
        <v>90</v>
      </c>
      <c r="F593" s="18" t="s">
        <v>39</v>
      </c>
      <c r="G593" s="18"/>
      <c r="H593" s="18"/>
      <c r="I593" s="18"/>
      <c r="J593" s="90">
        <v>176</v>
      </c>
      <c r="K593" s="91">
        <v>39</v>
      </c>
      <c r="L593" s="18">
        <f>26315-26291</f>
        <v>24</v>
      </c>
      <c r="M593" s="58">
        <v>136</v>
      </c>
      <c r="N593" s="58">
        <v>255</v>
      </c>
      <c r="O593" s="18"/>
      <c r="P593" s="58"/>
    </row>
    <row r="594" spans="1:16" ht="15.75" customHeight="1" x14ac:dyDescent="0.35">
      <c r="A594" s="18"/>
      <c r="B594" s="18"/>
      <c r="C594" s="19"/>
      <c r="D594" s="20">
        <v>44506</v>
      </c>
      <c r="E594" s="58" t="s">
        <v>90</v>
      </c>
      <c r="F594" s="18" t="s">
        <v>23</v>
      </c>
      <c r="G594" s="18"/>
      <c r="H594" s="18"/>
      <c r="I594" s="18"/>
      <c r="J594" s="90">
        <v>176</v>
      </c>
      <c r="K594" s="18"/>
      <c r="L594" s="18">
        <f>26372-26350</f>
        <v>22</v>
      </c>
      <c r="M594" s="58">
        <v>146</v>
      </c>
      <c r="N594" s="58">
        <v>255</v>
      </c>
      <c r="O594" s="58">
        <v>-37</v>
      </c>
      <c r="P594" s="58"/>
    </row>
    <row r="595" spans="1:16" ht="16.5" customHeight="1" x14ac:dyDescent="0.45">
      <c r="A595" s="59">
        <f>A587+1</f>
        <v>44</v>
      </c>
      <c r="B595" s="59">
        <f>SUM(B588:B594)</f>
        <v>689</v>
      </c>
      <c r="C595" s="81">
        <v>743.52</v>
      </c>
      <c r="D595" s="61"/>
      <c r="E595" s="13"/>
      <c r="F595" s="40" t="s">
        <v>28</v>
      </c>
      <c r="G595" s="40"/>
      <c r="H595" s="40"/>
      <c r="I595" s="40">
        <f>COUNT(J588:J594)</f>
        <v>5</v>
      </c>
      <c r="J595" s="41">
        <f t="shared" ref="J595:O595" si="69">SUM(J588:J594)</f>
        <v>880</v>
      </c>
      <c r="K595" s="42">
        <f t="shared" si="69"/>
        <v>39</v>
      </c>
      <c r="L595" s="42">
        <f t="shared" si="69"/>
        <v>119</v>
      </c>
      <c r="M595" s="42">
        <f t="shared" si="69"/>
        <v>704</v>
      </c>
      <c r="N595" s="42">
        <f t="shared" si="69"/>
        <v>1283</v>
      </c>
      <c r="O595" s="42">
        <f t="shared" si="69"/>
        <v>-80</v>
      </c>
      <c r="P595" s="62"/>
    </row>
    <row r="596" spans="1:16" ht="15.75" customHeight="1" x14ac:dyDescent="0.35">
      <c r="A596" s="36"/>
      <c r="B596" s="44"/>
      <c r="C596" s="37"/>
      <c r="D596" s="38">
        <v>44507</v>
      </c>
      <c r="E596" s="44" t="s">
        <v>91</v>
      </c>
      <c r="F596" s="36" t="s">
        <v>24</v>
      </c>
      <c r="G596" s="36"/>
      <c r="H596" s="36"/>
      <c r="I596" s="36"/>
      <c r="J596" s="93">
        <v>176</v>
      </c>
      <c r="K596" s="36"/>
      <c r="L596" s="36">
        <f>26430-26413</f>
        <v>17</v>
      </c>
      <c r="M596" s="44">
        <v>157</v>
      </c>
      <c r="N596" s="44">
        <v>288</v>
      </c>
      <c r="O596" s="44"/>
      <c r="P596" s="44"/>
    </row>
    <row r="597" spans="1:16" ht="15.75" customHeight="1" x14ac:dyDescent="0.35">
      <c r="A597" s="36"/>
      <c r="B597" s="44"/>
      <c r="C597" s="37"/>
      <c r="D597" s="38">
        <v>44508</v>
      </c>
      <c r="E597" s="44" t="s">
        <v>90</v>
      </c>
      <c r="F597" s="36" t="s">
        <v>35</v>
      </c>
      <c r="G597" s="36"/>
      <c r="H597" s="36"/>
      <c r="I597" s="36"/>
      <c r="J597" s="93">
        <v>176</v>
      </c>
      <c r="K597" s="36"/>
      <c r="L597" s="36">
        <f>26485-26462</f>
        <v>23</v>
      </c>
      <c r="M597" s="44">
        <v>147</v>
      </c>
      <c r="N597" s="44">
        <v>269</v>
      </c>
      <c r="O597" s="44"/>
      <c r="P597" s="44"/>
    </row>
    <row r="598" spans="1:16" ht="15.75" customHeight="1" x14ac:dyDescent="0.35">
      <c r="A598" s="36"/>
      <c r="B598" s="44">
        <f>J603</f>
        <v>1130</v>
      </c>
      <c r="C598" s="37"/>
      <c r="D598" s="38">
        <v>44509</v>
      </c>
      <c r="E598" s="44" t="s">
        <v>90</v>
      </c>
      <c r="F598" s="36" t="s">
        <v>36</v>
      </c>
      <c r="G598" s="36"/>
      <c r="H598" s="36"/>
      <c r="I598" s="36"/>
      <c r="J598" s="93"/>
      <c r="K598" s="36"/>
      <c r="L598" s="36"/>
      <c r="M598" s="36"/>
      <c r="N598" s="36"/>
      <c r="O598" s="44"/>
      <c r="P598" s="44"/>
    </row>
    <row r="599" spans="1:16" ht="15.75" customHeight="1" x14ac:dyDescent="0.35">
      <c r="A599" s="36"/>
      <c r="B599" s="44">
        <v>-230</v>
      </c>
      <c r="C599" s="37"/>
      <c r="D599" s="38">
        <v>44510</v>
      </c>
      <c r="E599" s="44" t="s">
        <v>90</v>
      </c>
      <c r="F599" s="36" t="s">
        <v>37</v>
      </c>
      <c r="G599" s="36"/>
      <c r="H599" s="36"/>
      <c r="I599" s="36"/>
      <c r="J599" s="93">
        <v>176</v>
      </c>
      <c r="K599" s="36"/>
      <c r="L599" s="36">
        <f>26546-26522</f>
        <v>24</v>
      </c>
      <c r="M599" s="44">
        <v>154</v>
      </c>
      <c r="N599" s="44">
        <v>268</v>
      </c>
      <c r="O599" s="44">
        <v>-39</v>
      </c>
      <c r="P599" s="44"/>
    </row>
    <row r="600" spans="1:16" ht="15.75" customHeight="1" x14ac:dyDescent="0.35">
      <c r="A600" s="36"/>
      <c r="B600" s="44"/>
      <c r="C600" s="37"/>
      <c r="D600" s="38">
        <v>44511</v>
      </c>
      <c r="E600" s="44" t="s">
        <v>90</v>
      </c>
      <c r="F600" s="36" t="s">
        <v>38</v>
      </c>
      <c r="G600" s="36"/>
      <c r="H600" s="36"/>
      <c r="I600" s="36"/>
      <c r="J600" s="93">
        <v>176</v>
      </c>
      <c r="K600" s="36"/>
      <c r="L600" s="36">
        <f>26601-26579</f>
        <v>22</v>
      </c>
      <c r="M600" s="44">
        <v>153</v>
      </c>
      <c r="N600" s="44">
        <v>285</v>
      </c>
      <c r="O600" s="44"/>
      <c r="P600" s="44"/>
    </row>
    <row r="601" spans="1:16" ht="15.75" customHeight="1" x14ac:dyDescent="0.35">
      <c r="A601" s="36"/>
      <c r="B601" s="44"/>
      <c r="C601" s="37"/>
      <c r="D601" s="38">
        <v>44512</v>
      </c>
      <c r="E601" s="44" t="s">
        <v>90</v>
      </c>
      <c r="F601" s="36" t="s">
        <v>39</v>
      </c>
      <c r="G601" s="36"/>
      <c r="H601" s="36"/>
      <c r="I601" s="36"/>
      <c r="J601" s="93">
        <v>176</v>
      </c>
      <c r="K601" s="36"/>
      <c r="L601" s="36">
        <f>26659-26635</f>
        <v>24</v>
      </c>
      <c r="M601" s="44">
        <v>121</v>
      </c>
      <c r="N601" s="44">
        <v>250</v>
      </c>
      <c r="O601" s="44"/>
      <c r="P601" s="44"/>
    </row>
    <row r="602" spans="1:16" ht="15.75" customHeight="1" x14ac:dyDescent="0.35">
      <c r="A602" s="36"/>
      <c r="B602" s="44"/>
      <c r="C602" s="37"/>
      <c r="D602" s="38">
        <v>44513</v>
      </c>
      <c r="E602" s="44" t="s">
        <v>51</v>
      </c>
      <c r="F602" s="36" t="s">
        <v>23</v>
      </c>
      <c r="G602" s="91" t="s">
        <v>92</v>
      </c>
      <c r="H602" s="36"/>
      <c r="I602" s="36"/>
      <c r="J602" s="94">
        <v>250</v>
      </c>
      <c r="K602" s="36"/>
      <c r="L602" s="36">
        <f>26823-26675</f>
        <v>148</v>
      </c>
      <c r="M602" s="44">
        <v>103</v>
      </c>
      <c r="N602" s="44">
        <v>146</v>
      </c>
      <c r="O602" s="44">
        <v>-45</v>
      </c>
      <c r="P602" s="44"/>
    </row>
    <row r="603" spans="1:16" ht="16.5" customHeight="1" x14ac:dyDescent="0.45">
      <c r="A603" s="59">
        <f>A595+1</f>
        <v>45</v>
      </c>
      <c r="B603" s="59">
        <f>SUM(B596:B602)</f>
        <v>900</v>
      </c>
      <c r="C603" s="81">
        <v>966.43</v>
      </c>
      <c r="D603" s="61"/>
      <c r="E603" s="13"/>
      <c r="F603" s="40" t="s">
        <v>28</v>
      </c>
      <c r="G603" s="40"/>
      <c r="H603" s="40"/>
      <c r="I603" s="40">
        <f>COUNT(J596:J602)</f>
        <v>6</v>
      </c>
      <c r="J603" s="41">
        <f t="shared" ref="J603:O603" si="70">SUM(J596:J602)</f>
        <v>1130</v>
      </c>
      <c r="K603" s="42">
        <f t="shared" si="70"/>
        <v>0</v>
      </c>
      <c r="L603" s="42">
        <f t="shared" si="70"/>
        <v>258</v>
      </c>
      <c r="M603" s="42">
        <f t="shared" si="70"/>
        <v>835</v>
      </c>
      <c r="N603" s="42">
        <f t="shared" si="70"/>
        <v>1506</v>
      </c>
      <c r="O603" s="42">
        <f t="shared" si="70"/>
        <v>-84</v>
      </c>
      <c r="P603" s="62"/>
    </row>
    <row r="604" spans="1:16" ht="15.75" customHeight="1" x14ac:dyDescent="0.35">
      <c r="A604" s="18"/>
      <c r="B604" s="18"/>
      <c r="C604" s="19"/>
      <c r="D604" s="20">
        <v>44514</v>
      </c>
      <c r="E604" s="58" t="s">
        <v>90</v>
      </c>
      <c r="F604" s="18" t="s">
        <v>24</v>
      </c>
      <c r="G604" s="18"/>
      <c r="H604" s="18"/>
      <c r="I604" s="18"/>
      <c r="J604" s="90"/>
      <c r="K604" s="18"/>
      <c r="L604" s="18"/>
      <c r="M604" s="18"/>
      <c r="N604" s="18"/>
      <c r="O604" s="18"/>
      <c r="P604" s="58"/>
    </row>
    <row r="605" spans="1:16" ht="15.75" customHeight="1" x14ac:dyDescent="0.35">
      <c r="A605" s="18"/>
      <c r="B605" s="18"/>
      <c r="C605" s="19"/>
      <c r="D605" s="20">
        <v>44515</v>
      </c>
      <c r="E605" s="58" t="s">
        <v>90</v>
      </c>
      <c r="F605" s="18" t="s">
        <v>35</v>
      </c>
      <c r="G605" s="18"/>
      <c r="H605" s="18"/>
      <c r="I605" s="18"/>
      <c r="J605" s="90">
        <v>180.5</v>
      </c>
      <c r="K605" s="18"/>
      <c r="L605" s="18">
        <f>26849-26828</f>
        <v>21</v>
      </c>
      <c r="M605" s="58">
        <v>98</v>
      </c>
      <c r="N605" s="58">
        <v>207</v>
      </c>
      <c r="O605" s="18"/>
      <c r="P605" s="58"/>
    </row>
    <row r="606" spans="1:16" ht="15.75" customHeight="1" x14ac:dyDescent="0.35">
      <c r="A606" s="18"/>
      <c r="B606" s="18">
        <f>J611+K611</f>
        <v>902.5</v>
      </c>
      <c r="C606" s="19"/>
      <c r="D606" s="20">
        <v>44516</v>
      </c>
      <c r="E606" s="58" t="s">
        <v>90</v>
      </c>
      <c r="F606" s="18" t="s">
        <v>36</v>
      </c>
      <c r="G606" s="18"/>
      <c r="H606" s="18"/>
      <c r="I606" s="18"/>
      <c r="J606" s="90">
        <v>180.5</v>
      </c>
      <c r="K606" s="18"/>
      <c r="L606" s="18">
        <f>26925-26904</f>
        <v>21</v>
      </c>
      <c r="M606" s="58">
        <v>149</v>
      </c>
      <c r="N606" s="58">
        <v>284</v>
      </c>
      <c r="O606" s="58">
        <v>-39</v>
      </c>
      <c r="P606" s="58"/>
    </row>
    <row r="607" spans="1:16" ht="15.75" customHeight="1" x14ac:dyDescent="0.35">
      <c r="A607" s="18"/>
      <c r="B607" s="58">
        <v>-230</v>
      </c>
      <c r="C607" s="19"/>
      <c r="D607" s="20">
        <v>44517</v>
      </c>
      <c r="E607" s="58" t="s">
        <v>90</v>
      </c>
      <c r="F607" s="18" t="s">
        <v>37</v>
      </c>
      <c r="G607" s="18"/>
      <c r="H607" s="18"/>
      <c r="I607" s="18"/>
      <c r="J607" s="90">
        <v>180.5</v>
      </c>
      <c r="K607" s="18"/>
      <c r="L607" s="18">
        <f>26979-26959</f>
        <v>20</v>
      </c>
      <c r="M607" s="58">
        <v>154</v>
      </c>
      <c r="N607" s="58">
        <v>318</v>
      </c>
      <c r="O607" s="18"/>
      <c r="P607" s="58"/>
    </row>
    <row r="608" spans="1:16" ht="15.75" customHeight="1" x14ac:dyDescent="0.35">
      <c r="A608" s="18"/>
      <c r="B608" s="18"/>
      <c r="C608" s="19"/>
      <c r="D608" s="20">
        <v>44518</v>
      </c>
      <c r="E608" s="58" t="s">
        <v>90</v>
      </c>
      <c r="F608" s="18" t="s">
        <v>38</v>
      </c>
      <c r="G608" s="18"/>
      <c r="H608" s="18"/>
      <c r="I608" s="18"/>
      <c r="J608" s="90"/>
      <c r="K608" s="18"/>
      <c r="L608" s="18"/>
      <c r="M608" s="18"/>
      <c r="N608" s="18"/>
      <c r="O608" s="18"/>
      <c r="P608" s="58"/>
    </row>
    <row r="609" spans="1:16" ht="15.75" customHeight="1" x14ac:dyDescent="0.35">
      <c r="A609" s="18"/>
      <c r="B609" s="18"/>
      <c r="C609" s="19"/>
      <c r="D609" s="20">
        <v>44519</v>
      </c>
      <c r="E609" s="58" t="s">
        <v>90</v>
      </c>
      <c r="F609" s="18" t="s">
        <v>39</v>
      </c>
      <c r="G609" s="18"/>
      <c r="H609" s="18"/>
      <c r="I609" s="18"/>
      <c r="J609" s="90">
        <v>180.5</v>
      </c>
      <c r="K609" s="18"/>
      <c r="L609" s="18">
        <f>27033-27013</f>
        <v>20</v>
      </c>
      <c r="M609" s="58">
        <v>151</v>
      </c>
      <c r="N609" s="58">
        <v>291</v>
      </c>
      <c r="O609" s="18"/>
      <c r="P609" s="58"/>
    </row>
    <row r="610" spans="1:16" ht="15.75" customHeight="1" x14ac:dyDescent="0.35">
      <c r="A610" s="18"/>
      <c r="B610" s="18"/>
      <c r="C610" s="19"/>
      <c r="D610" s="20">
        <v>44520</v>
      </c>
      <c r="E610" s="58" t="s">
        <v>90</v>
      </c>
      <c r="F610" s="18" t="s">
        <v>23</v>
      </c>
      <c r="G610" s="18"/>
      <c r="H610" s="18"/>
      <c r="I610" s="18"/>
      <c r="J610" s="90">
        <v>180.5</v>
      </c>
      <c r="K610" s="18"/>
      <c r="L610" s="18">
        <f>27086-27065</f>
        <v>21</v>
      </c>
      <c r="M610" s="58">
        <v>150</v>
      </c>
      <c r="N610" s="58">
        <v>285</v>
      </c>
      <c r="O610" s="58"/>
      <c r="P610" s="58"/>
    </row>
    <row r="611" spans="1:16" ht="16.5" customHeight="1" x14ac:dyDescent="0.45">
      <c r="A611" s="59">
        <f>A603+1</f>
        <v>46</v>
      </c>
      <c r="B611" s="59">
        <f>SUM(B604:B610)</f>
        <v>672.5</v>
      </c>
      <c r="C611" s="81">
        <v>717.79</v>
      </c>
      <c r="D611" s="61"/>
      <c r="E611" s="13"/>
      <c r="F611" s="40" t="s">
        <v>28</v>
      </c>
      <c r="G611" s="40"/>
      <c r="H611" s="40"/>
      <c r="I611" s="40">
        <f>COUNT(J604:J610)</f>
        <v>5</v>
      </c>
      <c r="J611" s="41">
        <f t="shared" ref="J611:O611" si="71">SUM(J604:J610)</f>
        <v>902.5</v>
      </c>
      <c r="K611" s="42">
        <f t="shared" si="71"/>
        <v>0</v>
      </c>
      <c r="L611" s="42">
        <f t="shared" si="71"/>
        <v>103</v>
      </c>
      <c r="M611" s="42">
        <f t="shared" si="71"/>
        <v>702</v>
      </c>
      <c r="N611" s="42">
        <f t="shared" si="71"/>
        <v>1385</v>
      </c>
      <c r="O611" s="42">
        <f t="shared" si="71"/>
        <v>-39</v>
      </c>
      <c r="P611" s="106"/>
    </row>
    <row r="612" spans="1:16" ht="15.75" customHeight="1" x14ac:dyDescent="0.35">
      <c r="A612" s="36"/>
      <c r="B612" s="44"/>
      <c r="C612" s="37"/>
      <c r="D612" s="38">
        <v>44521</v>
      </c>
      <c r="E612" s="44" t="s">
        <v>93</v>
      </c>
      <c r="F612" s="36" t="s">
        <v>24</v>
      </c>
      <c r="G612" s="36"/>
      <c r="H612" s="36"/>
      <c r="I612" s="36"/>
      <c r="J612" s="93">
        <v>180.5</v>
      </c>
      <c r="K612" s="36"/>
      <c r="L612" s="44">
        <v>35</v>
      </c>
      <c r="M612" s="44">
        <v>163</v>
      </c>
      <c r="N612" s="44">
        <v>349</v>
      </c>
      <c r="O612" s="44">
        <v>-47</v>
      </c>
      <c r="P612" s="44"/>
    </row>
    <row r="613" spans="1:16" ht="15.75" customHeight="1" x14ac:dyDescent="0.35">
      <c r="A613" s="36"/>
      <c r="B613" s="44"/>
      <c r="C613" s="37"/>
      <c r="D613" s="38">
        <v>44522</v>
      </c>
      <c r="E613" s="44" t="s">
        <v>93</v>
      </c>
      <c r="F613" s="36" t="s">
        <v>35</v>
      </c>
      <c r="G613" s="36"/>
      <c r="H613" s="36"/>
      <c r="I613" s="36"/>
      <c r="J613" s="93">
        <v>180.5</v>
      </c>
      <c r="K613" s="36"/>
      <c r="L613" s="36">
        <f>27198-27174</f>
        <v>24</v>
      </c>
      <c r="M613" s="44">
        <v>156</v>
      </c>
      <c r="N613" s="44">
        <v>350</v>
      </c>
      <c r="O613" s="44"/>
      <c r="P613" s="44"/>
    </row>
    <row r="614" spans="1:16" ht="15.75" customHeight="1" x14ac:dyDescent="0.35">
      <c r="A614" s="36"/>
      <c r="B614" s="44">
        <f>J619</f>
        <v>902.5</v>
      </c>
      <c r="C614" s="37"/>
      <c r="D614" s="38">
        <v>44523</v>
      </c>
      <c r="E614" s="44" t="s">
        <v>93</v>
      </c>
      <c r="F614" s="36" t="s">
        <v>36</v>
      </c>
      <c r="G614" s="36"/>
      <c r="H614" s="36"/>
      <c r="I614" s="36"/>
      <c r="J614" s="93"/>
      <c r="K614" s="36"/>
      <c r="L614" s="36"/>
      <c r="M614" s="36"/>
      <c r="N614" s="36"/>
      <c r="O614" s="44"/>
      <c r="P614" s="44"/>
    </row>
    <row r="615" spans="1:16" ht="15.75" customHeight="1" x14ac:dyDescent="0.35">
      <c r="A615" s="36"/>
      <c r="B615" s="44">
        <v>-230</v>
      </c>
      <c r="C615" s="37"/>
      <c r="D615" s="38">
        <v>44524</v>
      </c>
      <c r="E615" s="44" t="s">
        <v>93</v>
      </c>
      <c r="F615" s="36" t="s">
        <v>37</v>
      </c>
      <c r="G615" s="36"/>
      <c r="H615" s="36"/>
      <c r="I615" s="36"/>
      <c r="J615" s="93">
        <v>180.5</v>
      </c>
      <c r="K615" s="36"/>
      <c r="L615" s="44">
        <v>21</v>
      </c>
      <c r="M615" s="44">
        <v>145</v>
      </c>
      <c r="N615" s="44">
        <v>282</v>
      </c>
      <c r="O615" s="44">
        <v>-39</v>
      </c>
      <c r="P615" s="44"/>
    </row>
    <row r="616" spans="1:16" ht="15.75" customHeight="1" x14ac:dyDescent="0.35">
      <c r="A616" s="36"/>
      <c r="B616" s="44"/>
      <c r="C616" s="37"/>
      <c r="D616" s="38">
        <v>44525</v>
      </c>
      <c r="E616" s="44" t="s">
        <v>93</v>
      </c>
      <c r="F616" s="36" t="s">
        <v>38</v>
      </c>
      <c r="G616" s="36"/>
      <c r="H616" s="36"/>
      <c r="I616" s="36"/>
      <c r="J616" s="93">
        <v>180.5</v>
      </c>
      <c r="K616" s="36"/>
      <c r="L616" s="36">
        <f>27305-27283</f>
        <v>22</v>
      </c>
      <c r="M616" s="44">
        <v>145</v>
      </c>
      <c r="N616" s="44">
        <v>327</v>
      </c>
      <c r="O616" s="44"/>
      <c r="P616" s="44"/>
    </row>
    <row r="617" spans="1:16" ht="15.75" customHeight="1" x14ac:dyDescent="0.35">
      <c r="A617" s="36"/>
      <c r="B617" s="44"/>
      <c r="C617" s="37"/>
      <c r="D617" s="38">
        <v>44526</v>
      </c>
      <c r="E617" s="44" t="s">
        <v>93</v>
      </c>
      <c r="F617" s="36" t="s">
        <v>39</v>
      </c>
      <c r="G617" s="36"/>
      <c r="H617" s="36"/>
      <c r="I617" s="36"/>
      <c r="J617" s="93">
        <v>180.5</v>
      </c>
      <c r="K617" s="36"/>
      <c r="L617" s="36">
        <f>27354-27340</f>
        <v>14</v>
      </c>
      <c r="M617" s="44">
        <v>174</v>
      </c>
      <c r="N617" s="44">
        <v>418</v>
      </c>
      <c r="O617" s="44"/>
      <c r="P617" s="44"/>
    </row>
    <row r="618" spans="1:16" ht="15.75" customHeight="1" x14ac:dyDescent="0.35">
      <c r="A618" s="36"/>
      <c r="B618" s="44"/>
      <c r="C618" s="37"/>
      <c r="D618" s="38">
        <v>44527</v>
      </c>
      <c r="E618" s="44" t="s">
        <v>93</v>
      </c>
      <c r="F618" s="36" t="s">
        <v>23</v>
      </c>
      <c r="G618" s="36"/>
      <c r="H618" s="36"/>
      <c r="I618" s="36"/>
      <c r="J618" s="93"/>
      <c r="K618" s="36"/>
      <c r="L618" s="36"/>
      <c r="M618" s="36"/>
      <c r="N618" s="36"/>
      <c r="O618" s="44"/>
      <c r="P618" s="44"/>
    </row>
    <row r="619" spans="1:16" ht="16.5" customHeight="1" x14ac:dyDescent="0.45">
      <c r="A619" s="59">
        <f>A611+1</f>
        <v>47</v>
      </c>
      <c r="B619" s="59">
        <f>SUM(B612:B618)</f>
        <v>672.5</v>
      </c>
      <c r="C619" s="81">
        <v>720.26</v>
      </c>
      <c r="D619" s="61"/>
      <c r="E619" s="13"/>
      <c r="F619" s="40" t="s">
        <v>28</v>
      </c>
      <c r="G619" s="40"/>
      <c r="H619" s="40"/>
      <c r="I619" s="40">
        <f>COUNT(J612:J618)</f>
        <v>5</v>
      </c>
      <c r="J619" s="41">
        <f t="shared" ref="J619:O619" si="72">SUM(J612:J618)</f>
        <v>902.5</v>
      </c>
      <c r="K619" s="42">
        <f t="shared" si="72"/>
        <v>0</v>
      </c>
      <c r="L619" s="42">
        <f t="shared" si="72"/>
        <v>116</v>
      </c>
      <c r="M619" s="42">
        <f t="shared" si="72"/>
        <v>783</v>
      </c>
      <c r="N619" s="42">
        <f t="shared" si="72"/>
        <v>1726</v>
      </c>
      <c r="O619" s="42">
        <f t="shared" si="72"/>
        <v>-86</v>
      </c>
      <c r="P619" s="62"/>
    </row>
    <row r="620" spans="1:16" ht="15.75" customHeight="1" x14ac:dyDescent="0.35">
      <c r="A620" s="18"/>
      <c r="B620" s="18"/>
      <c r="C620" s="19"/>
      <c r="D620" s="20">
        <v>44528</v>
      </c>
      <c r="E620" s="58" t="s">
        <v>94</v>
      </c>
      <c r="F620" s="18" t="s">
        <v>24</v>
      </c>
      <c r="G620" s="18"/>
      <c r="H620" s="18"/>
      <c r="I620" s="18"/>
      <c r="J620" s="90">
        <v>180.5</v>
      </c>
      <c r="K620" s="18"/>
      <c r="L620" s="18">
        <f>27421-27397</f>
        <v>24</v>
      </c>
      <c r="M620" s="58">
        <v>177</v>
      </c>
      <c r="N620" s="58">
        <v>398</v>
      </c>
      <c r="O620" s="58">
        <v>-39</v>
      </c>
      <c r="P620" s="58"/>
    </row>
    <row r="621" spans="1:16" ht="15.75" customHeight="1" x14ac:dyDescent="0.35">
      <c r="A621" s="18"/>
      <c r="B621" s="18"/>
      <c r="C621" s="19"/>
      <c r="D621" s="20">
        <v>44529</v>
      </c>
      <c r="E621" s="58" t="s">
        <v>94</v>
      </c>
      <c r="F621" s="18" t="s">
        <v>35</v>
      </c>
      <c r="G621" s="18"/>
      <c r="H621" s="18"/>
      <c r="I621" s="18"/>
      <c r="J621" s="90">
        <v>180.5</v>
      </c>
      <c r="K621" s="18"/>
      <c r="L621" s="18">
        <f>27474-27453</f>
        <v>21</v>
      </c>
      <c r="M621" s="58">
        <v>157</v>
      </c>
      <c r="N621" s="58">
        <v>318</v>
      </c>
      <c r="O621" s="18"/>
      <c r="P621" s="58"/>
    </row>
    <row r="622" spans="1:16" ht="15.75" customHeight="1" x14ac:dyDescent="0.35">
      <c r="A622" s="18"/>
      <c r="B622" s="18">
        <f>J627</f>
        <v>902.5</v>
      </c>
      <c r="C622" s="19"/>
      <c r="D622" s="20">
        <v>44530</v>
      </c>
      <c r="E622" s="58" t="s">
        <v>94</v>
      </c>
      <c r="F622" s="18" t="s">
        <v>36</v>
      </c>
      <c r="G622" s="18"/>
      <c r="H622" s="18"/>
      <c r="I622" s="18"/>
      <c r="J622" s="90">
        <v>180.5</v>
      </c>
      <c r="K622" s="18"/>
      <c r="L622" s="18">
        <f>27527-27509</f>
        <v>18</v>
      </c>
      <c r="M622" s="58">
        <v>160</v>
      </c>
      <c r="N622" s="58">
        <v>422</v>
      </c>
      <c r="O622" s="18"/>
      <c r="P622" s="58"/>
    </row>
    <row r="623" spans="1:16" ht="15.75" customHeight="1" x14ac:dyDescent="0.35">
      <c r="A623" s="18"/>
      <c r="B623" s="58">
        <v>-230</v>
      </c>
      <c r="C623" s="19"/>
      <c r="D623" s="20">
        <v>44531</v>
      </c>
      <c r="E623" s="58" t="s">
        <v>94</v>
      </c>
      <c r="F623" s="18" t="s">
        <v>37</v>
      </c>
      <c r="G623" s="18"/>
      <c r="H623" s="18"/>
      <c r="I623" s="18"/>
      <c r="J623" s="90"/>
      <c r="K623" s="18"/>
      <c r="L623" s="18"/>
      <c r="M623" s="18"/>
      <c r="N623" s="18"/>
      <c r="O623" s="18"/>
      <c r="P623" s="58"/>
    </row>
    <row r="624" spans="1:16" ht="15.75" customHeight="1" x14ac:dyDescent="0.35">
      <c r="A624" s="18"/>
      <c r="B624" s="18"/>
      <c r="C624" s="19"/>
      <c r="D624" s="20">
        <v>44532</v>
      </c>
      <c r="E624" s="58" t="s">
        <v>94</v>
      </c>
      <c r="F624" s="18" t="s">
        <v>38</v>
      </c>
      <c r="G624" s="18"/>
      <c r="H624" s="18"/>
      <c r="I624" s="18"/>
      <c r="J624" s="90">
        <v>180.5</v>
      </c>
      <c r="K624" s="18"/>
      <c r="L624" s="18">
        <f>27584-27551</f>
        <v>33</v>
      </c>
      <c r="M624" s="58">
        <v>166</v>
      </c>
      <c r="N624" s="58">
        <v>363</v>
      </c>
      <c r="O624" s="58">
        <v>-33</v>
      </c>
      <c r="P624" s="58"/>
    </row>
    <row r="625" spans="1:16" ht="15.75" customHeight="1" x14ac:dyDescent="0.35">
      <c r="A625" s="18"/>
      <c r="B625" s="18"/>
      <c r="C625" s="19"/>
      <c r="D625" s="20">
        <v>44533</v>
      </c>
      <c r="E625" s="58" t="s">
        <v>94</v>
      </c>
      <c r="F625" s="18" t="s">
        <v>39</v>
      </c>
      <c r="G625" s="18"/>
      <c r="H625" s="18"/>
      <c r="I625" s="18"/>
      <c r="J625" s="90">
        <v>180.5</v>
      </c>
      <c r="K625" s="18"/>
      <c r="L625" s="18">
        <f>27641-27617</f>
        <v>24</v>
      </c>
      <c r="M625" s="58">
        <v>173</v>
      </c>
      <c r="N625" s="58">
        <v>357</v>
      </c>
      <c r="O625" s="18"/>
      <c r="P625" s="58"/>
    </row>
    <row r="626" spans="1:16" ht="15.75" customHeight="1" x14ac:dyDescent="0.35">
      <c r="A626" s="18"/>
      <c r="B626" s="18"/>
      <c r="C626" s="19"/>
      <c r="D626" s="20">
        <v>44534</v>
      </c>
      <c r="E626" s="58" t="s">
        <v>94</v>
      </c>
      <c r="F626" s="18" t="s">
        <v>23</v>
      </c>
      <c r="G626" s="18"/>
      <c r="H626" s="18"/>
      <c r="I626" s="18"/>
      <c r="J626" s="90"/>
      <c r="K626" s="18"/>
      <c r="L626" s="18"/>
      <c r="M626" s="18"/>
      <c r="N626" s="18"/>
      <c r="O626" s="18"/>
      <c r="P626" s="58"/>
    </row>
    <row r="627" spans="1:16" ht="16.5" customHeight="1" x14ac:dyDescent="0.45">
      <c r="A627" s="59">
        <f>A619+1</f>
        <v>48</v>
      </c>
      <c r="B627" s="59">
        <f>SUM(B620:B626)</f>
        <v>672.5</v>
      </c>
      <c r="C627" s="81">
        <v>713.8</v>
      </c>
      <c r="D627" s="61"/>
      <c r="E627" s="13"/>
      <c r="F627" s="40" t="s">
        <v>28</v>
      </c>
      <c r="G627" s="40"/>
      <c r="H627" s="40"/>
      <c r="I627" s="40">
        <f>COUNT(J620:J626)</f>
        <v>5</v>
      </c>
      <c r="J627" s="41">
        <f t="shared" ref="J627:O627" si="73">SUM(J620:J626)</f>
        <v>902.5</v>
      </c>
      <c r="K627" s="42">
        <f t="shared" si="73"/>
        <v>0</v>
      </c>
      <c r="L627" s="42">
        <f t="shared" si="73"/>
        <v>120</v>
      </c>
      <c r="M627" s="42">
        <f t="shared" si="73"/>
        <v>833</v>
      </c>
      <c r="N627" s="42">
        <f t="shared" si="73"/>
        <v>1858</v>
      </c>
      <c r="O627" s="42">
        <f t="shared" si="73"/>
        <v>-72</v>
      </c>
      <c r="P627" s="62"/>
    </row>
    <row r="628" spans="1:16" ht="15.75" customHeight="1" x14ac:dyDescent="0.35">
      <c r="A628" s="36"/>
      <c r="B628" s="44"/>
      <c r="C628" s="37"/>
      <c r="D628" s="38">
        <v>44535</v>
      </c>
      <c r="E628" s="44" t="s">
        <v>93</v>
      </c>
      <c r="F628" s="36" t="s">
        <v>24</v>
      </c>
      <c r="G628" s="36"/>
      <c r="H628" s="36"/>
      <c r="I628" s="36"/>
      <c r="J628" s="93">
        <v>180.5</v>
      </c>
      <c r="K628" s="36"/>
      <c r="L628" s="36">
        <f>27696-27674</f>
        <v>22</v>
      </c>
      <c r="M628" s="44">
        <v>138</v>
      </c>
      <c r="N628" s="44">
        <v>303</v>
      </c>
      <c r="O628" s="44">
        <v>-25</v>
      </c>
      <c r="P628" s="44"/>
    </row>
    <row r="629" spans="1:16" ht="15.75" customHeight="1" x14ac:dyDescent="0.35">
      <c r="A629" s="36"/>
      <c r="B629" s="44"/>
      <c r="C629" s="37"/>
      <c r="D629" s="38">
        <v>44536</v>
      </c>
      <c r="E629" s="44" t="s">
        <v>93</v>
      </c>
      <c r="F629" s="36" t="s">
        <v>35</v>
      </c>
      <c r="G629" s="36"/>
      <c r="H629" s="36"/>
      <c r="I629" s="36"/>
      <c r="J629" s="93">
        <v>180.5</v>
      </c>
      <c r="K629" s="36"/>
      <c r="L629" s="36">
        <f>27749-27731</f>
        <v>18</v>
      </c>
      <c r="M629" s="44">
        <v>110</v>
      </c>
      <c r="N629" s="44">
        <v>283</v>
      </c>
      <c r="O629" s="44"/>
      <c r="P629" s="44"/>
    </row>
    <row r="630" spans="1:16" ht="15.75" customHeight="1" x14ac:dyDescent="0.35">
      <c r="A630" s="36"/>
      <c r="B630" s="44">
        <f>J635</f>
        <v>902.5</v>
      </c>
      <c r="C630" s="37"/>
      <c r="D630" s="38">
        <v>44537</v>
      </c>
      <c r="E630" s="44" t="s">
        <v>93</v>
      </c>
      <c r="F630" s="36" t="s">
        <v>36</v>
      </c>
      <c r="G630" s="36"/>
      <c r="H630" s="36"/>
      <c r="I630" s="36"/>
      <c r="J630" s="93"/>
      <c r="K630" s="36"/>
      <c r="L630" s="36"/>
      <c r="M630" s="36"/>
      <c r="N630" s="36"/>
      <c r="O630" s="44"/>
      <c r="P630" s="44"/>
    </row>
    <row r="631" spans="1:16" ht="15.75" customHeight="1" x14ac:dyDescent="0.35">
      <c r="A631" s="36"/>
      <c r="B631" s="44">
        <v>-230</v>
      </c>
      <c r="C631" s="37"/>
      <c r="D631" s="38">
        <v>44538</v>
      </c>
      <c r="E631" s="44" t="s">
        <v>93</v>
      </c>
      <c r="F631" s="36" t="s">
        <v>37</v>
      </c>
      <c r="G631" s="36"/>
      <c r="H631" s="36"/>
      <c r="I631" s="36"/>
      <c r="J631" s="93">
        <v>180.5</v>
      </c>
      <c r="K631" s="36"/>
      <c r="L631" s="36">
        <f>27855-27833</f>
        <v>22</v>
      </c>
      <c r="M631" s="44">
        <v>171</v>
      </c>
      <c r="N631" s="44">
        <v>353</v>
      </c>
      <c r="O631" s="44">
        <v>-39</v>
      </c>
      <c r="P631" s="44"/>
    </row>
    <row r="632" spans="1:16" ht="15.75" customHeight="1" x14ac:dyDescent="0.35">
      <c r="A632" s="36"/>
      <c r="B632" s="44"/>
      <c r="C632" s="37"/>
      <c r="D632" s="38">
        <v>44539</v>
      </c>
      <c r="E632" s="44" t="s">
        <v>93</v>
      </c>
      <c r="F632" s="36" t="s">
        <v>38</v>
      </c>
      <c r="G632" s="36"/>
      <c r="H632" s="36"/>
      <c r="I632" s="36"/>
      <c r="J632" s="93">
        <v>180.5</v>
      </c>
      <c r="K632" s="36"/>
      <c r="L632" s="36">
        <f>27908-27888</f>
        <v>20</v>
      </c>
      <c r="M632" s="44">
        <v>149</v>
      </c>
      <c r="N632" s="44">
        <v>315</v>
      </c>
      <c r="O632" s="44"/>
      <c r="P632" s="44"/>
    </row>
    <row r="633" spans="1:16" ht="15.75" customHeight="1" x14ac:dyDescent="0.35">
      <c r="A633" s="36"/>
      <c r="B633" s="44"/>
      <c r="C633" s="37"/>
      <c r="D633" s="38">
        <v>44540</v>
      </c>
      <c r="E633" s="44" t="s">
        <v>93</v>
      </c>
      <c r="F633" s="36" t="s">
        <v>39</v>
      </c>
      <c r="G633" s="36"/>
      <c r="H633" s="36"/>
      <c r="I633" s="36"/>
      <c r="J633" s="93"/>
      <c r="K633" s="36"/>
      <c r="L633" s="36"/>
      <c r="M633" s="36"/>
      <c r="N633" s="36"/>
      <c r="O633" s="44"/>
      <c r="P633" s="44"/>
    </row>
    <row r="634" spans="1:16" ht="15.75" customHeight="1" x14ac:dyDescent="0.35">
      <c r="A634" s="36"/>
      <c r="B634" s="44"/>
      <c r="C634" s="37"/>
      <c r="D634" s="38">
        <v>44541</v>
      </c>
      <c r="E634" s="44" t="s">
        <v>93</v>
      </c>
      <c r="F634" s="36" t="s">
        <v>23</v>
      </c>
      <c r="G634" s="36"/>
      <c r="H634" s="36"/>
      <c r="I634" s="36"/>
      <c r="J634" s="93">
        <v>180.5</v>
      </c>
      <c r="K634" s="36"/>
      <c r="L634" s="36">
        <f>27966-27944</f>
        <v>22</v>
      </c>
      <c r="M634" s="44">
        <v>166</v>
      </c>
      <c r="N634" s="44">
        <v>365</v>
      </c>
      <c r="O634" s="44">
        <v>-15</v>
      </c>
      <c r="P634" s="44"/>
    </row>
    <row r="635" spans="1:16" ht="16.5" customHeight="1" x14ac:dyDescent="0.45">
      <c r="A635" s="59">
        <f>A627+1</f>
        <v>49</v>
      </c>
      <c r="B635" s="59">
        <f>SUM(B628:B634)</f>
        <v>672.5</v>
      </c>
      <c r="C635" s="81">
        <v>712.09</v>
      </c>
      <c r="D635" s="61"/>
      <c r="E635" s="13"/>
      <c r="F635" s="40" t="s">
        <v>28</v>
      </c>
      <c r="G635" s="40"/>
      <c r="H635" s="40"/>
      <c r="I635" s="40">
        <f>COUNT(J628:J634)</f>
        <v>5</v>
      </c>
      <c r="J635" s="41">
        <f t="shared" ref="J635:O635" si="74">SUM(J628:J634)</f>
        <v>902.5</v>
      </c>
      <c r="K635" s="42">
        <f t="shared" si="74"/>
        <v>0</v>
      </c>
      <c r="L635" s="42">
        <f t="shared" si="74"/>
        <v>104</v>
      </c>
      <c r="M635" s="42">
        <f t="shared" si="74"/>
        <v>734</v>
      </c>
      <c r="N635" s="42">
        <f t="shared" si="74"/>
        <v>1619</v>
      </c>
      <c r="O635" s="42">
        <f t="shared" si="74"/>
        <v>-79</v>
      </c>
      <c r="P635" s="62"/>
    </row>
    <row r="636" spans="1:16" ht="15.75" customHeight="1" x14ac:dyDescent="0.35">
      <c r="A636" s="18"/>
      <c r="B636" s="18"/>
      <c r="C636" s="19"/>
      <c r="D636" s="20">
        <v>44542</v>
      </c>
      <c r="E636" s="58" t="s">
        <v>93</v>
      </c>
      <c r="F636" s="18" t="s">
        <v>24</v>
      </c>
      <c r="G636" s="18"/>
      <c r="H636" s="18"/>
      <c r="I636" s="18"/>
      <c r="J636" s="90">
        <v>180.5</v>
      </c>
      <c r="K636" s="18"/>
      <c r="L636" s="18">
        <f>27966-27944</f>
        <v>22</v>
      </c>
      <c r="M636" s="58">
        <v>166</v>
      </c>
      <c r="N636" s="58">
        <v>365</v>
      </c>
      <c r="O636" s="58">
        <v>-37</v>
      </c>
      <c r="P636" s="58"/>
    </row>
    <row r="637" spans="1:16" ht="15.75" customHeight="1" x14ac:dyDescent="0.35">
      <c r="A637" s="18"/>
      <c r="B637" s="18"/>
      <c r="C637" s="19"/>
      <c r="D637" s="20">
        <v>44543</v>
      </c>
      <c r="E637" s="58" t="s">
        <v>93</v>
      </c>
      <c r="F637" s="18" t="s">
        <v>35</v>
      </c>
      <c r="G637" s="18"/>
      <c r="H637" s="18"/>
      <c r="I637" s="18"/>
      <c r="J637" s="90"/>
      <c r="K637" s="18"/>
      <c r="L637" s="18"/>
      <c r="M637" s="18"/>
      <c r="N637" s="18"/>
      <c r="O637" s="18"/>
      <c r="P637" s="58"/>
    </row>
    <row r="638" spans="1:16" ht="15.75" customHeight="1" x14ac:dyDescent="0.35">
      <c r="A638" s="18"/>
      <c r="B638" s="18">
        <f>J643</f>
        <v>902.5</v>
      </c>
      <c r="C638" s="19"/>
      <c r="D638" s="20">
        <v>44544</v>
      </c>
      <c r="E638" s="58" t="s">
        <v>93</v>
      </c>
      <c r="F638" s="18" t="s">
        <v>36</v>
      </c>
      <c r="G638" s="18"/>
      <c r="H638" s="18"/>
      <c r="I638" s="18"/>
      <c r="J638" s="90">
        <v>180.5</v>
      </c>
      <c r="K638" s="18"/>
      <c r="L638" s="18">
        <f>28076-28055</f>
        <v>21</v>
      </c>
      <c r="M638" s="58">
        <v>162</v>
      </c>
      <c r="N638" s="58">
        <v>418</v>
      </c>
      <c r="O638" s="18"/>
      <c r="P638" s="58"/>
    </row>
    <row r="639" spans="1:16" ht="15.75" customHeight="1" x14ac:dyDescent="0.35">
      <c r="A639" s="18"/>
      <c r="B639" s="58">
        <v>-230</v>
      </c>
      <c r="C639" s="19"/>
      <c r="D639" s="20">
        <v>44545</v>
      </c>
      <c r="E639" s="58" t="s">
        <v>93</v>
      </c>
      <c r="F639" s="18" t="s">
        <v>37</v>
      </c>
      <c r="G639" s="18"/>
      <c r="H639" s="18"/>
      <c r="I639" s="18"/>
      <c r="J639" s="90">
        <v>180.5</v>
      </c>
      <c r="K639" s="18"/>
      <c r="L639" s="18">
        <f>28126-28106</f>
        <v>20</v>
      </c>
      <c r="M639" s="58">
        <v>128</v>
      </c>
      <c r="N639" s="58">
        <v>310</v>
      </c>
      <c r="O639" s="18"/>
      <c r="P639" s="58"/>
    </row>
    <row r="640" spans="1:16" ht="15.75" customHeight="1" x14ac:dyDescent="0.35">
      <c r="A640" s="18"/>
      <c r="B640" s="18"/>
      <c r="C640" s="19"/>
      <c r="D640" s="20">
        <v>44546</v>
      </c>
      <c r="E640" s="58" t="s">
        <v>93</v>
      </c>
      <c r="F640" s="18" t="s">
        <v>38</v>
      </c>
      <c r="G640" s="18"/>
      <c r="H640" s="18"/>
      <c r="I640" s="18"/>
      <c r="J640" s="90">
        <v>180.5</v>
      </c>
      <c r="K640" s="18"/>
      <c r="L640" s="18">
        <f>28181-28159</f>
        <v>22</v>
      </c>
      <c r="M640" s="58">
        <v>181</v>
      </c>
      <c r="N640" s="58">
        <v>413</v>
      </c>
      <c r="O640" s="58">
        <v>-45</v>
      </c>
      <c r="P640" s="58"/>
    </row>
    <row r="641" spans="1:16" ht="15.75" customHeight="1" x14ac:dyDescent="0.35">
      <c r="A641" s="18"/>
      <c r="B641" s="18"/>
      <c r="C641" s="19"/>
      <c r="D641" s="20">
        <v>44547</v>
      </c>
      <c r="E641" s="58" t="s">
        <v>93</v>
      </c>
      <c r="F641" s="18" t="s">
        <v>39</v>
      </c>
      <c r="G641" s="18"/>
      <c r="H641" s="18"/>
      <c r="I641" s="18"/>
      <c r="J641" s="90"/>
      <c r="K641" s="18"/>
      <c r="L641" s="18"/>
      <c r="M641" s="18"/>
      <c r="N641" s="18"/>
      <c r="O641" s="18"/>
      <c r="P641" s="58"/>
    </row>
    <row r="642" spans="1:16" ht="15.75" customHeight="1" x14ac:dyDescent="0.35">
      <c r="A642" s="18"/>
      <c r="B642" s="18"/>
      <c r="C642" s="19"/>
      <c r="D642" s="20">
        <v>44548</v>
      </c>
      <c r="E642" s="58" t="s">
        <v>93</v>
      </c>
      <c r="F642" s="18" t="s">
        <v>23</v>
      </c>
      <c r="G642" s="18"/>
      <c r="H642" s="18"/>
      <c r="I642" s="18"/>
      <c r="J642" s="90">
        <v>180.5</v>
      </c>
      <c r="K642" s="18"/>
      <c r="L642" s="18">
        <f>28239-28214</f>
        <v>25</v>
      </c>
      <c r="M642" s="58">
        <v>178</v>
      </c>
      <c r="N642" s="58">
        <v>400</v>
      </c>
      <c r="O642" s="18"/>
      <c r="P642" s="58"/>
    </row>
    <row r="643" spans="1:16" ht="16.5" customHeight="1" x14ac:dyDescent="0.45">
      <c r="A643" s="59">
        <f>A635+1</f>
        <v>50</v>
      </c>
      <c r="B643" s="59">
        <f>SUM(B636:B642)</f>
        <v>672.5</v>
      </c>
      <c r="C643" s="81">
        <v>715.3</v>
      </c>
      <c r="D643" s="61"/>
      <c r="E643" s="13"/>
      <c r="F643" s="40" t="s">
        <v>28</v>
      </c>
      <c r="G643" s="40"/>
      <c r="H643" s="40"/>
      <c r="I643" s="40">
        <f>COUNT(J636:J642)</f>
        <v>5</v>
      </c>
      <c r="J643" s="41">
        <f t="shared" ref="J643:O643" si="75">SUM(J636:J642)</f>
        <v>902.5</v>
      </c>
      <c r="K643" s="42">
        <f t="shared" si="75"/>
        <v>0</v>
      </c>
      <c r="L643" s="42">
        <f t="shared" si="75"/>
        <v>110</v>
      </c>
      <c r="M643" s="42">
        <f t="shared" si="75"/>
        <v>815</v>
      </c>
      <c r="N643" s="42">
        <f t="shared" si="75"/>
        <v>1906</v>
      </c>
      <c r="O643" s="42">
        <f t="shared" si="75"/>
        <v>-82</v>
      </c>
      <c r="P643" s="62"/>
    </row>
    <row r="644" spans="1:16" ht="15.75" customHeight="1" x14ac:dyDescent="0.35">
      <c r="A644" s="36"/>
      <c r="B644" s="44"/>
      <c r="C644" s="37"/>
      <c r="D644" s="38">
        <v>44549</v>
      </c>
      <c r="E644" s="44" t="s">
        <v>93</v>
      </c>
      <c r="F644" s="36" t="s">
        <v>24</v>
      </c>
      <c r="G644" s="36"/>
      <c r="H644" s="36"/>
      <c r="I644" s="36"/>
      <c r="J644" s="93">
        <v>180.5</v>
      </c>
      <c r="K644" s="36"/>
      <c r="L644" s="36">
        <f>28294-28271</f>
        <v>23</v>
      </c>
      <c r="M644" s="44">
        <v>160</v>
      </c>
      <c r="N644" s="44">
        <v>364</v>
      </c>
      <c r="O644" s="44"/>
      <c r="P644" s="44"/>
    </row>
    <row r="645" spans="1:16" ht="15.75" customHeight="1" x14ac:dyDescent="0.35">
      <c r="A645" s="36"/>
      <c r="B645" s="44"/>
      <c r="C645" s="37"/>
      <c r="D645" s="38">
        <v>44550</v>
      </c>
      <c r="E645" s="44" t="s">
        <v>93</v>
      </c>
      <c r="F645" s="36" t="s">
        <v>35</v>
      </c>
      <c r="G645" s="36"/>
      <c r="H645" s="36"/>
      <c r="I645" s="36"/>
      <c r="J645" s="93">
        <v>180.5</v>
      </c>
      <c r="K645" s="36"/>
      <c r="L645" s="36">
        <f>28347-28327</f>
        <v>20</v>
      </c>
      <c r="M645" s="44">
        <v>171</v>
      </c>
      <c r="N645" s="44">
        <v>385</v>
      </c>
      <c r="O645" s="44">
        <v>-45</v>
      </c>
      <c r="P645" s="44"/>
    </row>
    <row r="646" spans="1:16" ht="15.75" customHeight="1" x14ac:dyDescent="0.35">
      <c r="A646" s="36"/>
      <c r="B646" s="44">
        <f>J651</f>
        <v>902.5</v>
      </c>
      <c r="C646" s="37"/>
      <c r="D646" s="38">
        <v>44551</v>
      </c>
      <c r="E646" s="44" t="s">
        <v>93</v>
      </c>
      <c r="F646" s="36" t="s">
        <v>36</v>
      </c>
      <c r="G646" s="36"/>
      <c r="H646" s="36"/>
      <c r="I646" s="36"/>
      <c r="J646" s="93"/>
      <c r="K646" s="36"/>
      <c r="L646" s="36"/>
      <c r="M646" s="36"/>
      <c r="N646" s="36"/>
      <c r="O646" s="44"/>
      <c r="P646" s="44"/>
    </row>
    <row r="647" spans="1:16" ht="15.75" customHeight="1" x14ac:dyDescent="0.35">
      <c r="A647" s="36"/>
      <c r="B647" s="44">
        <v>-230</v>
      </c>
      <c r="C647" s="37"/>
      <c r="D647" s="38">
        <v>44552</v>
      </c>
      <c r="E647" s="44" t="s">
        <v>93</v>
      </c>
      <c r="F647" s="36" t="s">
        <v>37</v>
      </c>
      <c r="G647" s="36"/>
      <c r="H647" s="36"/>
      <c r="I647" s="36"/>
      <c r="J647" s="93">
        <v>180.5</v>
      </c>
      <c r="K647" s="91">
        <v>30</v>
      </c>
      <c r="L647" s="36">
        <f>28400-28380</f>
        <v>20</v>
      </c>
      <c r="M647" s="44">
        <v>177</v>
      </c>
      <c r="N647" s="44">
        <v>450</v>
      </c>
      <c r="O647" s="44"/>
      <c r="P647" s="44"/>
    </row>
    <row r="648" spans="1:16" ht="15.75" customHeight="1" x14ac:dyDescent="0.35">
      <c r="A648" s="36"/>
      <c r="B648" s="44">
        <f>K647</f>
        <v>30</v>
      </c>
      <c r="C648" s="37"/>
      <c r="D648" s="38">
        <v>44553</v>
      </c>
      <c r="E648" s="44" t="s">
        <v>93</v>
      </c>
      <c r="F648" s="36" t="s">
        <v>38</v>
      </c>
      <c r="G648" s="36"/>
      <c r="H648" s="36"/>
      <c r="I648" s="36"/>
      <c r="J648" s="93">
        <v>180.5</v>
      </c>
      <c r="K648" s="36"/>
      <c r="L648" s="36">
        <f>28451-28432</f>
        <v>19</v>
      </c>
      <c r="M648" s="44">
        <v>103</v>
      </c>
      <c r="N648" s="44">
        <v>242</v>
      </c>
      <c r="O648" s="44"/>
      <c r="P648" s="44"/>
    </row>
    <row r="649" spans="1:16" ht="15.75" customHeight="1" x14ac:dyDescent="0.35">
      <c r="A649" s="36"/>
      <c r="B649" s="44"/>
      <c r="C649" s="37"/>
      <c r="D649" s="38">
        <v>44554</v>
      </c>
      <c r="E649" s="44" t="s">
        <v>93</v>
      </c>
      <c r="F649" s="36" t="s">
        <v>39</v>
      </c>
      <c r="G649" s="36"/>
      <c r="H649" s="36"/>
      <c r="I649" s="36"/>
      <c r="J649" s="93">
        <v>180.5</v>
      </c>
      <c r="K649" s="36"/>
      <c r="L649" s="36">
        <f>28509-28486</f>
        <v>23</v>
      </c>
      <c r="M649" s="44">
        <v>170</v>
      </c>
      <c r="N649" s="44">
        <v>373</v>
      </c>
      <c r="O649" s="44">
        <v>-11</v>
      </c>
      <c r="P649" s="44"/>
    </row>
    <row r="650" spans="1:16" ht="15.75" customHeight="1" x14ac:dyDescent="0.35">
      <c r="A650" s="36"/>
      <c r="B650" s="44"/>
      <c r="C650" s="37"/>
      <c r="D650" s="38">
        <v>44555</v>
      </c>
      <c r="E650" s="44" t="s">
        <v>93</v>
      </c>
      <c r="F650" s="36" t="s">
        <v>23</v>
      </c>
      <c r="G650" s="36"/>
      <c r="H650" s="36"/>
      <c r="I650" s="36"/>
      <c r="J650" s="93"/>
      <c r="K650" s="36"/>
      <c r="L650" s="36"/>
      <c r="M650" s="36"/>
      <c r="N650" s="36"/>
      <c r="O650" s="44"/>
      <c r="P650" s="44"/>
    </row>
    <row r="651" spans="1:16" ht="16.5" customHeight="1" x14ac:dyDescent="0.45">
      <c r="A651" s="59">
        <f>A643+1</f>
        <v>51</v>
      </c>
      <c r="B651" s="59">
        <f>SUM(B644:B650)</f>
        <v>702.5</v>
      </c>
      <c r="C651" s="81">
        <v>745.3</v>
      </c>
      <c r="D651" s="61"/>
      <c r="E651" s="13"/>
      <c r="F651" s="40" t="s">
        <v>28</v>
      </c>
      <c r="G651" s="40"/>
      <c r="H651" s="40"/>
      <c r="I651" s="40">
        <f>COUNT(J644:J650)</f>
        <v>5</v>
      </c>
      <c r="J651" s="41">
        <f t="shared" ref="J651:O651" si="76">SUM(J644:J650)</f>
        <v>902.5</v>
      </c>
      <c r="K651" s="42">
        <f t="shared" si="76"/>
        <v>30</v>
      </c>
      <c r="L651" s="42">
        <f t="shared" si="76"/>
        <v>105</v>
      </c>
      <c r="M651" s="42">
        <f t="shared" si="76"/>
        <v>781</v>
      </c>
      <c r="N651" s="42">
        <f t="shared" si="76"/>
        <v>1814</v>
      </c>
      <c r="O651" s="42">
        <f t="shared" si="76"/>
        <v>-56</v>
      </c>
      <c r="P651" s="62"/>
    </row>
    <row r="652" spans="1:16" ht="15.75" customHeight="1" x14ac:dyDescent="0.35">
      <c r="A652" s="18"/>
      <c r="B652" s="18"/>
      <c r="C652" s="19"/>
      <c r="D652" s="20">
        <v>44556</v>
      </c>
      <c r="E652" s="58" t="s">
        <v>55</v>
      </c>
      <c r="F652" s="18" t="s">
        <v>24</v>
      </c>
      <c r="G652" s="18"/>
      <c r="H652" s="18"/>
      <c r="I652" s="18"/>
      <c r="J652" s="90"/>
      <c r="K652" s="18"/>
      <c r="L652" s="18"/>
      <c r="M652" s="18"/>
      <c r="N652" s="18"/>
      <c r="O652" s="18"/>
      <c r="P652" s="58"/>
    </row>
    <row r="653" spans="1:16" ht="15.75" customHeight="1" x14ac:dyDescent="0.35">
      <c r="A653" s="18"/>
      <c r="B653" s="18"/>
      <c r="C653" s="19"/>
      <c r="D653" s="20">
        <v>44557</v>
      </c>
      <c r="E653" s="58" t="s">
        <v>55</v>
      </c>
      <c r="F653" s="18" t="s">
        <v>35</v>
      </c>
      <c r="G653" s="18"/>
      <c r="H653" s="18"/>
      <c r="I653" s="18"/>
      <c r="J653" s="90">
        <v>180.5</v>
      </c>
      <c r="K653" s="18"/>
      <c r="L653" s="18">
        <f>28564-28543</f>
        <v>21</v>
      </c>
      <c r="M653" s="58">
        <v>150</v>
      </c>
      <c r="N653" s="58">
        <v>288</v>
      </c>
      <c r="O653" s="58">
        <v>-43</v>
      </c>
      <c r="P653" s="58"/>
    </row>
    <row r="654" spans="1:16" ht="15.75" customHeight="1" x14ac:dyDescent="0.35">
      <c r="A654" s="18"/>
      <c r="B654" s="18">
        <f>J659</f>
        <v>902.5</v>
      </c>
      <c r="C654" s="19"/>
      <c r="D654" s="20">
        <v>44558</v>
      </c>
      <c r="E654" s="58" t="s">
        <v>55</v>
      </c>
      <c r="F654" s="18" t="s">
        <v>36</v>
      </c>
      <c r="G654" s="18"/>
      <c r="H654" s="18"/>
      <c r="I654" s="18"/>
      <c r="J654" s="90">
        <v>180.5</v>
      </c>
      <c r="K654" s="18"/>
      <c r="L654" s="18">
        <f>28619-28596</f>
        <v>23</v>
      </c>
      <c r="M654" s="58">
        <v>161</v>
      </c>
      <c r="N654" s="58">
        <v>327</v>
      </c>
      <c r="O654" s="18"/>
      <c r="P654" s="58"/>
    </row>
    <row r="655" spans="1:16" ht="15.75" customHeight="1" x14ac:dyDescent="0.35">
      <c r="A655" s="18"/>
      <c r="B655" s="58">
        <v>-230</v>
      </c>
      <c r="C655" s="19"/>
      <c r="D655" s="20">
        <v>44559</v>
      </c>
      <c r="E655" s="58" t="s">
        <v>55</v>
      </c>
      <c r="F655" s="18" t="s">
        <v>37</v>
      </c>
      <c r="G655" s="18"/>
      <c r="H655" s="18"/>
      <c r="I655" s="18"/>
      <c r="J655" s="90">
        <v>180.5</v>
      </c>
      <c r="K655" s="18"/>
      <c r="L655" s="18">
        <f>28673-28652</f>
        <v>21</v>
      </c>
      <c r="M655" s="58">
        <v>128</v>
      </c>
      <c r="N655" s="58">
        <v>318</v>
      </c>
      <c r="O655" s="18"/>
      <c r="P655" s="58"/>
    </row>
    <row r="656" spans="1:16" ht="15.75" customHeight="1" x14ac:dyDescent="0.35">
      <c r="A656" s="18"/>
      <c r="B656" s="18"/>
      <c r="C656" s="19"/>
      <c r="D656" s="20">
        <v>44560</v>
      </c>
      <c r="E656" s="58" t="s">
        <v>55</v>
      </c>
      <c r="F656" s="18" t="s">
        <v>38</v>
      </c>
      <c r="G656" s="18"/>
      <c r="H656" s="18"/>
      <c r="I656" s="18"/>
      <c r="J656" s="90">
        <v>180.5</v>
      </c>
      <c r="K656" s="18"/>
      <c r="L656" s="18">
        <f>28735-28708</f>
        <v>27</v>
      </c>
      <c r="M656" s="58">
        <v>177</v>
      </c>
      <c r="N656" s="58">
        <v>361</v>
      </c>
      <c r="O656" s="58">
        <v>-21</v>
      </c>
      <c r="P656" s="58"/>
    </row>
    <row r="657" spans="1:16" ht="15.75" customHeight="1" x14ac:dyDescent="0.35">
      <c r="A657" s="18"/>
      <c r="B657" s="18"/>
      <c r="C657" s="19"/>
      <c r="D657" s="20">
        <v>44561</v>
      </c>
      <c r="E657" s="58" t="s">
        <v>55</v>
      </c>
      <c r="F657" s="18" t="s">
        <v>39</v>
      </c>
      <c r="G657" s="18"/>
      <c r="H657" s="18"/>
      <c r="I657" s="18"/>
      <c r="J657" s="90">
        <v>180.5</v>
      </c>
      <c r="K657" s="18"/>
      <c r="L657" s="18">
        <f>28786-28766</f>
        <v>20</v>
      </c>
      <c r="M657" s="58">
        <v>171</v>
      </c>
      <c r="N657" s="58">
        <v>325</v>
      </c>
      <c r="O657" s="18"/>
      <c r="P657" s="58"/>
    </row>
    <row r="658" spans="1:16" ht="15.75" customHeight="1" x14ac:dyDescent="0.35">
      <c r="A658" s="18"/>
      <c r="B658" s="18"/>
      <c r="C658" s="19"/>
      <c r="D658" s="20">
        <v>44562</v>
      </c>
      <c r="E658" s="58" t="s">
        <v>55</v>
      </c>
      <c r="F658" s="18" t="s">
        <v>23</v>
      </c>
      <c r="G658" s="18"/>
      <c r="H658" s="18"/>
      <c r="I658" s="18"/>
      <c r="J658" s="90"/>
      <c r="K658" s="18"/>
      <c r="L658" s="18"/>
      <c r="M658" s="18"/>
      <c r="N658" s="18"/>
      <c r="O658" s="18"/>
      <c r="P658" s="58"/>
    </row>
    <row r="659" spans="1:16" ht="16.5" customHeight="1" x14ac:dyDescent="0.45">
      <c r="A659" s="59">
        <f>A651+1</f>
        <v>52</v>
      </c>
      <c r="B659" s="59">
        <f>SUM(B652:B658)</f>
        <v>672.5</v>
      </c>
      <c r="C659" s="81">
        <v>716.9</v>
      </c>
      <c r="D659" s="61"/>
      <c r="E659" s="13"/>
      <c r="F659" s="40" t="s">
        <v>28</v>
      </c>
      <c r="G659" s="40"/>
      <c r="H659" s="40"/>
      <c r="I659" s="40">
        <f>COUNT(J652:J658)</f>
        <v>5</v>
      </c>
      <c r="J659" s="41">
        <f t="shared" ref="J659:O659" si="77">SUM(J652:J658)</f>
        <v>902.5</v>
      </c>
      <c r="K659" s="42">
        <f t="shared" si="77"/>
        <v>0</v>
      </c>
      <c r="L659" s="42">
        <f t="shared" si="77"/>
        <v>112</v>
      </c>
      <c r="M659" s="42">
        <f t="shared" si="77"/>
        <v>787</v>
      </c>
      <c r="N659" s="42">
        <f t="shared" si="77"/>
        <v>1619</v>
      </c>
      <c r="O659" s="42">
        <f t="shared" si="77"/>
        <v>-64</v>
      </c>
      <c r="P659" s="62"/>
    </row>
    <row r="660" spans="1:16" ht="15.75" customHeight="1" x14ac:dyDescent="0.35">
      <c r="A660" s="36"/>
      <c r="B660" s="44"/>
      <c r="C660" s="37"/>
      <c r="D660" s="38">
        <v>44563</v>
      </c>
      <c r="E660" s="44" t="s">
        <v>93</v>
      </c>
      <c r="F660" s="36" t="s">
        <v>24</v>
      </c>
      <c r="G660" s="36"/>
      <c r="H660" s="36"/>
      <c r="I660" s="36"/>
      <c r="J660" s="93"/>
      <c r="K660" s="36"/>
      <c r="L660" s="36"/>
      <c r="M660" s="36"/>
      <c r="N660" s="36"/>
      <c r="O660" s="44"/>
      <c r="P660" s="44"/>
    </row>
    <row r="661" spans="1:16" ht="15.75" customHeight="1" x14ac:dyDescent="0.35">
      <c r="A661" s="36"/>
      <c r="B661" s="44">
        <f>J667</f>
        <v>790</v>
      </c>
      <c r="C661" s="37"/>
      <c r="D661" s="38">
        <v>44564</v>
      </c>
      <c r="E661" s="44" t="s">
        <v>93</v>
      </c>
      <c r="F661" s="36" t="s">
        <v>35</v>
      </c>
      <c r="G661" s="36"/>
      <c r="H661" s="36"/>
      <c r="I661" s="36"/>
      <c r="J661" s="93">
        <v>158</v>
      </c>
      <c r="K661" s="36"/>
      <c r="L661" s="36">
        <f>28848-28821</f>
        <v>27</v>
      </c>
      <c r="M661" s="44">
        <v>171</v>
      </c>
      <c r="N661" s="44">
        <v>370</v>
      </c>
      <c r="O661" s="44">
        <v>-33</v>
      </c>
      <c r="P661" s="44"/>
    </row>
    <row r="662" spans="1:16" ht="15.75" customHeight="1" x14ac:dyDescent="0.35">
      <c r="A662" s="36"/>
      <c r="B662" s="44">
        <v>-230</v>
      </c>
      <c r="C662" s="37"/>
      <c r="D662" s="38">
        <v>44565</v>
      </c>
      <c r="E662" s="44" t="s">
        <v>93</v>
      </c>
      <c r="F662" s="36" t="s">
        <v>36</v>
      </c>
      <c r="G662" s="36"/>
      <c r="H662" s="36"/>
      <c r="I662" s="36"/>
      <c r="J662" s="93">
        <v>158</v>
      </c>
      <c r="K662" s="36"/>
      <c r="L662" s="36">
        <f>28903-28881</f>
        <v>22</v>
      </c>
      <c r="M662" s="44">
        <v>172</v>
      </c>
      <c r="N662" s="44">
        <v>367</v>
      </c>
      <c r="O662" s="44"/>
      <c r="P662" s="44"/>
    </row>
    <row r="663" spans="1:16" ht="15.75" customHeight="1" x14ac:dyDescent="0.35">
      <c r="A663" s="36"/>
      <c r="B663" s="44"/>
      <c r="C663" s="37"/>
      <c r="D663" s="38">
        <v>44566</v>
      </c>
      <c r="E663" s="44" t="s">
        <v>93</v>
      </c>
      <c r="F663" s="36" t="s">
        <v>37</v>
      </c>
      <c r="G663" s="36"/>
      <c r="H663" s="36"/>
      <c r="I663" s="36"/>
      <c r="J663" s="93">
        <v>158</v>
      </c>
      <c r="K663" s="36"/>
      <c r="L663" s="36">
        <f>28959-28936</f>
        <v>23</v>
      </c>
      <c r="M663" s="44">
        <v>174</v>
      </c>
      <c r="N663" s="44">
        <v>355</v>
      </c>
      <c r="O663" s="44">
        <v>-33</v>
      </c>
      <c r="P663" s="44"/>
    </row>
    <row r="664" spans="1:16" ht="15.75" customHeight="1" x14ac:dyDescent="0.35">
      <c r="A664" s="36"/>
      <c r="B664" s="44"/>
      <c r="C664" s="37"/>
      <c r="D664" s="38">
        <v>44567</v>
      </c>
      <c r="E664" s="44" t="s">
        <v>93</v>
      </c>
      <c r="F664" s="36" t="s">
        <v>38</v>
      </c>
      <c r="G664" s="36"/>
      <c r="H664" s="36"/>
      <c r="I664" s="36"/>
      <c r="J664" s="93">
        <v>158</v>
      </c>
      <c r="K664" s="36"/>
      <c r="L664" s="36">
        <f>29016-28991</f>
        <v>25</v>
      </c>
      <c r="M664" s="44">
        <v>159</v>
      </c>
      <c r="N664" s="44">
        <v>389</v>
      </c>
      <c r="O664" s="44"/>
      <c r="P664" s="44"/>
    </row>
    <row r="665" spans="1:16" ht="15.75" customHeight="1" x14ac:dyDescent="0.35">
      <c r="A665" s="36"/>
      <c r="B665" s="44"/>
      <c r="C665" s="37"/>
      <c r="D665" s="38">
        <v>44568</v>
      </c>
      <c r="E665" s="44" t="s">
        <v>93</v>
      </c>
      <c r="F665" s="36" t="s">
        <v>39</v>
      </c>
      <c r="G665" s="36"/>
      <c r="H665" s="36"/>
      <c r="I665" s="36"/>
      <c r="J665" s="93"/>
      <c r="K665" s="36"/>
      <c r="L665" s="36"/>
      <c r="M665" s="36"/>
      <c r="N665" s="36"/>
      <c r="O665" s="44"/>
      <c r="P665" s="44"/>
    </row>
    <row r="666" spans="1:16" ht="15.75" customHeight="1" x14ac:dyDescent="0.35">
      <c r="A666" s="36"/>
      <c r="B666" s="44"/>
      <c r="C666" s="37"/>
      <c r="D666" s="38">
        <v>44569</v>
      </c>
      <c r="E666" s="44" t="s">
        <v>93</v>
      </c>
      <c r="F666" s="36" t="s">
        <v>23</v>
      </c>
      <c r="G666" s="36"/>
      <c r="H666" s="36"/>
      <c r="I666" s="36"/>
      <c r="J666" s="93">
        <v>158</v>
      </c>
      <c r="K666" s="36"/>
      <c r="L666" s="36">
        <f>29067-29046</f>
        <v>21</v>
      </c>
      <c r="M666" s="44">
        <v>123</v>
      </c>
      <c r="N666" s="44">
        <v>227</v>
      </c>
      <c r="O666" s="44">
        <v>-33</v>
      </c>
      <c r="P666" s="44"/>
    </row>
    <row r="667" spans="1:16" ht="16.5" customHeight="1" x14ac:dyDescent="0.45">
      <c r="A667" s="105">
        <v>1</v>
      </c>
      <c r="B667" s="59">
        <f>SUM(B660:B666)</f>
        <v>560</v>
      </c>
      <c r="C667" s="81">
        <v>603.79999999999995</v>
      </c>
      <c r="D667" s="61"/>
      <c r="E667" s="13"/>
      <c r="F667" s="40" t="s">
        <v>28</v>
      </c>
      <c r="G667" s="40"/>
      <c r="H667" s="40"/>
      <c r="I667" s="40">
        <f>COUNT(J660:J666)</f>
        <v>5</v>
      </c>
      <c r="J667" s="41">
        <f t="shared" ref="J667:O667" si="78">SUM(J660:J666)</f>
        <v>790</v>
      </c>
      <c r="K667" s="42">
        <f t="shared" si="78"/>
        <v>0</v>
      </c>
      <c r="L667" s="42">
        <f t="shared" si="78"/>
        <v>118</v>
      </c>
      <c r="M667" s="42">
        <f t="shared" si="78"/>
        <v>799</v>
      </c>
      <c r="N667" s="42">
        <f t="shared" si="78"/>
        <v>1708</v>
      </c>
      <c r="O667" s="42">
        <f t="shared" si="78"/>
        <v>-99</v>
      </c>
      <c r="P667" s="62"/>
    </row>
    <row r="668" spans="1:16" ht="15.75" customHeight="1" x14ac:dyDescent="0.35">
      <c r="A668" s="18"/>
      <c r="B668" s="18"/>
      <c r="C668" s="19"/>
      <c r="D668" s="20">
        <v>44570</v>
      </c>
      <c r="E668" s="58" t="s">
        <v>58</v>
      </c>
      <c r="F668" s="18" t="s">
        <v>24</v>
      </c>
      <c r="G668" s="18"/>
      <c r="H668" s="18"/>
      <c r="I668" s="18"/>
      <c r="J668" s="90">
        <v>158</v>
      </c>
      <c r="K668" s="18"/>
      <c r="L668" s="18">
        <f>29132-29106</f>
        <v>26</v>
      </c>
      <c r="M668" s="58">
        <v>146</v>
      </c>
      <c r="N668" s="58">
        <v>247</v>
      </c>
      <c r="O668" s="18"/>
      <c r="P668" s="58"/>
    </row>
    <row r="669" spans="1:16" ht="15.75" customHeight="1" x14ac:dyDescent="0.35">
      <c r="A669" s="18"/>
      <c r="B669" s="18"/>
      <c r="C669" s="19"/>
      <c r="D669" s="20">
        <v>44571</v>
      </c>
      <c r="E669" s="58" t="s">
        <v>58</v>
      </c>
      <c r="F669" s="18" t="s">
        <v>35</v>
      </c>
      <c r="G669" s="18"/>
      <c r="H669" s="18"/>
      <c r="I669" s="18"/>
      <c r="J669" s="90">
        <v>158</v>
      </c>
      <c r="K669" s="18"/>
      <c r="L669" s="18">
        <f>29195-29170</f>
        <v>25</v>
      </c>
      <c r="M669" s="58">
        <v>144</v>
      </c>
      <c r="N669" s="58">
        <v>290</v>
      </c>
      <c r="O669" s="58">
        <v>-15</v>
      </c>
      <c r="P669" s="58"/>
    </row>
    <row r="670" spans="1:16" ht="15.75" customHeight="1" x14ac:dyDescent="0.35">
      <c r="A670" s="18"/>
      <c r="B670" s="18">
        <f>J675</f>
        <v>790</v>
      </c>
      <c r="C670" s="19"/>
      <c r="D670" s="20">
        <v>44572</v>
      </c>
      <c r="E670" s="58" t="s">
        <v>58</v>
      </c>
      <c r="F670" s="18" t="s">
        <v>36</v>
      </c>
      <c r="G670" s="18"/>
      <c r="H670" s="18"/>
      <c r="I670" s="18"/>
      <c r="J670" s="90"/>
      <c r="K670" s="18"/>
      <c r="L670" s="18"/>
      <c r="M670" s="18"/>
      <c r="N670" s="18"/>
      <c r="O670" s="18"/>
      <c r="P670" s="58"/>
    </row>
    <row r="671" spans="1:16" ht="15.75" customHeight="1" x14ac:dyDescent="0.35">
      <c r="A671" s="18"/>
      <c r="B671" s="58">
        <v>-230</v>
      </c>
      <c r="C671" s="19"/>
      <c r="D671" s="20">
        <v>44573</v>
      </c>
      <c r="E671" s="58" t="s">
        <v>58</v>
      </c>
      <c r="F671" s="18" t="s">
        <v>37</v>
      </c>
      <c r="G671" s="18"/>
      <c r="H671" s="18"/>
      <c r="I671" s="18"/>
      <c r="J671" s="90">
        <v>158</v>
      </c>
      <c r="K671" s="18"/>
      <c r="L671" s="18">
        <f>29250-29228</f>
        <v>22</v>
      </c>
      <c r="M671" s="58">
        <v>173</v>
      </c>
      <c r="N671" s="58">
        <v>336</v>
      </c>
      <c r="O671" s="58">
        <v>-33</v>
      </c>
      <c r="P671" s="58"/>
    </row>
    <row r="672" spans="1:16" ht="15.75" customHeight="1" x14ac:dyDescent="0.35">
      <c r="A672" s="18"/>
      <c r="B672" s="18"/>
      <c r="C672" s="19"/>
      <c r="D672" s="20">
        <v>44574</v>
      </c>
      <c r="E672" s="58" t="s">
        <v>58</v>
      </c>
      <c r="F672" s="18" t="s">
        <v>38</v>
      </c>
      <c r="G672" s="18"/>
      <c r="H672" s="18"/>
      <c r="I672" s="18"/>
      <c r="J672" s="90">
        <v>158</v>
      </c>
      <c r="K672" s="18"/>
      <c r="L672" s="18">
        <f>29318-29289</f>
        <v>29</v>
      </c>
      <c r="M672" s="58">
        <v>144</v>
      </c>
      <c r="N672" s="58">
        <v>264</v>
      </c>
      <c r="O672" s="18"/>
      <c r="P672" s="58"/>
    </row>
    <row r="673" spans="1:16" ht="15.75" customHeight="1" x14ac:dyDescent="0.35">
      <c r="A673" s="18"/>
      <c r="B673" s="18"/>
      <c r="C673" s="19"/>
      <c r="D673" s="20">
        <v>44575</v>
      </c>
      <c r="E673" s="58" t="s">
        <v>58</v>
      </c>
      <c r="F673" s="18" t="s">
        <v>39</v>
      </c>
      <c r="G673" s="18"/>
      <c r="H673" s="18"/>
      <c r="I673" s="18"/>
      <c r="J673" s="90">
        <v>158</v>
      </c>
      <c r="K673" s="18"/>
      <c r="L673" s="18">
        <f>29376-29357</f>
        <v>19</v>
      </c>
      <c r="M673" s="58">
        <v>169</v>
      </c>
      <c r="N673" s="58">
        <v>290</v>
      </c>
      <c r="O673" s="58">
        <v>-37</v>
      </c>
      <c r="P673" s="58"/>
    </row>
    <row r="674" spans="1:16" ht="15.75" customHeight="1" x14ac:dyDescent="0.35">
      <c r="A674" s="18"/>
      <c r="B674" s="18"/>
      <c r="C674" s="19"/>
      <c r="D674" s="20">
        <v>44576</v>
      </c>
      <c r="E674" s="58" t="s">
        <v>58</v>
      </c>
      <c r="F674" s="18" t="s">
        <v>23</v>
      </c>
      <c r="G674" s="18"/>
      <c r="H674" s="18"/>
      <c r="I674" s="18"/>
      <c r="J674" s="90"/>
      <c r="K674" s="18"/>
      <c r="L674" s="18"/>
      <c r="M674" s="18"/>
      <c r="N674" s="18"/>
      <c r="O674" s="18"/>
      <c r="P674" s="58"/>
    </row>
    <row r="675" spans="1:16" ht="16.5" customHeight="1" x14ac:dyDescent="0.45">
      <c r="A675" s="59">
        <f>A667+1</f>
        <v>2</v>
      </c>
      <c r="B675" s="59">
        <f>SUM(B668:B674)</f>
        <v>560</v>
      </c>
      <c r="C675" s="81">
        <v>608.05999999999995</v>
      </c>
      <c r="D675" s="61"/>
      <c r="E675" s="13"/>
      <c r="F675" s="40" t="s">
        <v>28</v>
      </c>
      <c r="G675" s="40"/>
      <c r="H675" s="40"/>
      <c r="I675" s="40">
        <f>COUNT(J668:J674)</f>
        <v>5</v>
      </c>
      <c r="J675" s="41">
        <f t="shared" ref="J675:O675" si="79">SUM(J668:J674)</f>
        <v>790</v>
      </c>
      <c r="K675" s="42">
        <f t="shared" si="79"/>
        <v>0</v>
      </c>
      <c r="L675" s="42">
        <f t="shared" si="79"/>
        <v>121</v>
      </c>
      <c r="M675" s="42">
        <f t="shared" si="79"/>
        <v>776</v>
      </c>
      <c r="N675" s="42">
        <f t="shared" si="79"/>
        <v>1427</v>
      </c>
      <c r="O675" s="42">
        <f t="shared" si="79"/>
        <v>-85</v>
      </c>
      <c r="P675" s="62"/>
    </row>
    <row r="676" spans="1:16" ht="15.75" customHeight="1" x14ac:dyDescent="0.35">
      <c r="A676" s="36"/>
      <c r="B676" s="44"/>
      <c r="C676" s="37"/>
      <c r="D676" s="38">
        <v>44577</v>
      </c>
      <c r="E676" s="44" t="s">
        <v>87</v>
      </c>
      <c r="F676" s="36" t="s">
        <v>24</v>
      </c>
      <c r="G676" s="36"/>
      <c r="H676" s="36"/>
      <c r="I676" s="36"/>
      <c r="J676" s="93">
        <v>158</v>
      </c>
      <c r="K676" s="36"/>
      <c r="L676" s="36">
        <f>29436-29417</f>
        <v>19</v>
      </c>
      <c r="M676" s="44">
        <v>174</v>
      </c>
      <c r="N676" s="44">
        <v>267</v>
      </c>
      <c r="O676" s="44"/>
      <c r="P676" s="44"/>
    </row>
    <row r="677" spans="1:16" ht="15.75" customHeight="1" x14ac:dyDescent="0.35">
      <c r="A677" s="36"/>
      <c r="B677" s="44">
        <f>J683</f>
        <v>790</v>
      </c>
      <c r="C677" s="37"/>
      <c r="D677" s="38">
        <v>44578</v>
      </c>
      <c r="E677" s="44" t="s">
        <v>87</v>
      </c>
      <c r="F677" s="36" t="s">
        <v>35</v>
      </c>
      <c r="G677" s="36"/>
      <c r="H677" s="36"/>
      <c r="I677" s="36"/>
      <c r="J677" s="93">
        <v>158</v>
      </c>
      <c r="K677" s="36"/>
      <c r="L677" s="36">
        <f>29501-29476</f>
        <v>25</v>
      </c>
      <c r="M677" s="44">
        <v>147</v>
      </c>
      <c r="N677" s="44">
        <v>284</v>
      </c>
      <c r="O677" s="44">
        <v>-17</v>
      </c>
      <c r="P677" s="44"/>
    </row>
    <row r="678" spans="1:16" ht="15.75" customHeight="1" x14ac:dyDescent="0.35">
      <c r="A678" s="36"/>
      <c r="B678" s="44">
        <v>-230</v>
      </c>
      <c r="C678" s="37"/>
      <c r="D678" s="38">
        <v>44579</v>
      </c>
      <c r="E678" s="44" t="s">
        <v>87</v>
      </c>
      <c r="F678" s="36" t="s">
        <v>36</v>
      </c>
      <c r="G678" s="36"/>
      <c r="H678" s="36"/>
      <c r="I678" s="36"/>
      <c r="J678" s="93"/>
      <c r="K678" s="36"/>
      <c r="L678" s="36"/>
      <c r="M678" s="36"/>
      <c r="N678" s="36"/>
      <c r="O678" s="44"/>
      <c r="P678" s="44"/>
    </row>
    <row r="679" spans="1:16" ht="15.75" customHeight="1" x14ac:dyDescent="0.35">
      <c r="A679" s="36"/>
      <c r="B679" s="44"/>
      <c r="C679" s="37"/>
      <c r="D679" s="38">
        <v>44580</v>
      </c>
      <c r="E679" s="44" t="s">
        <v>87</v>
      </c>
      <c r="F679" s="36" t="s">
        <v>37</v>
      </c>
      <c r="G679" s="36"/>
      <c r="H679" s="36"/>
      <c r="I679" s="36"/>
      <c r="J679" s="93">
        <v>158</v>
      </c>
      <c r="K679" s="36"/>
      <c r="L679" s="36">
        <f>29562-29534</f>
        <v>28</v>
      </c>
      <c r="M679" s="44">
        <v>156</v>
      </c>
      <c r="N679" s="44">
        <v>290</v>
      </c>
      <c r="O679" s="44"/>
      <c r="P679" s="44"/>
    </row>
    <row r="680" spans="1:16" ht="15.75" customHeight="1" x14ac:dyDescent="0.35">
      <c r="A680" s="36"/>
      <c r="B680" s="44"/>
      <c r="C680" s="37"/>
      <c r="D680" s="38">
        <v>44581</v>
      </c>
      <c r="E680" s="44" t="s">
        <v>87</v>
      </c>
      <c r="F680" s="36" t="s">
        <v>38</v>
      </c>
      <c r="G680" s="36"/>
      <c r="H680" s="36"/>
      <c r="I680" s="36"/>
      <c r="J680" s="93">
        <v>158</v>
      </c>
      <c r="K680" s="36"/>
      <c r="L680" s="36">
        <f>29621-29593</f>
        <v>28</v>
      </c>
      <c r="M680" s="44">
        <v>160</v>
      </c>
      <c r="N680" s="44">
        <v>259</v>
      </c>
      <c r="O680" s="44">
        <v>-39</v>
      </c>
      <c r="P680" s="44"/>
    </row>
    <row r="681" spans="1:16" ht="15.75" customHeight="1" x14ac:dyDescent="0.35">
      <c r="A681" s="36"/>
      <c r="B681" s="44"/>
      <c r="C681" s="37"/>
      <c r="D681" s="38">
        <v>44582</v>
      </c>
      <c r="E681" s="44" t="s">
        <v>87</v>
      </c>
      <c r="F681" s="36" t="s">
        <v>39</v>
      </c>
      <c r="G681" s="36"/>
      <c r="H681" s="36"/>
      <c r="I681" s="36"/>
      <c r="J681" s="93"/>
      <c r="K681" s="36"/>
      <c r="L681" s="36"/>
      <c r="M681" s="36"/>
      <c r="N681" s="36"/>
      <c r="O681" s="44"/>
      <c r="P681" s="44"/>
    </row>
    <row r="682" spans="1:16" ht="15.75" customHeight="1" x14ac:dyDescent="0.35">
      <c r="A682" s="36"/>
      <c r="B682" s="44"/>
      <c r="C682" s="37"/>
      <c r="D682" s="38">
        <v>44583</v>
      </c>
      <c r="E682" s="44" t="s">
        <v>87</v>
      </c>
      <c r="F682" s="36" t="s">
        <v>23</v>
      </c>
      <c r="G682" s="36"/>
      <c r="H682" s="36"/>
      <c r="I682" s="36"/>
      <c r="J682" s="93">
        <v>158</v>
      </c>
      <c r="K682" s="36"/>
      <c r="L682" s="36">
        <f>29683-29656</f>
        <v>27</v>
      </c>
      <c r="M682" s="44">
        <v>152</v>
      </c>
      <c r="N682" s="44">
        <v>271</v>
      </c>
      <c r="O682" s="44"/>
      <c r="P682" s="44"/>
    </row>
    <row r="683" spans="1:16" ht="16.5" customHeight="1" x14ac:dyDescent="0.45">
      <c r="A683" s="59">
        <f>A675+1</f>
        <v>3</v>
      </c>
      <c r="B683" s="59">
        <f>SUM(B676:B682)</f>
        <v>560</v>
      </c>
      <c r="C683" s="81">
        <v>609.95000000000005</v>
      </c>
      <c r="D683" s="61"/>
      <c r="E683" s="13"/>
      <c r="F683" s="40" t="s">
        <v>28</v>
      </c>
      <c r="G683" s="40"/>
      <c r="H683" s="40"/>
      <c r="I683" s="40">
        <f>COUNT(J676:J682)</f>
        <v>5</v>
      </c>
      <c r="J683" s="41">
        <f t="shared" ref="J683:O683" si="80">SUM(J676:J682)</f>
        <v>790</v>
      </c>
      <c r="K683" s="42">
        <f t="shared" si="80"/>
        <v>0</v>
      </c>
      <c r="L683" s="42">
        <f t="shared" si="80"/>
        <v>127</v>
      </c>
      <c r="M683" s="42">
        <f t="shared" si="80"/>
        <v>789</v>
      </c>
      <c r="N683" s="42">
        <f t="shared" si="80"/>
        <v>1371</v>
      </c>
      <c r="O683" s="42">
        <f t="shared" si="80"/>
        <v>-56</v>
      </c>
      <c r="P683" s="62"/>
    </row>
    <row r="684" spans="1:16" ht="15.75" customHeight="1" x14ac:dyDescent="0.35">
      <c r="A684" s="18"/>
      <c r="B684" s="18"/>
      <c r="C684" s="19"/>
      <c r="D684" s="20">
        <v>44584</v>
      </c>
      <c r="E684" s="58" t="s">
        <v>58</v>
      </c>
      <c r="F684" s="18" t="s">
        <v>24</v>
      </c>
      <c r="G684" s="18"/>
      <c r="H684" s="18"/>
      <c r="I684" s="18"/>
      <c r="J684" s="90"/>
      <c r="K684" s="18"/>
      <c r="L684" s="18"/>
      <c r="M684" s="18"/>
      <c r="N684" s="18"/>
      <c r="O684" s="18"/>
      <c r="P684" s="58"/>
    </row>
    <row r="685" spans="1:16" ht="15.75" customHeight="1" x14ac:dyDescent="0.35">
      <c r="A685" s="18"/>
      <c r="B685" s="18"/>
      <c r="C685" s="19"/>
      <c r="D685" s="20">
        <v>44585</v>
      </c>
      <c r="E685" s="58" t="s">
        <v>58</v>
      </c>
      <c r="F685" s="18" t="s">
        <v>35</v>
      </c>
      <c r="G685" s="18"/>
      <c r="H685" s="18"/>
      <c r="I685" s="18"/>
      <c r="J685" s="90">
        <v>158</v>
      </c>
      <c r="K685" s="18"/>
      <c r="L685" s="18">
        <f>29749-29721</f>
        <v>28</v>
      </c>
      <c r="M685" s="58">
        <v>181</v>
      </c>
      <c r="N685" s="58">
        <v>300</v>
      </c>
      <c r="O685" s="58">
        <v>-39</v>
      </c>
      <c r="P685" s="58"/>
    </row>
    <row r="686" spans="1:16" ht="15.75" customHeight="1" x14ac:dyDescent="0.35">
      <c r="A686" s="18"/>
      <c r="B686" s="18">
        <f>J691</f>
        <v>790</v>
      </c>
      <c r="C686" s="19"/>
      <c r="D686" s="20">
        <v>44586</v>
      </c>
      <c r="E686" s="58" t="s">
        <v>58</v>
      </c>
      <c r="F686" s="18" t="s">
        <v>36</v>
      </c>
      <c r="G686" s="18"/>
      <c r="H686" s="18"/>
      <c r="I686" s="18"/>
      <c r="J686" s="90">
        <v>158</v>
      </c>
      <c r="K686" s="18"/>
      <c r="L686" s="18">
        <f>29810-29781</f>
        <v>29</v>
      </c>
      <c r="M686" s="58">
        <v>180</v>
      </c>
      <c r="N686" s="58">
        <v>321</v>
      </c>
      <c r="O686" s="18"/>
      <c r="P686" s="58"/>
    </row>
    <row r="687" spans="1:16" ht="15.75" customHeight="1" x14ac:dyDescent="0.35">
      <c r="A687" s="18"/>
      <c r="B687" s="58">
        <v>-230</v>
      </c>
      <c r="C687" s="19"/>
      <c r="D687" s="20">
        <v>44587</v>
      </c>
      <c r="E687" s="58" t="s">
        <v>58</v>
      </c>
      <c r="F687" s="18" t="s">
        <v>37</v>
      </c>
      <c r="G687" s="18"/>
      <c r="H687" s="18"/>
      <c r="I687" s="18"/>
      <c r="J687" s="90">
        <v>158</v>
      </c>
      <c r="K687" s="18"/>
      <c r="L687" s="18">
        <f>29875-29853</f>
        <v>22</v>
      </c>
      <c r="M687" s="58">
        <v>167</v>
      </c>
      <c r="N687" s="58">
        <v>315</v>
      </c>
      <c r="O687" s="58"/>
      <c r="P687" s="58"/>
    </row>
    <row r="688" spans="1:16" ht="15.75" customHeight="1" x14ac:dyDescent="0.35">
      <c r="A688" s="18"/>
      <c r="B688" s="18"/>
      <c r="C688" s="19"/>
      <c r="D688" s="20">
        <v>44588</v>
      </c>
      <c r="E688" s="58" t="s">
        <v>58</v>
      </c>
      <c r="F688" s="18" t="s">
        <v>38</v>
      </c>
      <c r="G688" s="18"/>
      <c r="H688" s="18"/>
      <c r="I688" s="18"/>
      <c r="J688" s="90">
        <v>158</v>
      </c>
      <c r="K688" s="18"/>
      <c r="L688" s="18">
        <f>29937-29908</f>
        <v>29</v>
      </c>
      <c r="M688" s="58">
        <v>147</v>
      </c>
      <c r="N688" s="58">
        <v>228</v>
      </c>
      <c r="O688" s="58">
        <v>-39</v>
      </c>
      <c r="P688" s="58"/>
    </row>
    <row r="689" spans="1:16" ht="15.75" customHeight="1" x14ac:dyDescent="0.35">
      <c r="A689" s="18"/>
      <c r="B689" s="18"/>
      <c r="C689" s="19"/>
      <c r="D689" s="20">
        <v>44589</v>
      </c>
      <c r="E689" s="58" t="s">
        <v>58</v>
      </c>
      <c r="F689" s="18" t="s">
        <v>39</v>
      </c>
      <c r="G689" s="18"/>
      <c r="H689" s="18"/>
      <c r="I689" s="18"/>
      <c r="J689" s="90"/>
      <c r="K689" s="18"/>
      <c r="L689" s="18"/>
      <c r="M689" s="18"/>
      <c r="N689" s="18"/>
      <c r="O689" s="58"/>
      <c r="P689" s="58"/>
    </row>
    <row r="690" spans="1:16" ht="15.75" customHeight="1" x14ac:dyDescent="0.35">
      <c r="A690" s="18"/>
      <c r="B690" s="18"/>
      <c r="C690" s="19"/>
      <c r="D690" s="20">
        <v>44590</v>
      </c>
      <c r="E690" s="58" t="s">
        <v>58</v>
      </c>
      <c r="F690" s="18" t="s">
        <v>23</v>
      </c>
      <c r="G690" s="18"/>
      <c r="H690" s="18"/>
      <c r="I690" s="18"/>
      <c r="J690" s="90">
        <v>158</v>
      </c>
      <c r="K690" s="18"/>
      <c r="L690" s="18">
        <f>29998-29968</f>
        <v>30</v>
      </c>
      <c r="M690" s="58">
        <v>166</v>
      </c>
      <c r="N690" s="58">
        <v>284</v>
      </c>
      <c r="O690" s="18"/>
      <c r="P690" s="58"/>
    </row>
    <row r="691" spans="1:16" ht="16.5" customHeight="1" x14ac:dyDescent="0.45">
      <c r="A691" s="59">
        <f>A683+1</f>
        <v>4</v>
      </c>
      <c r="B691" s="59">
        <f>SUM(B684:B690)</f>
        <v>560</v>
      </c>
      <c r="C691" s="81">
        <v>619.19000000000005</v>
      </c>
      <c r="D691" s="61"/>
      <c r="E691" s="13"/>
      <c r="F691" s="40" t="s">
        <v>28</v>
      </c>
      <c r="G691" s="40"/>
      <c r="H691" s="40"/>
      <c r="I691" s="40">
        <f>COUNT(J684:J690)</f>
        <v>5</v>
      </c>
      <c r="J691" s="41">
        <f t="shared" ref="J691:O691" si="81">SUM(J684:J690)</f>
        <v>790</v>
      </c>
      <c r="K691" s="42">
        <f t="shared" si="81"/>
        <v>0</v>
      </c>
      <c r="L691" s="42">
        <f t="shared" si="81"/>
        <v>138</v>
      </c>
      <c r="M691" s="42">
        <f t="shared" si="81"/>
        <v>841</v>
      </c>
      <c r="N691" s="42">
        <f t="shared" si="81"/>
        <v>1448</v>
      </c>
      <c r="O691" s="42">
        <f t="shared" si="81"/>
        <v>-78</v>
      </c>
      <c r="P691" s="62"/>
    </row>
    <row r="692" spans="1:16" ht="15.75" customHeight="1" x14ac:dyDescent="0.35">
      <c r="A692" s="36"/>
      <c r="B692" s="44"/>
      <c r="C692" s="37"/>
      <c r="D692" s="38">
        <v>44591</v>
      </c>
      <c r="E692" s="44" t="s">
        <v>58</v>
      </c>
      <c r="F692" s="36" t="s">
        <v>24</v>
      </c>
      <c r="G692" s="36"/>
      <c r="H692" s="36"/>
      <c r="I692" s="36"/>
      <c r="J692" s="93">
        <v>158</v>
      </c>
      <c r="K692" s="36"/>
      <c r="L692" s="36">
        <f>30061-30031</f>
        <v>30</v>
      </c>
      <c r="M692" s="44">
        <v>176</v>
      </c>
      <c r="N692" s="44">
        <v>303</v>
      </c>
      <c r="O692" s="44">
        <v>-39</v>
      </c>
      <c r="P692" s="44"/>
    </row>
    <row r="693" spans="1:16" ht="15.75" customHeight="1" x14ac:dyDescent="0.35">
      <c r="A693" s="36"/>
      <c r="B693" s="44"/>
      <c r="C693" s="37"/>
      <c r="D693" s="38">
        <v>44592</v>
      </c>
      <c r="E693" s="44" t="s">
        <v>58</v>
      </c>
      <c r="F693" s="36" t="s">
        <v>35</v>
      </c>
      <c r="G693" s="36"/>
      <c r="H693" s="36"/>
      <c r="I693" s="36"/>
      <c r="J693" s="93">
        <v>158</v>
      </c>
      <c r="K693" s="36"/>
      <c r="L693" s="36">
        <f>30123-30097</f>
        <v>26</v>
      </c>
      <c r="M693" s="44">
        <v>175</v>
      </c>
      <c r="N693" s="44">
        <v>311</v>
      </c>
      <c r="O693" s="44"/>
      <c r="P693" s="44"/>
    </row>
    <row r="694" spans="1:16" ht="15.75" customHeight="1" x14ac:dyDescent="0.35">
      <c r="A694" s="36"/>
      <c r="B694" s="44">
        <f>J699</f>
        <v>790</v>
      </c>
      <c r="C694" s="37"/>
      <c r="D694" s="38">
        <v>44593</v>
      </c>
      <c r="E694" s="44" t="s">
        <v>58</v>
      </c>
      <c r="F694" s="36" t="s">
        <v>36</v>
      </c>
      <c r="G694" s="36"/>
      <c r="H694" s="36"/>
      <c r="I694" s="36"/>
      <c r="J694" s="93"/>
      <c r="K694" s="36"/>
      <c r="L694" s="36"/>
      <c r="M694" s="36"/>
      <c r="N694" s="36"/>
      <c r="O694" s="44"/>
      <c r="P694" s="44"/>
    </row>
    <row r="695" spans="1:16" ht="15.75" customHeight="1" x14ac:dyDescent="0.35">
      <c r="A695" s="36"/>
      <c r="B695" s="44">
        <v>-230</v>
      </c>
      <c r="C695" s="37"/>
      <c r="D695" s="38">
        <v>44594</v>
      </c>
      <c r="E695" s="44" t="s">
        <v>58</v>
      </c>
      <c r="F695" s="36" t="s">
        <v>37</v>
      </c>
      <c r="G695" s="36"/>
      <c r="H695" s="36"/>
      <c r="I695" s="36"/>
      <c r="J695" s="93">
        <v>158</v>
      </c>
      <c r="K695" s="36"/>
      <c r="L695" s="36">
        <f>30183-30156</f>
        <v>27</v>
      </c>
      <c r="M695" s="44">
        <v>162</v>
      </c>
      <c r="N695" s="44">
        <v>285</v>
      </c>
      <c r="O695" s="44">
        <v>-39</v>
      </c>
      <c r="P695" s="44"/>
    </row>
    <row r="696" spans="1:16" ht="15.75" customHeight="1" x14ac:dyDescent="0.35">
      <c r="A696" s="36"/>
      <c r="B696" s="44"/>
      <c r="C696" s="37"/>
      <c r="D696" s="38">
        <v>44595</v>
      </c>
      <c r="E696" s="44" t="s">
        <v>58</v>
      </c>
      <c r="F696" s="36" t="s">
        <v>38</v>
      </c>
      <c r="G696" s="36"/>
      <c r="H696" s="36"/>
      <c r="I696" s="36"/>
      <c r="J696" s="93">
        <v>158</v>
      </c>
      <c r="K696" s="36"/>
      <c r="L696" s="36">
        <f>30244-30216</f>
        <v>28</v>
      </c>
      <c r="M696" s="44">
        <v>156</v>
      </c>
      <c r="N696" s="44">
        <v>273</v>
      </c>
      <c r="O696" s="44"/>
      <c r="P696" s="44"/>
    </row>
    <row r="697" spans="1:16" ht="15.75" customHeight="1" x14ac:dyDescent="0.35">
      <c r="A697" s="36"/>
      <c r="B697" s="44"/>
      <c r="C697" s="37"/>
      <c r="D697" s="38">
        <v>44596</v>
      </c>
      <c r="E697" s="44" t="s">
        <v>58</v>
      </c>
      <c r="F697" s="36" t="s">
        <v>39</v>
      </c>
      <c r="G697" s="36"/>
      <c r="H697" s="36"/>
      <c r="I697" s="36"/>
      <c r="J697" s="93"/>
      <c r="K697" s="36"/>
      <c r="L697" s="36"/>
      <c r="M697" s="36"/>
      <c r="N697" s="36"/>
      <c r="O697" s="44"/>
      <c r="P697" s="44"/>
    </row>
    <row r="698" spans="1:16" ht="15.75" customHeight="1" x14ac:dyDescent="0.35">
      <c r="A698" s="36"/>
      <c r="B698" s="44"/>
      <c r="C698" s="37"/>
      <c r="D698" s="38">
        <v>44597</v>
      </c>
      <c r="E698" s="44" t="s">
        <v>58</v>
      </c>
      <c r="F698" s="36" t="s">
        <v>23</v>
      </c>
      <c r="G698" s="36"/>
      <c r="H698" s="36"/>
      <c r="I698" s="36"/>
      <c r="J698" s="93">
        <v>158</v>
      </c>
      <c r="K698" s="36"/>
      <c r="L698" s="36">
        <f>30305-30274</f>
        <v>31</v>
      </c>
      <c r="M698" s="44">
        <v>176</v>
      </c>
      <c r="N698" s="44">
        <v>274</v>
      </c>
      <c r="O698" s="44"/>
      <c r="P698" s="44"/>
    </row>
    <row r="699" spans="1:16" ht="16.5" customHeight="1" x14ac:dyDescent="0.45">
      <c r="A699" s="59">
        <f>A691+1</f>
        <v>5</v>
      </c>
      <c r="B699" s="59">
        <f>SUM(B692:B698)</f>
        <v>560</v>
      </c>
      <c r="C699" s="81">
        <v>620.87</v>
      </c>
      <c r="D699" s="61"/>
      <c r="E699" s="13"/>
      <c r="F699" s="40" t="s">
        <v>28</v>
      </c>
      <c r="G699" s="40"/>
      <c r="H699" s="40"/>
      <c r="I699" s="40">
        <f>COUNT(J692:J698)</f>
        <v>5</v>
      </c>
      <c r="J699" s="41">
        <f t="shared" ref="J699:O699" si="82">SUM(J692:J698)</f>
        <v>790</v>
      </c>
      <c r="K699" s="42">
        <f t="shared" si="82"/>
        <v>0</v>
      </c>
      <c r="L699" s="42">
        <f t="shared" si="82"/>
        <v>142</v>
      </c>
      <c r="M699" s="42">
        <f t="shared" si="82"/>
        <v>845</v>
      </c>
      <c r="N699" s="42">
        <f t="shared" si="82"/>
        <v>1446</v>
      </c>
      <c r="O699" s="42">
        <f t="shared" si="82"/>
        <v>-78</v>
      </c>
      <c r="P699" s="62"/>
    </row>
    <row r="700" spans="1:16" ht="15.75" customHeight="1" x14ac:dyDescent="0.35">
      <c r="A700" s="18"/>
      <c r="B700" s="18"/>
      <c r="C700" s="19"/>
      <c r="D700" s="20">
        <v>44598</v>
      </c>
      <c r="E700" s="58" t="s">
        <v>58</v>
      </c>
      <c r="F700" s="18" t="s">
        <v>24</v>
      </c>
      <c r="G700" s="18"/>
      <c r="H700" s="18"/>
      <c r="I700" s="18"/>
      <c r="J700" s="90">
        <v>158</v>
      </c>
      <c r="K700" s="18"/>
      <c r="L700" s="18">
        <f>30366-30336</f>
        <v>30</v>
      </c>
      <c r="M700" s="58">
        <v>177</v>
      </c>
      <c r="N700" s="58">
        <v>295</v>
      </c>
      <c r="O700" s="58">
        <v>-39</v>
      </c>
      <c r="P700" s="58"/>
    </row>
    <row r="701" spans="1:16" ht="15.75" customHeight="1" x14ac:dyDescent="0.35">
      <c r="A701" s="18"/>
      <c r="B701" s="18"/>
      <c r="C701" s="19"/>
      <c r="D701" s="20">
        <v>44599</v>
      </c>
      <c r="E701" s="58" t="s">
        <v>58</v>
      </c>
      <c r="F701" s="18" t="s">
        <v>35</v>
      </c>
      <c r="G701" s="18"/>
      <c r="H701" s="18"/>
      <c r="I701" s="18"/>
      <c r="J701" s="90">
        <v>158</v>
      </c>
      <c r="K701" s="18"/>
      <c r="L701" s="18">
        <f>30426-30399</f>
        <v>27</v>
      </c>
      <c r="M701" s="58">
        <v>183</v>
      </c>
      <c r="N701" s="58">
        <v>301</v>
      </c>
      <c r="O701" s="58"/>
      <c r="P701" s="58"/>
    </row>
    <row r="702" spans="1:16" ht="15.75" customHeight="1" x14ac:dyDescent="0.35">
      <c r="A702" s="18"/>
      <c r="B702" s="18">
        <f>J707</f>
        <v>632</v>
      </c>
      <c r="C702" s="19"/>
      <c r="D702" s="20">
        <v>44600</v>
      </c>
      <c r="E702" s="58" t="s">
        <v>58</v>
      </c>
      <c r="F702" s="18" t="s">
        <v>36</v>
      </c>
      <c r="G702" s="18"/>
      <c r="H702" s="18"/>
      <c r="I702" s="18"/>
      <c r="J702" s="90"/>
      <c r="K702" s="18"/>
      <c r="L702" s="18"/>
      <c r="M702" s="18"/>
      <c r="N702" s="18"/>
      <c r="O702" s="18"/>
      <c r="P702" s="58"/>
    </row>
    <row r="703" spans="1:16" ht="15.75" customHeight="1" x14ac:dyDescent="0.35">
      <c r="A703" s="18"/>
      <c r="B703" s="58">
        <v>-230</v>
      </c>
      <c r="C703" s="19"/>
      <c r="D703" s="20">
        <v>44601</v>
      </c>
      <c r="E703" s="58" t="s">
        <v>58</v>
      </c>
      <c r="F703" s="18" t="s">
        <v>37</v>
      </c>
      <c r="G703" s="18"/>
      <c r="H703" s="18"/>
      <c r="I703" s="18"/>
      <c r="J703" s="90">
        <v>158</v>
      </c>
      <c r="K703" s="18"/>
      <c r="L703" s="18">
        <f>30484-30461</f>
        <v>23</v>
      </c>
      <c r="M703" s="58">
        <v>161</v>
      </c>
      <c r="N703" s="58">
        <v>341</v>
      </c>
      <c r="O703" s="58">
        <v>-39</v>
      </c>
      <c r="P703" s="58"/>
    </row>
    <row r="704" spans="1:16" ht="15.75" customHeight="1" x14ac:dyDescent="0.35">
      <c r="A704" s="18"/>
      <c r="B704" s="18"/>
      <c r="C704" s="19"/>
      <c r="D704" s="20">
        <v>44602</v>
      </c>
      <c r="E704" s="58" t="s">
        <v>58</v>
      </c>
      <c r="F704" s="18" t="s">
        <v>38</v>
      </c>
      <c r="G704" s="18"/>
      <c r="H704" s="18"/>
      <c r="I704" s="18"/>
      <c r="J704" s="90">
        <v>158</v>
      </c>
      <c r="K704" s="18"/>
      <c r="L704" s="18">
        <f>30550-30518</f>
        <v>32</v>
      </c>
      <c r="M704" s="58">
        <v>168</v>
      </c>
      <c r="N704" s="58">
        <v>302</v>
      </c>
      <c r="O704" s="18"/>
      <c r="P704" s="58"/>
    </row>
    <row r="705" spans="1:16" ht="15.75" customHeight="1" x14ac:dyDescent="0.35">
      <c r="A705" s="18"/>
      <c r="B705" s="18"/>
      <c r="C705" s="19"/>
      <c r="D705" s="20">
        <v>44603</v>
      </c>
      <c r="E705" s="107" t="s">
        <v>58</v>
      </c>
      <c r="F705" s="108" t="s">
        <v>39</v>
      </c>
      <c r="G705" s="108"/>
      <c r="H705" s="108"/>
      <c r="I705" s="108"/>
      <c r="J705" s="109"/>
      <c r="K705" s="108"/>
      <c r="L705" s="108"/>
      <c r="M705" s="108"/>
      <c r="N705" s="108"/>
      <c r="O705" s="107"/>
      <c r="P705" s="107"/>
    </row>
    <row r="706" spans="1:16" ht="15.75" customHeight="1" x14ac:dyDescent="0.35">
      <c r="A706" s="18"/>
      <c r="B706" s="18"/>
      <c r="C706" s="19"/>
      <c r="D706" s="20">
        <v>44604</v>
      </c>
      <c r="E706" s="107" t="s">
        <v>58</v>
      </c>
      <c r="F706" s="108" t="s">
        <v>23</v>
      </c>
      <c r="G706" s="108"/>
      <c r="H706" s="108"/>
      <c r="I706" s="108"/>
      <c r="J706" s="109"/>
      <c r="K706" s="108"/>
      <c r="L706" s="108"/>
      <c r="M706" s="108"/>
      <c r="N706" s="108"/>
      <c r="O706" s="108"/>
      <c r="P706" s="107"/>
    </row>
    <row r="707" spans="1:16" ht="16.5" customHeight="1" x14ac:dyDescent="0.45">
      <c r="A707" s="59">
        <f>A699+1</f>
        <v>6</v>
      </c>
      <c r="B707" s="59">
        <f>SUM(B700:B706)</f>
        <v>402</v>
      </c>
      <c r="C707" s="81">
        <v>522.05999999999995</v>
      </c>
      <c r="D707" s="61"/>
      <c r="E707" s="13"/>
      <c r="F707" s="40" t="s">
        <v>28</v>
      </c>
      <c r="G707" s="40"/>
      <c r="H707" s="40"/>
      <c r="I707" s="40">
        <f>COUNT(J700:J706)</f>
        <v>4</v>
      </c>
      <c r="J707" s="41">
        <f t="shared" ref="J707:O707" si="83">SUM(J700:J706)</f>
        <v>632</v>
      </c>
      <c r="K707" s="42">
        <f t="shared" si="83"/>
        <v>0</v>
      </c>
      <c r="L707" s="42">
        <f t="shared" si="83"/>
        <v>112</v>
      </c>
      <c r="M707" s="42">
        <f t="shared" si="83"/>
        <v>689</v>
      </c>
      <c r="N707" s="42">
        <f t="shared" si="83"/>
        <v>1239</v>
      </c>
      <c r="O707" s="42">
        <f t="shared" si="83"/>
        <v>-78</v>
      </c>
      <c r="P707" s="62"/>
    </row>
    <row r="708" spans="1:16" ht="15.75" customHeight="1" x14ac:dyDescent="0.35">
      <c r="A708" s="36"/>
      <c r="B708" s="44"/>
      <c r="C708" s="37"/>
      <c r="D708" s="38">
        <v>44605</v>
      </c>
      <c r="E708" s="44" t="s">
        <v>58</v>
      </c>
      <c r="F708" s="36" t="s">
        <v>24</v>
      </c>
      <c r="G708" s="36"/>
      <c r="H708" s="36"/>
      <c r="I708" s="36"/>
      <c r="J708" s="93">
        <v>158</v>
      </c>
      <c r="K708" s="36"/>
      <c r="L708" s="36">
        <f>30611-30581</f>
        <v>30</v>
      </c>
      <c r="M708" s="44">
        <v>168</v>
      </c>
      <c r="N708" s="44">
        <v>257</v>
      </c>
      <c r="O708" s="44"/>
      <c r="P708" s="44"/>
    </row>
    <row r="709" spans="1:16" ht="15.75" customHeight="1" x14ac:dyDescent="0.35">
      <c r="A709" s="36"/>
      <c r="B709" s="44"/>
      <c r="C709" s="37"/>
      <c r="D709" s="38">
        <v>44606</v>
      </c>
      <c r="E709" s="44" t="s">
        <v>58</v>
      </c>
      <c r="F709" s="36" t="s">
        <v>35</v>
      </c>
      <c r="G709" s="36"/>
      <c r="H709" s="36"/>
      <c r="I709" s="36"/>
      <c r="J709" s="93"/>
      <c r="K709" s="36"/>
      <c r="L709" s="36">
        <f>30681-30643</f>
        <v>38</v>
      </c>
      <c r="M709" s="44">
        <v>147</v>
      </c>
      <c r="N709" s="44">
        <v>241</v>
      </c>
      <c r="O709" s="44">
        <v>-37</v>
      </c>
      <c r="P709" s="44"/>
    </row>
    <row r="710" spans="1:16" ht="15.75" customHeight="1" x14ac:dyDescent="0.35">
      <c r="A710" s="36"/>
      <c r="B710" s="44">
        <f>J715</f>
        <v>790</v>
      </c>
      <c r="C710" s="37"/>
      <c r="D710" s="38">
        <v>44607</v>
      </c>
      <c r="E710" s="44" t="s">
        <v>58</v>
      </c>
      <c r="F710" s="36" t="s">
        <v>36</v>
      </c>
      <c r="G710" s="36"/>
      <c r="H710" s="36"/>
      <c r="I710" s="36"/>
      <c r="J710" s="93">
        <v>158</v>
      </c>
      <c r="K710" s="36"/>
      <c r="L710" s="36"/>
      <c r="M710" s="36"/>
      <c r="N710" s="36"/>
      <c r="O710" s="44"/>
      <c r="P710" s="44"/>
    </row>
    <row r="711" spans="1:16" ht="15.75" customHeight="1" x14ac:dyDescent="0.35">
      <c r="A711" s="36"/>
      <c r="B711" s="44">
        <v>-230</v>
      </c>
      <c r="C711" s="37"/>
      <c r="D711" s="38">
        <v>44608</v>
      </c>
      <c r="E711" s="44" t="s">
        <v>58</v>
      </c>
      <c r="F711" s="36" t="s">
        <v>37</v>
      </c>
      <c r="G711" s="36"/>
      <c r="H711" s="36"/>
      <c r="I711" s="36"/>
      <c r="J711" s="93">
        <v>158</v>
      </c>
      <c r="K711" s="36"/>
      <c r="L711" s="36">
        <f>30743-30715</f>
        <v>28</v>
      </c>
      <c r="M711" s="44">
        <v>185</v>
      </c>
      <c r="N711" s="44">
        <v>308</v>
      </c>
      <c r="O711" s="44"/>
      <c r="P711" s="44"/>
    </row>
    <row r="712" spans="1:16" ht="15.75" customHeight="1" x14ac:dyDescent="0.35">
      <c r="A712" s="36"/>
      <c r="B712" s="44"/>
      <c r="C712" s="37"/>
      <c r="D712" s="38">
        <v>44609</v>
      </c>
      <c r="E712" s="44" t="s">
        <v>58</v>
      </c>
      <c r="F712" s="36" t="s">
        <v>38</v>
      </c>
      <c r="G712" s="36"/>
      <c r="H712" s="36"/>
      <c r="I712" s="36"/>
      <c r="J712" s="93">
        <v>158</v>
      </c>
      <c r="K712" s="36"/>
      <c r="L712" s="36">
        <f>30806-30773</f>
        <v>33</v>
      </c>
      <c r="M712" s="44">
        <v>185</v>
      </c>
      <c r="N712" s="44">
        <v>301</v>
      </c>
      <c r="O712" s="44">
        <v>-39</v>
      </c>
      <c r="P712" s="44"/>
    </row>
    <row r="713" spans="1:16" ht="15.75" customHeight="1" x14ac:dyDescent="0.35">
      <c r="A713" s="36"/>
      <c r="B713" s="110"/>
      <c r="C713" s="111"/>
      <c r="D713" s="112">
        <v>44610</v>
      </c>
      <c r="E713" s="110" t="s">
        <v>58</v>
      </c>
      <c r="F713" s="113" t="s">
        <v>39</v>
      </c>
      <c r="G713" s="113"/>
      <c r="H713" s="113"/>
      <c r="I713" s="113"/>
      <c r="J713" s="114"/>
      <c r="K713" s="113"/>
      <c r="L713" s="113"/>
      <c r="M713" s="113"/>
      <c r="N713" s="113"/>
      <c r="O713" s="110"/>
      <c r="P713" s="110"/>
    </row>
    <row r="714" spans="1:16" ht="15.75" customHeight="1" x14ac:dyDescent="0.35">
      <c r="A714" s="36"/>
      <c r="B714" s="44"/>
      <c r="C714" s="37"/>
      <c r="D714" s="38">
        <v>44611</v>
      </c>
      <c r="E714" s="44" t="s">
        <v>58</v>
      </c>
      <c r="F714" s="36" t="s">
        <v>23</v>
      </c>
      <c r="G714" s="36"/>
      <c r="H714" s="36"/>
      <c r="I714" s="36"/>
      <c r="J714" s="93">
        <v>158</v>
      </c>
      <c r="K714" s="36"/>
      <c r="L714" s="36"/>
      <c r="M714" s="44">
        <v>170</v>
      </c>
      <c r="N714" s="44">
        <v>264</v>
      </c>
      <c r="O714" s="44"/>
      <c r="P714" s="44"/>
    </row>
    <row r="715" spans="1:16" ht="16.5" customHeight="1" x14ac:dyDescent="0.45">
      <c r="A715" s="59">
        <f>A707+1</f>
        <v>7</v>
      </c>
      <c r="B715" s="59">
        <f>SUM(B708:B714)</f>
        <v>560</v>
      </c>
      <c r="C715" s="81">
        <v>625.70000000000005</v>
      </c>
      <c r="D715" s="61"/>
      <c r="E715" s="13"/>
      <c r="F715" s="40" t="s">
        <v>28</v>
      </c>
      <c r="G715" s="40"/>
      <c r="H715" s="40"/>
      <c r="I715" s="40">
        <f>COUNT(J708:J714)</f>
        <v>5</v>
      </c>
      <c r="J715" s="41">
        <f t="shared" ref="J715:O715" si="84">SUM(J708:J714)</f>
        <v>790</v>
      </c>
      <c r="K715" s="42">
        <f t="shared" si="84"/>
        <v>0</v>
      </c>
      <c r="L715" s="42">
        <f t="shared" si="84"/>
        <v>129</v>
      </c>
      <c r="M715" s="42">
        <f t="shared" si="84"/>
        <v>855</v>
      </c>
      <c r="N715" s="42">
        <f t="shared" si="84"/>
        <v>1371</v>
      </c>
      <c r="O715" s="42">
        <f t="shared" si="84"/>
        <v>-76</v>
      </c>
      <c r="P715" s="62"/>
    </row>
    <row r="716" spans="1:16" ht="15.75" customHeight="1" x14ac:dyDescent="0.35">
      <c r="A716" s="18"/>
      <c r="B716" s="18"/>
      <c r="C716" s="19"/>
      <c r="D716" s="20">
        <v>44612</v>
      </c>
      <c r="E716" s="58" t="s">
        <v>58</v>
      </c>
      <c r="F716" s="18" t="s">
        <v>24</v>
      </c>
      <c r="G716" s="18"/>
      <c r="H716" s="18"/>
      <c r="I716" s="18"/>
      <c r="J716" s="90">
        <v>158</v>
      </c>
      <c r="K716" s="18"/>
      <c r="L716" s="18">
        <f>30933-30901</f>
        <v>32</v>
      </c>
      <c r="M716" s="58">
        <v>180</v>
      </c>
      <c r="N716" s="58">
        <v>283</v>
      </c>
      <c r="O716" s="58">
        <v>-39</v>
      </c>
      <c r="P716" s="58"/>
    </row>
    <row r="717" spans="1:16" ht="15.75" customHeight="1" x14ac:dyDescent="0.35">
      <c r="A717" s="18"/>
      <c r="B717" s="18">
        <f>J723</f>
        <v>790</v>
      </c>
      <c r="C717" s="19"/>
      <c r="D717" s="20">
        <v>44613</v>
      </c>
      <c r="E717" s="58" t="s">
        <v>58</v>
      </c>
      <c r="F717" s="18" t="s">
        <v>35</v>
      </c>
      <c r="G717" s="18"/>
      <c r="H717" s="18"/>
      <c r="I717" s="18"/>
      <c r="J717" s="90">
        <v>158</v>
      </c>
      <c r="K717" s="58">
        <v>50</v>
      </c>
      <c r="L717" s="18">
        <f>30992-30964</f>
        <v>28</v>
      </c>
      <c r="M717" s="58">
        <v>176</v>
      </c>
      <c r="N717" s="58">
        <v>316</v>
      </c>
      <c r="O717" s="58"/>
      <c r="P717" s="58"/>
    </row>
    <row r="718" spans="1:16" ht="15.75" customHeight="1" x14ac:dyDescent="0.35">
      <c r="A718" s="18"/>
      <c r="B718" s="58">
        <v>-230</v>
      </c>
      <c r="C718" s="19"/>
      <c r="D718" s="20">
        <v>44614</v>
      </c>
      <c r="E718" s="58" t="s">
        <v>58</v>
      </c>
      <c r="F718" s="18" t="s">
        <v>36</v>
      </c>
      <c r="G718" s="18"/>
      <c r="H718" s="18"/>
      <c r="I718" s="18"/>
      <c r="J718" s="90">
        <v>158</v>
      </c>
      <c r="K718" s="18"/>
      <c r="L718" s="18">
        <f>31053-31027</f>
        <v>26</v>
      </c>
      <c r="M718" s="58">
        <v>179</v>
      </c>
      <c r="N718" s="58">
        <v>303</v>
      </c>
      <c r="O718" s="18"/>
      <c r="P718" s="58"/>
    </row>
    <row r="719" spans="1:16" ht="15.75" customHeight="1" x14ac:dyDescent="0.35">
      <c r="A719" s="18"/>
      <c r="B719" s="58">
        <f>K723</f>
        <v>50</v>
      </c>
      <c r="C719" s="19"/>
      <c r="D719" s="20">
        <v>44615</v>
      </c>
      <c r="E719" s="58" t="s">
        <v>58</v>
      </c>
      <c r="F719" s="18" t="s">
        <v>37</v>
      </c>
      <c r="G719" s="18"/>
      <c r="H719" s="18"/>
      <c r="I719" s="18"/>
      <c r="J719" s="90"/>
      <c r="K719" s="18"/>
      <c r="L719" s="18"/>
      <c r="M719" s="18"/>
      <c r="N719" s="18"/>
      <c r="O719" s="58"/>
      <c r="P719" s="58"/>
    </row>
    <row r="720" spans="1:16" ht="15.75" customHeight="1" x14ac:dyDescent="0.35">
      <c r="A720" s="18"/>
      <c r="B720" s="18"/>
      <c r="C720" s="19"/>
      <c r="D720" s="20">
        <v>44616</v>
      </c>
      <c r="E720" s="58" t="s">
        <v>58</v>
      </c>
      <c r="F720" s="18" t="s">
        <v>38</v>
      </c>
      <c r="G720" s="18"/>
      <c r="H720" s="18"/>
      <c r="I720" s="18"/>
      <c r="J720" s="90">
        <v>158</v>
      </c>
      <c r="K720" s="18"/>
      <c r="L720" s="18">
        <f>31116-31086</f>
        <v>30</v>
      </c>
      <c r="M720" s="58">
        <v>177</v>
      </c>
      <c r="N720" s="58">
        <v>304</v>
      </c>
      <c r="O720" s="58">
        <v>-39</v>
      </c>
      <c r="P720" s="58"/>
    </row>
    <row r="721" spans="1:16" ht="15.75" customHeight="1" x14ac:dyDescent="0.35">
      <c r="A721" s="18"/>
      <c r="B721" s="18"/>
      <c r="C721" s="19"/>
      <c r="D721" s="20">
        <v>44617</v>
      </c>
      <c r="E721" s="58" t="s">
        <v>58</v>
      </c>
      <c r="F721" s="18" t="s">
        <v>39</v>
      </c>
      <c r="G721" s="18"/>
      <c r="H721" s="18"/>
      <c r="I721" s="18"/>
      <c r="J721" s="90">
        <v>158</v>
      </c>
      <c r="K721" s="18"/>
      <c r="L721" s="18">
        <f>31179-31148</f>
        <v>31</v>
      </c>
      <c r="M721" s="58">
        <v>181</v>
      </c>
      <c r="N721" s="58">
        <v>299</v>
      </c>
      <c r="O721" s="58">
        <v>-33</v>
      </c>
      <c r="P721" s="58"/>
    </row>
    <row r="722" spans="1:16" ht="15.75" customHeight="1" x14ac:dyDescent="0.35">
      <c r="A722" s="18"/>
      <c r="B722" s="18"/>
      <c r="C722" s="19"/>
      <c r="D722" s="20">
        <v>44618</v>
      </c>
      <c r="E722" s="58" t="s">
        <v>58</v>
      </c>
      <c r="F722" s="18" t="s">
        <v>23</v>
      </c>
      <c r="G722" s="18"/>
      <c r="H722" s="18"/>
      <c r="I722" s="18"/>
      <c r="J722" s="90"/>
      <c r="K722" s="18"/>
      <c r="L722" s="18"/>
      <c r="M722" s="18"/>
      <c r="N722" s="18"/>
      <c r="O722" s="18"/>
      <c r="P722" s="58"/>
    </row>
    <row r="723" spans="1:16" ht="16.5" customHeight="1" x14ac:dyDescent="0.45">
      <c r="A723" s="59">
        <f>A715+1</f>
        <v>8</v>
      </c>
      <c r="B723" s="59">
        <f>SUM(B716:B722)</f>
        <v>610</v>
      </c>
      <c r="C723" s="81">
        <v>664.36</v>
      </c>
      <c r="D723" s="61"/>
      <c r="E723" s="13"/>
      <c r="F723" s="40" t="s">
        <v>28</v>
      </c>
      <c r="G723" s="40"/>
      <c r="H723" s="40"/>
      <c r="I723" s="40">
        <f>COUNT(J716:J722)</f>
        <v>5</v>
      </c>
      <c r="J723" s="41">
        <f t="shared" ref="J723:O723" si="85">SUM(J716:J722)</f>
        <v>790</v>
      </c>
      <c r="K723" s="42">
        <f t="shared" si="85"/>
        <v>50</v>
      </c>
      <c r="L723" s="42">
        <f t="shared" si="85"/>
        <v>147</v>
      </c>
      <c r="M723" s="42">
        <f t="shared" si="85"/>
        <v>893</v>
      </c>
      <c r="N723" s="42">
        <f t="shared" si="85"/>
        <v>1505</v>
      </c>
      <c r="O723" s="42">
        <f t="shared" si="85"/>
        <v>-111</v>
      </c>
      <c r="P723" s="62"/>
    </row>
    <row r="724" spans="1:16" ht="15.75" customHeight="1" x14ac:dyDescent="0.35">
      <c r="A724" s="36"/>
      <c r="B724" s="44"/>
      <c r="C724" s="37"/>
      <c r="D724" s="38">
        <v>44619</v>
      </c>
      <c r="E724" s="44" t="s">
        <v>58</v>
      </c>
      <c r="F724" s="36" t="s">
        <v>24</v>
      </c>
      <c r="G724" s="36"/>
      <c r="H724" s="36"/>
      <c r="I724" s="36"/>
      <c r="J724" s="93">
        <v>158</v>
      </c>
      <c r="K724" s="36"/>
      <c r="L724" s="36">
        <f>31237-31210</f>
        <v>27</v>
      </c>
      <c r="M724" s="44">
        <v>181</v>
      </c>
      <c r="N724" s="44">
        <v>294</v>
      </c>
      <c r="O724" s="44"/>
      <c r="P724" s="44"/>
    </row>
    <row r="725" spans="1:16" ht="15.75" customHeight="1" x14ac:dyDescent="0.35">
      <c r="A725" s="36"/>
      <c r="B725" s="44"/>
      <c r="C725" s="37"/>
      <c r="D725" s="38">
        <v>44620</v>
      </c>
      <c r="E725" s="44" t="s">
        <v>58</v>
      </c>
      <c r="F725" s="36" t="s">
        <v>35</v>
      </c>
      <c r="G725" s="36"/>
      <c r="H725" s="36"/>
      <c r="I725" s="36"/>
      <c r="J725" s="93">
        <v>158</v>
      </c>
      <c r="K725" s="36"/>
      <c r="L725" s="36">
        <f>31308-31278</f>
        <v>30</v>
      </c>
      <c r="M725" s="44">
        <v>159</v>
      </c>
      <c r="N725" s="44">
        <v>289</v>
      </c>
      <c r="O725" s="44"/>
      <c r="P725" s="44"/>
    </row>
    <row r="726" spans="1:16" ht="15.75" customHeight="1" x14ac:dyDescent="0.35">
      <c r="A726" s="36"/>
      <c r="B726" s="44">
        <f>J731</f>
        <v>790</v>
      </c>
      <c r="C726" s="37"/>
      <c r="D726" s="38">
        <v>44621</v>
      </c>
      <c r="E726" s="44" t="s">
        <v>58</v>
      </c>
      <c r="F726" s="36" t="s">
        <v>36</v>
      </c>
      <c r="G726" s="36"/>
      <c r="H726" s="36"/>
      <c r="I726" s="36"/>
      <c r="J726" s="93"/>
      <c r="K726" s="36"/>
      <c r="L726" s="36"/>
      <c r="M726" s="36"/>
      <c r="N726" s="44"/>
      <c r="O726" s="44"/>
      <c r="P726" s="44"/>
    </row>
    <row r="727" spans="1:16" ht="15.75" customHeight="1" x14ac:dyDescent="0.35">
      <c r="A727" s="36"/>
      <c r="B727" s="44">
        <v>-230</v>
      </c>
      <c r="C727" s="37"/>
      <c r="D727" s="38">
        <v>44622</v>
      </c>
      <c r="E727" s="44" t="s">
        <v>58</v>
      </c>
      <c r="F727" s="36" t="s">
        <v>37</v>
      </c>
      <c r="G727" s="36"/>
      <c r="H727" s="36"/>
      <c r="I727" s="36"/>
      <c r="J727" s="93">
        <v>158</v>
      </c>
      <c r="K727" s="36"/>
      <c r="L727" s="36">
        <f>31367-31340</f>
        <v>27</v>
      </c>
      <c r="M727" s="44">
        <v>184</v>
      </c>
      <c r="N727" s="44">
        <v>322</v>
      </c>
      <c r="O727" s="44">
        <v>-39</v>
      </c>
      <c r="P727" s="44"/>
    </row>
    <row r="728" spans="1:16" ht="15.75" customHeight="1" x14ac:dyDescent="0.35">
      <c r="A728" s="36"/>
      <c r="B728" s="44"/>
      <c r="C728" s="37"/>
      <c r="D728" s="38">
        <v>44623</v>
      </c>
      <c r="E728" s="44" t="s">
        <v>58</v>
      </c>
      <c r="F728" s="36" t="s">
        <v>38</v>
      </c>
      <c r="G728" s="36"/>
      <c r="H728" s="36"/>
      <c r="I728" s="36"/>
      <c r="J728" s="93"/>
      <c r="K728" s="36"/>
      <c r="L728" s="36"/>
      <c r="M728" s="36"/>
      <c r="N728" s="36"/>
      <c r="O728" s="44"/>
      <c r="P728" s="44"/>
    </row>
    <row r="729" spans="1:16" ht="15.75" customHeight="1" x14ac:dyDescent="0.35">
      <c r="A729" s="36"/>
      <c r="B729" s="44"/>
      <c r="C729" s="37"/>
      <c r="D729" s="38">
        <v>44624</v>
      </c>
      <c r="E729" s="44" t="s">
        <v>58</v>
      </c>
      <c r="F729" s="36" t="s">
        <v>39</v>
      </c>
      <c r="G729" s="36"/>
      <c r="H729" s="36"/>
      <c r="I729" s="36"/>
      <c r="J729" s="93">
        <v>158</v>
      </c>
      <c r="K729" s="36"/>
      <c r="L729" s="36">
        <f>31427-31400</f>
        <v>27</v>
      </c>
      <c r="M729" s="44">
        <v>180</v>
      </c>
      <c r="N729" s="44">
        <v>315</v>
      </c>
      <c r="O729" s="44"/>
      <c r="P729" s="44"/>
    </row>
    <row r="730" spans="1:16" ht="15.75" customHeight="1" x14ac:dyDescent="0.35">
      <c r="A730" s="36"/>
      <c r="B730" s="44"/>
      <c r="C730" s="37"/>
      <c r="D730" s="38">
        <v>44625</v>
      </c>
      <c r="E730" s="44" t="s">
        <v>58</v>
      </c>
      <c r="F730" s="36" t="s">
        <v>23</v>
      </c>
      <c r="G730" s="36"/>
      <c r="H730" s="36"/>
      <c r="I730" s="36"/>
      <c r="J730" s="93">
        <v>158</v>
      </c>
      <c r="K730" s="36"/>
      <c r="L730" s="36">
        <f>31485-31460</f>
        <v>25</v>
      </c>
      <c r="M730" s="44">
        <v>178</v>
      </c>
      <c r="N730" s="44">
        <v>293</v>
      </c>
      <c r="O730" s="44">
        <v>-43</v>
      </c>
      <c r="P730" s="44"/>
    </row>
    <row r="731" spans="1:16" ht="15.75" customHeight="1" x14ac:dyDescent="0.45">
      <c r="A731" s="59">
        <f>A723+1</f>
        <v>9</v>
      </c>
      <c r="B731" s="59">
        <f>SUM(B724:B730)</f>
        <v>560</v>
      </c>
      <c r="C731" s="81">
        <v>623.17999999999995</v>
      </c>
      <c r="D731" s="61"/>
      <c r="E731" s="13"/>
      <c r="F731" s="40" t="s">
        <v>28</v>
      </c>
      <c r="G731" s="40"/>
      <c r="H731" s="40"/>
      <c r="I731" s="40">
        <f>COUNT(J724:J730)</f>
        <v>5</v>
      </c>
      <c r="J731" s="41">
        <f t="shared" ref="J731:O731" si="86">SUM(J724:J730)</f>
        <v>790</v>
      </c>
      <c r="K731" s="42">
        <f t="shared" si="86"/>
        <v>0</v>
      </c>
      <c r="L731" s="42">
        <f t="shared" si="86"/>
        <v>136</v>
      </c>
      <c r="M731" s="42">
        <f t="shared" si="86"/>
        <v>882</v>
      </c>
      <c r="N731" s="42">
        <f t="shared" si="86"/>
        <v>1513</v>
      </c>
      <c r="O731" s="42">
        <f t="shared" si="86"/>
        <v>-82</v>
      </c>
      <c r="P731" s="62"/>
    </row>
    <row r="732" spans="1:16" ht="15.75" customHeight="1" x14ac:dyDescent="0.35">
      <c r="A732" s="18"/>
      <c r="B732" s="18"/>
      <c r="C732" s="19"/>
      <c r="D732" s="20">
        <v>44626</v>
      </c>
      <c r="E732" s="58" t="s">
        <v>58</v>
      </c>
      <c r="F732" s="18" t="s">
        <v>24</v>
      </c>
      <c r="G732" s="18"/>
      <c r="H732" s="18"/>
      <c r="I732" s="18"/>
      <c r="J732" s="90">
        <v>158</v>
      </c>
      <c r="K732" s="18"/>
      <c r="L732" s="18">
        <f>31544-31519</f>
        <v>25</v>
      </c>
      <c r="M732" s="58">
        <v>174</v>
      </c>
      <c r="N732" s="58">
        <v>363</v>
      </c>
      <c r="O732" s="18"/>
      <c r="P732" s="58"/>
    </row>
    <row r="733" spans="1:16" ht="15.75" customHeight="1" x14ac:dyDescent="0.35">
      <c r="A733" s="18"/>
      <c r="B733" s="18"/>
      <c r="C733" s="19"/>
      <c r="D733" s="20">
        <v>44627</v>
      </c>
      <c r="E733" s="58" t="s">
        <v>58</v>
      </c>
      <c r="F733" s="18" t="s">
        <v>35</v>
      </c>
      <c r="G733" s="18"/>
      <c r="H733" s="18"/>
      <c r="I733" s="18"/>
      <c r="J733" s="90"/>
      <c r="K733" s="18"/>
      <c r="L733" s="18"/>
      <c r="M733" s="18"/>
      <c r="N733" s="18"/>
      <c r="O733" s="58"/>
      <c r="P733" s="58"/>
    </row>
    <row r="734" spans="1:16" ht="15.75" customHeight="1" x14ac:dyDescent="0.35">
      <c r="A734" s="18"/>
      <c r="B734" s="18">
        <f>J739</f>
        <v>790</v>
      </c>
      <c r="C734" s="19"/>
      <c r="D734" s="20">
        <v>44628</v>
      </c>
      <c r="E734" s="58" t="s">
        <v>58</v>
      </c>
      <c r="F734" s="18" t="s">
        <v>36</v>
      </c>
      <c r="G734" s="18"/>
      <c r="H734" s="18"/>
      <c r="I734" s="18"/>
      <c r="J734" s="90">
        <v>158</v>
      </c>
      <c r="K734" s="18"/>
      <c r="L734" s="18">
        <f>31603-31576</f>
        <v>27</v>
      </c>
      <c r="M734" s="58">
        <v>174</v>
      </c>
      <c r="N734" s="58">
        <v>335</v>
      </c>
      <c r="O734" s="18"/>
      <c r="P734" s="58"/>
    </row>
    <row r="735" spans="1:16" ht="15.75" customHeight="1" x14ac:dyDescent="0.35">
      <c r="A735" s="18"/>
      <c r="B735" s="58">
        <v>-230</v>
      </c>
      <c r="C735" s="19"/>
      <c r="D735" s="20">
        <v>44629</v>
      </c>
      <c r="E735" s="58" t="s">
        <v>58</v>
      </c>
      <c r="F735" s="18" t="s">
        <v>37</v>
      </c>
      <c r="G735" s="18"/>
      <c r="H735" s="18"/>
      <c r="I735" s="18"/>
      <c r="J735" s="90">
        <v>158</v>
      </c>
      <c r="K735" s="18"/>
      <c r="L735" s="18">
        <f>31666-31634</f>
        <v>32</v>
      </c>
      <c r="M735" s="58">
        <v>167</v>
      </c>
      <c r="N735" s="58">
        <v>271</v>
      </c>
      <c r="O735" s="58">
        <v>-43</v>
      </c>
      <c r="P735" s="58"/>
    </row>
    <row r="736" spans="1:16" ht="15.75" customHeight="1" x14ac:dyDescent="0.35">
      <c r="A736" s="18"/>
      <c r="B736" s="18"/>
      <c r="C736" s="19"/>
      <c r="D736" s="20">
        <v>44630</v>
      </c>
      <c r="E736" s="58" t="s">
        <v>58</v>
      </c>
      <c r="F736" s="18" t="s">
        <v>38</v>
      </c>
      <c r="G736" s="18"/>
      <c r="H736" s="18"/>
      <c r="I736" s="18"/>
      <c r="J736" s="90">
        <v>158</v>
      </c>
      <c r="K736" s="18"/>
      <c r="L736" s="18">
        <f>31718-31697</f>
        <v>21</v>
      </c>
      <c r="M736" s="58">
        <v>175</v>
      </c>
      <c r="N736" s="58">
        <v>327</v>
      </c>
      <c r="O736" s="18"/>
      <c r="P736" s="58"/>
    </row>
    <row r="737" spans="1:16" ht="15.75" customHeight="1" x14ac:dyDescent="0.35">
      <c r="A737" s="18"/>
      <c r="B737" s="18"/>
      <c r="C737" s="19"/>
      <c r="D737" s="20">
        <v>44631</v>
      </c>
      <c r="E737" s="58" t="s">
        <v>58</v>
      </c>
      <c r="F737" s="18" t="s">
        <v>39</v>
      </c>
      <c r="G737" s="18"/>
      <c r="H737" s="18"/>
      <c r="I737" s="18"/>
      <c r="J737" s="90"/>
      <c r="K737" s="18"/>
      <c r="L737" s="18"/>
      <c r="M737" s="18"/>
      <c r="N737" s="18"/>
      <c r="O737" s="58"/>
      <c r="P737" s="58"/>
    </row>
    <row r="738" spans="1:16" ht="15.75" customHeight="1" x14ac:dyDescent="0.35">
      <c r="A738" s="18"/>
      <c r="B738" s="18"/>
      <c r="C738" s="19"/>
      <c r="D738" s="20">
        <v>44632</v>
      </c>
      <c r="E738" s="58" t="s">
        <v>58</v>
      </c>
      <c r="F738" s="18" t="s">
        <v>23</v>
      </c>
      <c r="G738" s="18"/>
      <c r="H738" s="18"/>
      <c r="I738" s="18"/>
      <c r="J738" s="90">
        <v>158</v>
      </c>
      <c r="K738" s="18"/>
      <c r="L738" s="18">
        <f>31788-31754</f>
        <v>34</v>
      </c>
      <c r="M738" s="58">
        <v>183</v>
      </c>
      <c r="N738" s="58">
        <v>285</v>
      </c>
      <c r="O738" s="18"/>
      <c r="P738" s="58"/>
    </row>
    <row r="739" spans="1:16" ht="15.75" customHeight="1" x14ac:dyDescent="0.45">
      <c r="A739" s="59">
        <f>A731+1</f>
        <v>10</v>
      </c>
      <c r="B739" s="59">
        <f>SUM(B732:B738)</f>
        <v>560</v>
      </c>
      <c r="C739" s="81">
        <v>608.9</v>
      </c>
      <c r="D739" s="61"/>
      <c r="E739" s="13"/>
      <c r="F739" s="40" t="s">
        <v>28</v>
      </c>
      <c r="G739" s="40"/>
      <c r="H739" s="40"/>
      <c r="I739" s="40">
        <f>COUNT(J732:J738)</f>
        <v>5</v>
      </c>
      <c r="J739" s="41">
        <f t="shared" ref="J739:O739" si="87">SUM(J732:J738)</f>
        <v>790</v>
      </c>
      <c r="K739" s="42">
        <f t="shared" si="87"/>
        <v>0</v>
      </c>
      <c r="L739" s="42">
        <f t="shared" si="87"/>
        <v>139</v>
      </c>
      <c r="M739" s="42">
        <f t="shared" si="87"/>
        <v>873</v>
      </c>
      <c r="N739" s="42">
        <f t="shared" si="87"/>
        <v>1581</v>
      </c>
      <c r="O739" s="42">
        <f t="shared" si="87"/>
        <v>-43</v>
      </c>
      <c r="P739" s="62"/>
    </row>
    <row r="740" spans="1:16" ht="15.75" customHeight="1" x14ac:dyDescent="0.35">
      <c r="A740" s="36"/>
      <c r="B740" s="44"/>
      <c r="C740" s="37"/>
      <c r="D740" s="38">
        <v>44633</v>
      </c>
      <c r="E740" s="44" t="s">
        <v>58</v>
      </c>
      <c r="F740" s="36" t="s">
        <v>24</v>
      </c>
      <c r="G740" s="36"/>
      <c r="H740" s="36"/>
      <c r="I740" s="36"/>
      <c r="J740" s="93">
        <v>158</v>
      </c>
      <c r="K740" s="36"/>
      <c r="L740" s="36">
        <f>31848-31820</f>
        <v>28</v>
      </c>
      <c r="M740" s="44">
        <v>186</v>
      </c>
      <c r="N740" s="44">
        <v>292</v>
      </c>
      <c r="O740" s="44">
        <v>-43</v>
      </c>
      <c r="P740" s="44"/>
    </row>
    <row r="741" spans="1:16" ht="15.75" customHeight="1" x14ac:dyDescent="0.35">
      <c r="A741" s="36"/>
      <c r="B741" s="44"/>
      <c r="C741" s="37"/>
      <c r="D741" s="38">
        <v>44634</v>
      </c>
      <c r="E741" s="44" t="s">
        <v>58</v>
      </c>
      <c r="F741" s="36" t="s">
        <v>35</v>
      </c>
      <c r="G741" s="36"/>
      <c r="H741" s="36"/>
      <c r="I741" s="36"/>
      <c r="J741" s="93">
        <v>158</v>
      </c>
      <c r="K741" s="36"/>
      <c r="L741" s="36">
        <f>31901-31881</f>
        <v>20</v>
      </c>
      <c r="M741" s="44">
        <v>165</v>
      </c>
      <c r="N741" s="44">
        <v>312</v>
      </c>
      <c r="O741" s="44"/>
      <c r="P741" s="44"/>
    </row>
    <row r="742" spans="1:16" ht="15.75" customHeight="1" x14ac:dyDescent="0.35">
      <c r="A742" s="36"/>
      <c r="B742" s="44">
        <f>J747</f>
        <v>790</v>
      </c>
      <c r="C742" s="37"/>
      <c r="D742" s="38">
        <v>44635</v>
      </c>
      <c r="E742" s="44" t="s">
        <v>58</v>
      </c>
      <c r="F742" s="36" t="s">
        <v>36</v>
      </c>
      <c r="G742" s="36"/>
      <c r="H742" s="36"/>
      <c r="I742" s="36"/>
      <c r="J742" s="93"/>
      <c r="K742" s="36"/>
      <c r="L742" s="36"/>
      <c r="M742" s="36"/>
      <c r="N742" s="36"/>
      <c r="O742" s="44"/>
      <c r="P742" s="44"/>
    </row>
    <row r="743" spans="1:16" ht="15.75" customHeight="1" x14ac:dyDescent="0.35">
      <c r="A743" s="36"/>
      <c r="B743" s="44">
        <v>-230</v>
      </c>
      <c r="C743" s="37"/>
      <c r="D743" s="38">
        <v>44636</v>
      </c>
      <c r="E743" s="44" t="s">
        <v>58</v>
      </c>
      <c r="F743" s="36" t="s">
        <v>37</v>
      </c>
      <c r="G743" s="36"/>
      <c r="H743" s="36"/>
      <c r="I743" s="36"/>
      <c r="J743" s="93">
        <v>158</v>
      </c>
      <c r="K743" s="36"/>
      <c r="L743" s="36">
        <f>31965-31937</f>
        <v>28</v>
      </c>
      <c r="M743" s="44">
        <v>182</v>
      </c>
      <c r="N743" s="44">
        <v>310</v>
      </c>
      <c r="O743" s="44"/>
      <c r="P743" s="44"/>
    </row>
    <row r="744" spans="1:16" ht="15.75" customHeight="1" x14ac:dyDescent="0.35">
      <c r="A744" s="36"/>
      <c r="B744" s="44"/>
      <c r="C744" s="37"/>
      <c r="D744" s="38">
        <v>44637</v>
      </c>
      <c r="E744" s="44" t="s">
        <v>58</v>
      </c>
      <c r="F744" s="36" t="s">
        <v>38</v>
      </c>
      <c r="G744" s="36"/>
      <c r="H744" s="36"/>
      <c r="I744" s="36"/>
      <c r="J744" s="93"/>
      <c r="K744" s="36"/>
      <c r="L744" s="36"/>
      <c r="M744" s="36"/>
      <c r="N744" s="36"/>
      <c r="O744" s="44"/>
      <c r="P744" s="44"/>
    </row>
    <row r="745" spans="1:16" ht="15.75" customHeight="1" x14ac:dyDescent="0.35">
      <c r="A745" s="36"/>
      <c r="B745" s="44"/>
      <c r="C745" s="37"/>
      <c r="D745" s="38">
        <v>44638</v>
      </c>
      <c r="E745" s="44" t="s">
        <v>58</v>
      </c>
      <c r="F745" s="36" t="s">
        <v>39</v>
      </c>
      <c r="G745" s="36"/>
      <c r="H745" s="36"/>
      <c r="I745" s="36"/>
      <c r="J745" s="93">
        <v>158</v>
      </c>
      <c r="K745" s="36"/>
      <c r="L745" s="36">
        <f>32031-31998</f>
        <v>33</v>
      </c>
      <c r="M745" s="44">
        <v>186</v>
      </c>
      <c r="N745" s="44">
        <v>264</v>
      </c>
      <c r="O745" s="44">
        <v>-49</v>
      </c>
      <c r="P745" s="44"/>
    </row>
    <row r="746" spans="1:16" ht="15.75" customHeight="1" x14ac:dyDescent="0.35">
      <c r="A746" s="36"/>
      <c r="B746" s="44"/>
      <c r="C746" s="37"/>
      <c r="D746" s="38">
        <v>44639</v>
      </c>
      <c r="E746" s="44" t="s">
        <v>58</v>
      </c>
      <c r="F746" s="36" t="s">
        <v>23</v>
      </c>
      <c r="G746" s="36"/>
      <c r="H746" s="36"/>
      <c r="I746" s="36"/>
      <c r="J746" s="93">
        <v>158</v>
      </c>
      <c r="K746" s="36"/>
      <c r="L746" s="36">
        <f>32097-32066</f>
        <v>31</v>
      </c>
      <c r="M746" s="44">
        <v>178</v>
      </c>
      <c r="N746" s="44">
        <v>274</v>
      </c>
      <c r="O746" s="44"/>
      <c r="P746" s="44"/>
    </row>
    <row r="747" spans="1:16" ht="15.75" customHeight="1" x14ac:dyDescent="0.45">
      <c r="A747" s="59">
        <f>A739+1</f>
        <v>11</v>
      </c>
      <c r="B747" s="59">
        <f>SUM(B740:B746)</f>
        <v>560</v>
      </c>
      <c r="C747" s="81">
        <v>617.51</v>
      </c>
      <c r="D747" s="61"/>
      <c r="E747" s="13"/>
      <c r="F747" s="40" t="s">
        <v>28</v>
      </c>
      <c r="G747" s="40"/>
      <c r="H747" s="40"/>
      <c r="I747" s="40">
        <f>COUNT(J740:J746)</f>
        <v>5</v>
      </c>
      <c r="J747" s="41">
        <f t="shared" ref="J747:O747" si="88">SUM(J740:J746)</f>
        <v>790</v>
      </c>
      <c r="K747" s="42">
        <f t="shared" si="88"/>
        <v>0</v>
      </c>
      <c r="L747" s="42">
        <f t="shared" si="88"/>
        <v>140</v>
      </c>
      <c r="M747" s="42">
        <f t="shared" si="88"/>
        <v>897</v>
      </c>
      <c r="N747" s="42">
        <f t="shared" si="88"/>
        <v>1452</v>
      </c>
      <c r="O747" s="42">
        <f t="shared" si="88"/>
        <v>-92</v>
      </c>
      <c r="P747" s="62"/>
    </row>
    <row r="748" spans="1:16" ht="15.75" customHeight="1" x14ac:dyDescent="0.35">
      <c r="A748" s="18"/>
      <c r="B748" s="18"/>
      <c r="C748" s="19"/>
      <c r="D748" s="20">
        <v>44640</v>
      </c>
      <c r="E748" s="58" t="s">
        <v>58</v>
      </c>
      <c r="F748" s="18" t="s">
        <v>24</v>
      </c>
      <c r="G748" s="18"/>
      <c r="H748" s="18"/>
      <c r="I748" s="18"/>
      <c r="J748" s="90">
        <v>158</v>
      </c>
      <c r="K748" s="18"/>
      <c r="L748" s="18">
        <f>32161-32128</f>
        <v>33</v>
      </c>
      <c r="M748" s="58">
        <v>187</v>
      </c>
      <c r="N748" s="58">
        <v>289</v>
      </c>
      <c r="O748" s="58">
        <v>-49</v>
      </c>
      <c r="P748" s="58"/>
    </row>
    <row r="749" spans="1:16" ht="15.75" customHeight="1" x14ac:dyDescent="0.35">
      <c r="A749" s="18"/>
      <c r="B749" s="18">
        <f>J755</f>
        <v>790</v>
      </c>
      <c r="C749" s="19"/>
      <c r="D749" s="20">
        <v>44641</v>
      </c>
      <c r="E749" s="58" t="s">
        <v>58</v>
      </c>
      <c r="F749" s="18" t="s">
        <v>35</v>
      </c>
      <c r="G749" s="18"/>
      <c r="H749" s="18"/>
      <c r="I749" s="18"/>
      <c r="J749" s="90"/>
      <c r="K749" s="18"/>
      <c r="L749" s="18"/>
      <c r="M749" s="18"/>
      <c r="N749" s="18"/>
      <c r="O749" s="58"/>
      <c r="P749" s="58"/>
    </row>
    <row r="750" spans="1:16" ht="15.75" customHeight="1" x14ac:dyDescent="0.35">
      <c r="A750" s="18"/>
      <c r="B750" s="58">
        <v>-230</v>
      </c>
      <c r="C750" s="19"/>
      <c r="D750" s="20">
        <v>44642</v>
      </c>
      <c r="E750" s="58" t="s">
        <v>95</v>
      </c>
      <c r="F750" s="18" t="s">
        <v>36</v>
      </c>
      <c r="G750" s="18"/>
      <c r="H750" s="18"/>
      <c r="I750" s="18"/>
      <c r="J750" s="90">
        <v>158</v>
      </c>
      <c r="K750" s="18"/>
      <c r="L750" s="18">
        <f>32217-32193</f>
        <v>24</v>
      </c>
      <c r="M750" s="58">
        <v>185</v>
      </c>
      <c r="N750" s="58">
        <v>319</v>
      </c>
      <c r="O750" s="18"/>
      <c r="P750" s="58"/>
    </row>
    <row r="751" spans="1:16" ht="15.75" customHeight="1" x14ac:dyDescent="0.35">
      <c r="A751" s="18"/>
      <c r="B751" s="58"/>
      <c r="C751" s="19"/>
      <c r="D751" s="20">
        <v>44643</v>
      </c>
      <c r="E751" s="58" t="s">
        <v>58</v>
      </c>
      <c r="F751" s="18" t="s">
        <v>37</v>
      </c>
      <c r="G751" s="18"/>
      <c r="H751" s="18"/>
      <c r="I751" s="18"/>
      <c r="J751" s="90">
        <v>158</v>
      </c>
      <c r="K751" s="18"/>
      <c r="L751" s="18">
        <f>32275-32248</f>
        <v>27</v>
      </c>
      <c r="M751" s="58">
        <v>187</v>
      </c>
      <c r="N751" s="58">
        <v>358</v>
      </c>
      <c r="O751" s="58"/>
      <c r="P751" s="58"/>
    </row>
    <row r="752" spans="1:16" ht="15.75" customHeight="1" x14ac:dyDescent="0.35">
      <c r="A752" s="18"/>
      <c r="B752" s="18"/>
      <c r="C752" s="19"/>
      <c r="D752" s="20">
        <v>44644</v>
      </c>
      <c r="E752" s="58" t="s">
        <v>58</v>
      </c>
      <c r="F752" s="18" t="s">
        <v>38</v>
      </c>
      <c r="G752" s="18"/>
      <c r="H752" s="18"/>
      <c r="I752" s="18"/>
      <c r="J752" s="90">
        <v>158</v>
      </c>
      <c r="K752" s="18"/>
      <c r="L752" s="18">
        <f>32336-32307</f>
        <v>29</v>
      </c>
      <c r="M752" s="58">
        <v>186</v>
      </c>
      <c r="N752" s="58">
        <v>349</v>
      </c>
      <c r="O752" s="58">
        <v>-43</v>
      </c>
      <c r="P752" s="58"/>
    </row>
    <row r="753" spans="1:16" ht="15.75" customHeight="1" x14ac:dyDescent="0.35">
      <c r="A753" s="18"/>
      <c r="B753" s="18"/>
      <c r="C753" s="19"/>
      <c r="D753" s="20">
        <v>44645</v>
      </c>
      <c r="E753" s="58" t="s">
        <v>95</v>
      </c>
      <c r="F753" s="18" t="s">
        <v>39</v>
      </c>
      <c r="G753" s="18"/>
      <c r="H753" s="18"/>
      <c r="I753" s="18"/>
      <c r="J753" s="90"/>
      <c r="K753" s="18"/>
      <c r="L753" s="18"/>
      <c r="M753" s="18"/>
      <c r="N753" s="18"/>
      <c r="O753" s="58"/>
      <c r="P753" s="58"/>
    </row>
    <row r="754" spans="1:16" ht="15.75" customHeight="1" x14ac:dyDescent="0.35">
      <c r="A754" s="18"/>
      <c r="B754" s="18"/>
      <c r="C754" s="19"/>
      <c r="D754" s="20">
        <v>44646</v>
      </c>
      <c r="E754" s="58" t="s">
        <v>95</v>
      </c>
      <c r="F754" s="18" t="s">
        <v>23</v>
      </c>
      <c r="G754" s="18"/>
      <c r="H754" s="18"/>
      <c r="I754" s="18"/>
      <c r="J754" s="90">
        <v>158</v>
      </c>
      <c r="K754" s="18"/>
      <c r="L754" s="18">
        <f>32394-32369</f>
        <v>25</v>
      </c>
      <c r="M754" s="58">
        <v>179</v>
      </c>
      <c r="N754" s="58">
        <v>315</v>
      </c>
      <c r="O754" s="18"/>
      <c r="P754" s="58"/>
    </row>
    <row r="755" spans="1:16" ht="15.75" customHeight="1" x14ac:dyDescent="0.45">
      <c r="A755" s="59">
        <f>A747+1</f>
        <v>12</v>
      </c>
      <c r="B755" s="59">
        <f>SUM(B748:B754)</f>
        <v>560</v>
      </c>
      <c r="C755" s="81">
        <v>617.5</v>
      </c>
      <c r="D755" s="61"/>
      <c r="E755" s="13"/>
      <c r="F755" s="40" t="s">
        <v>28</v>
      </c>
      <c r="G755" s="40"/>
      <c r="H755" s="40"/>
      <c r="I755" s="40">
        <f>COUNT(J748:J754)</f>
        <v>5</v>
      </c>
      <c r="J755" s="41">
        <f t="shared" ref="J755:O755" si="89">SUM(J748:J754)</f>
        <v>790</v>
      </c>
      <c r="K755" s="42">
        <f t="shared" si="89"/>
        <v>0</v>
      </c>
      <c r="L755" s="42">
        <f t="shared" si="89"/>
        <v>138</v>
      </c>
      <c r="M755" s="42">
        <f t="shared" si="89"/>
        <v>924</v>
      </c>
      <c r="N755" s="42">
        <f t="shared" si="89"/>
        <v>1630</v>
      </c>
      <c r="O755" s="42">
        <f t="shared" si="89"/>
        <v>-92</v>
      </c>
      <c r="P755" s="62"/>
    </row>
    <row r="756" spans="1:16" ht="15.75" customHeight="1" x14ac:dyDescent="0.35">
      <c r="A756" s="36"/>
      <c r="B756" s="44"/>
      <c r="C756" s="37"/>
      <c r="D756" s="38">
        <v>44647</v>
      </c>
      <c r="E756" s="44" t="s">
        <v>58</v>
      </c>
      <c r="F756" s="36" t="s">
        <v>24</v>
      </c>
      <c r="G756" s="36"/>
      <c r="H756" s="36"/>
      <c r="I756" s="36"/>
      <c r="J756" s="93">
        <v>158</v>
      </c>
      <c r="K756" s="36"/>
      <c r="L756" s="36">
        <f>32457-32430</f>
        <v>27</v>
      </c>
      <c r="M756" s="44">
        <v>187</v>
      </c>
      <c r="N756" s="44">
        <v>305</v>
      </c>
      <c r="O756" s="44">
        <v>-39</v>
      </c>
      <c r="P756" s="44"/>
    </row>
    <row r="757" spans="1:16" ht="15.75" customHeight="1" x14ac:dyDescent="0.35">
      <c r="A757" s="36"/>
      <c r="B757" s="44">
        <f>J763</f>
        <v>790</v>
      </c>
      <c r="C757" s="37"/>
      <c r="D757" s="38">
        <v>44648</v>
      </c>
      <c r="E757" s="44" t="s">
        <v>58</v>
      </c>
      <c r="F757" s="36" t="s">
        <v>35</v>
      </c>
      <c r="G757" s="36"/>
      <c r="H757" s="36"/>
      <c r="I757" s="36"/>
      <c r="J757" s="93"/>
      <c r="K757" s="36"/>
      <c r="L757" s="36"/>
      <c r="M757" s="36"/>
      <c r="N757" s="36"/>
      <c r="O757" s="44"/>
      <c r="P757" s="44"/>
    </row>
    <row r="758" spans="1:16" ht="15.75" customHeight="1" x14ac:dyDescent="0.35">
      <c r="A758" s="36"/>
      <c r="B758" s="44">
        <v>-230</v>
      </c>
      <c r="C758" s="37"/>
      <c r="D758" s="38">
        <v>44649</v>
      </c>
      <c r="E758" s="44" t="s">
        <v>58</v>
      </c>
      <c r="F758" s="36" t="s">
        <v>36</v>
      </c>
      <c r="G758" s="36"/>
      <c r="H758" s="36"/>
      <c r="I758" s="36"/>
      <c r="J758" s="93"/>
      <c r="K758" s="36"/>
      <c r="L758" s="36"/>
      <c r="M758" s="36"/>
      <c r="N758" s="36"/>
      <c r="O758" s="44"/>
      <c r="P758" s="44"/>
    </row>
    <row r="759" spans="1:16" ht="15.75" customHeight="1" x14ac:dyDescent="0.35">
      <c r="A759" s="36"/>
      <c r="B759" s="44"/>
      <c r="C759" s="37"/>
      <c r="D759" s="38">
        <v>44650</v>
      </c>
      <c r="E759" s="44" t="s">
        <v>58</v>
      </c>
      <c r="F759" s="36" t="s">
        <v>37</v>
      </c>
      <c r="G759" s="36"/>
      <c r="H759" s="36"/>
      <c r="I759" s="36"/>
      <c r="J759" s="93">
        <v>158</v>
      </c>
      <c r="K759" s="36"/>
      <c r="L759" s="36">
        <f>32594-32560</f>
        <v>34</v>
      </c>
      <c r="M759" s="44">
        <v>184</v>
      </c>
      <c r="N759" s="44">
        <v>329</v>
      </c>
      <c r="O759" s="44">
        <v>-23</v>
      </c>
      <c r="P759" s="44"/>
    </row>
    <row r="760" spans="1:16" ht="15.75" customHeight="1" x14ac:dyDescent="0.35">
      <c r="A760" s="36"/>
      <c r="B760" s="44"/>
      <c r="C760" s="37"/>
      <c r="D760" s="38">
        <v>44651</v>
      </c>
      <c r="E760" s="44" t="s">
        <v>58</v>
      </c>
      <c r="F760" s="36" t="s">
        <v>38</v>
      </c>
      <c r="G760" s="36"/>
      <c r="H760" s="36"/>
      <c r="I760" s="36"/>
      <c r="J760" s="93">
        <v>158</v>
      </c>
      <c r="K760" s="36"/>
      <c r="L760" s="36">
        <f>32637-32623</f>
        <v>14</v>
      </c>
      <c r="M760" s="44">
        <v>185</v>
      </c>
      <c r="N760" s="44">
        <v>337</v>
      </c>
      <c r="O760" s="44"/>
      <c r="P760" s="44"/>
    </row>
    <row r="761" spans="1:16" ht="15.75" customHeight="1" x14ac:dyDescent="0.35">
      <c r="A761" s="36"/>
      <c r="B761" s="44"/>
      <c r="C761" s="37"/>
      <c r="D761" s="38">
        <v>44652</v>
      </c>
      <c r="E761" s="44" t="s">
        <v>58</v>
      </c>
      <c r="F761" s="36" t="s">
        <v>39</v>
      </c>
      <c r="G761" s="36"/>
      <c r="H761" s="36"/>
      <c r="I761" s="36"/>
      <c r="J761" s="93">
        <v>158</v>
      </c>
      <c r="K761" s="36"/>
      <c r="L761" s="36">
        <f>32701-32670</f>
        <v>31</v>
      </c>
      <c r="M761" s="44">
        <v>187</v>
      </c>
      <c r="N761" s="44">
        <v>296</v>
      </c>
      <c r="O761" s="44">
        <v>-43</v>
      </c>
      <c r="P761" s="44"/>
    </row>
    <row r="762" spans="1:16" ht="15.75" customHeight="1" x14ac:dyDescent="0.35">
      <c r="A762" s="36"/>
      <c r="B762" s="44"/>
      <c r="C762" s="37"/>
      <c r="D762" s="38">
        <v>44653</v>
      </c>
      <c r="E762" s="44" t="s">
        <v>58</v>
      </c>
      <c r="F762" s="36" t="s">
        <v>23</v>
      </c>
      <c r="G762" s="36"/>
      <c r="H762" s="36"/>
      <c r="I762" s="36"/>
      <c r="J762" s="93">
        <v>158</v>
      </c>
      <c r="K762" s="36"/>
      <c r="L762" s="36">
        <f>32762-32737</f>
        <v>25</v>
      </c>
      <c r="M762" s="44">
        <v>186</v>
      </c>
      <c r="N762" s="44">
        <v>326</v>
      </c>
      <c r="O762" s="44"/>
      <c r="P762" s="44"/>
    </row>
    <row r="763" spans="1:16" ht="15.75" customHeight="1" x14ac:dyDescent="0.45">
      <c r="A763" s="59">
        <f>A755+1</f>
        <v>13</v>
      </c>
      <c r="B763" s="59">
        <f>SUM(B756:B762)</f>
        <v>560</v>
      </c>
      <c r="C763" s="81">
        <v>616.14</v>
      </c>
      <c r="D763" s="61"/>
      <c r="E763" s="13"/>
      <c r="F763" s="40" t="s">
        <v>28</v>
      </c>
      <c r="G763" s="40"/>
      <c r="H763" s="40"/>
      <c r="I763" s="40">
        <f>COUNT(J756:J762)</f>
        <v>5</v>
      </c>
      <c r="J763" s="41">
        <f t="shared" ref="J763:O763" si="90">SUM(J756:J762)</f>
        <v>790</v>
      </c>
      <c r="K763" s="42">
        <f t="shared" si="90"/>
        <v>0</v>
      </c>
      <c r="L763" s="42">
        <f t="shared" si="90"/>
        <v>131</v>
      </c>
      <c r="M763" s="42">
        <f t="shared" si="90"/>
        <v>929</v>
      </c>
      <c r="N763" s="42">
        <f t="shared" si="90"/>
        <v>1593</v>
      </c>
      <c r="O763" s="42">
        <f t="shared" si="90"/>
        <v>-105</v>
      </c>
      <c r="P763" s="62"/>
    </row>
    <row r="764" spans="1:16" ht="15.75" customHeight="1" x14ac:dyDescent="0.35">
      <c r="A764" s="18"/>
      <c r="B764" s="18"/>
      <c r="C764" s="19"/>
      <c r="D764" s="20">
        <v>44654</v>
      </c>
      <c r="E764" s="58" t="s">
        <v>58</v>
      </c>
      <c r="F764" s="18" t="s">
        <v>24</v>
      </c>
      <c r="G764" s="18"/>
      <c r="H764" s="18"/>
      <c r="I764" s="18"/>
      <c r="J764" s="90">
        <v>158</v>
      </c>
      <c r="K764" s="18"/>
      <c r="L764" s="18">
        <f>32820-32794</f>
        <v>26</v>
      </c>
      <c r="M764" s="58">
        <v>181</v>
      </c>
      <c r="N764" s="58">
        <v>302</v>
      </c>
      <c r="O764" s="58">
        <v>-21</v>
      </c>
      <c r="P764" s="58"/>
    </row>
    <row r="765" spans="1:16" ht="15.75" customHeight="1" x14ac:dyDescent="0.35">
      <c r="A765" s="18"/>
      <c r="B765" s="18"/>
      <c r="C765" s="19"/>
      <c r="D765" s="20">
        <v>44655</v>
      </c>
      <c r="E765" s="58" t="s">
        <v>58</v>
      </c>
      <c r="F765" s="18" t="s">
        <v>35</v>
      </c>
      <c r="G765" s="18"/>
      <c r="H765" s="18"/>
      <c r="I765" s="18"/>
      <c r="J765" s="90"/>
      <c r="K765" s="18"/>
      <c r="L765" s="18"/>
      <c r="M765" s="58"/>
      <c r="N765" s="58"/>
      <c r="O765" s="58"/>
      <c r="P765" s="58"/>
    </row>
    <row r="766" spans="1:16" ht="15.75" customHeight="1" x14ac:dyDescent="0.35">
      <c r="A766" s="18"/>
      <c r="B766" s="18">
        <f>J771</f>
        <v>790</v>
      </c>
      <c r="C766" s="19"/>
      <c r="D766" s="20">
        <v>44656</v>
      </c>
      <c r="E766" s="58" t="s">
        <v>58</v>
      </c>
      <c r="F766" s="18" t="s">
        <v>36</v>
      </c>
      <c r="G766" s="18"/>
      <c r="H766" s="18"/>
      <c r="I766" s="18"/>
      <c r="J766" s="90">
        <v>158</v>
      </c>
      <c r="K766" s="18"/>
      <c r="L766" s="18">
        <f>32882-32852</f>
        <v>30</v>
      </c>
      <c r="M766" s="58">
        <v>173</v>
      </c>
      <c r="N766" s="58">
        <v>283</v>
      </c>
      <c r="O766" s="18"/>
      <c r="P766" s="58"/>
    </row>
    <row r="767" spans="1:16" ht="15.75" customHeight="1" x14ac:dyDescent="0.35">
      <c r="A767" s="18"/>
      <c r="B767" s="58">
        <v>-230</v>
      </c>
      <c r="C767" s="19"/>
      <c r="D767" s="20">
        <v>44657</v>
      </c>
      <c r="E767" s="58" t="s">
        <v>58</v>
      </c>
      <c r="F767" s="18" t="s">
        <v>37</v>
      </c>
      <c r="G767" s="18"/>
      <c r="H767" s="18"/>
      <c r="I767" s="18"/>
      <c r="J767" s="90">
        <v>158</v>
      </c>
      <c r="K767" s="18"/>
      <c r="L767" s="18">
        <f>32939-32913</f>
        <v>26</v>
      </c>
      <c r="M767" s="58">
        <v>185</v>
      </c>
      <c r="N767" s="58">
        <v>329</v>
      </c>
      <c r="O767" s="58">
        <v>-43</v>
      </c>
      <c r="P767" s="58"/>
    </row>
    <row r="768" spans="1:16" ht="15.75" customHeight="1" x14ac:dyDescent="0.35">
      <c r="A768" s="18"/>
      <c r="B768" s="18"/>
      <c r="C768" s="19"/>
      <c r="D768" s="20">
        <v>44658</v>
      </c>
      <c r="E768" s="58" t="s">
        <v>58</v>
      </c>
      <c r="F768" s="18" t="s">
        <v>38</v>
      </c>
      <c r="G768" s="18"/>
      <c r="H768" s="18"/>
      <c r="I768" s="18"/>
      <c r="J768" s="90">
        <v>158</v>
      </c>
      <c r="K768" s="18"/>
      <c r="L768" s="18">
        <f>32996-32972</f>
        <v>24</v>
      </c>
      <c r="M768" s="58">
        <v>187</v>
      </c>
      <c r="N768" s="58">
        <v>309</v>
      </c>
      <c r="O768" s="18"/>
      <c r="P768" s="58"/>
    </row>
    <row r="769" spans="1:16" ht="15.75" customHeight="1" x14ac:dyDescent="0.35">
      <c r="A769" s="18"/>
      <c r="B769" s="18"/>
      <c r="C769" s="19"/>
      <c r="D769" s="20">
        <v>44659</v>
      </c>
      <c r="E769" s="58" t="s">
        <v>58</v>
      </c>
      <c r="F769" s="18" t="s">
        <v>39</v>
      </c>
      <c r="G769" s="18"/>
      <c r="H769" s="18"/>
      <c r="I769" s="18"/>
      <c r="J769" s="90">
        <v>158</v>
      </c>
      <c r="K769" s="18"/>
      <c r="L769" s="58">
        <v>26</v>
      </c>
      <c r="M769" s="58">
        <v>185</v>
      </c>
      <c r="N769" s="58">
        <v>311</v>
      </c>
      <c r="O769" s="58"/>
      <c r="P769" s="58"/>
    </row>
    <row r="770" spans="1:16" ht="15.75" customHeight="1" x14ac:dyDescent="0.35">
      <c r="A770" s="18"/>
      <c r="B770" s="18"/>
      <c r="C770" s="19"/>
      <c r="D770" s="20">
        <v>44660</v>
      </c>
      <c r="E770" s="58" t="s">
        <v>58</v>
      </c>
      <c r="F770" s="18" t="s">
        <v>23</v>
      </c>
      <c r="G770" s="18"/>
      <c r="H770" s="18"/>
      <c r="I770" s="18"/>
      <c r="J770" s="90"/>
      <c r="K770" s="18"/>
      <c r="L770" s="18"/>
      <c r="M770" s="18"/>
      <c r="N770" s="18"/>
      <c r="O770" s="18"/>
      <c r="P770" s="58"/>
    </row>
    <row r="771" spans="1:16" ht="15.75" customHeight="1" x14ac:dyDescent="0.45">
      <c r="A771" s="59">
        <f>A763+1</f>
        <v>14</v>
      </c>
      <c r="B771" s="59">
        <f>SUM(B764:B770)</f>
        <v>560</v>
      </c>
      <c r="C771" s="60"/>
      <c r="D771" s="61"/>
      <c r="E771" s="13"/>
      <c r="F771" s="40" t="s">
        <v>28</v>
      </c>
      <c r="G771" s="40"/>
      <c r="H771" s="40"/>
      <c r="I771" s="40">
        <f>COUNT(J764:J770)</f>
        <v>5</v>
      </c>
      <c r="J771" s="41">
        <f t="shared" ref="J771:O771" si="91">SUM(J764:J770)</f>
        <v>790</v>
      </c>
      <c r="K771" s="42">
        <f t="shared" si="91"/>
        <v>0</v>
      </c>
      <c r="L771" s="42">
        <f t="shared" si="91"/>
        <v>132</v>
      </c>
      <c r="M771" s="42">
        <f t="shared" si="91"/>
        <v>911</v>
      </c>
      <c r="N771" s="42">
        <f t="shared" si="91"/>
        <v>1534</v>
      </c>
      <c r="O771" s="42">
        <f t="shared" si="91"/>
        <v>-64</v>
      </c>
      <c r="P771" s="62"/>
    </row>
    <row r="772" spans="1:16" ht="15.75" customHeight="1" x14ac:dyDescent="0.35">
      <c r="A772" s="36"/>
      <c r="B772" s="44"/>
      <c r="C772" s="37"/>
      <c r="D772" s="38">
        <v>44661</v>
      </c>
      <c r="E772" s="44" t="s">
        <v>58</v>
      </c>
      <c r="F772" s="36" t="s">
        <v>24</v>
      </c>
      <c r="G772" s="36"/>
      <c r="H772" s="36"/>
      <c r="I772" s="36"/>
      <c r="J772" s="93">
        <v>158</v>
      </c>
      <c r="K772" s="36"/>
      <c r="L772" s="36">
        <f>33122-33096</f>
        <v>26</v>
      </c>
      <c r="M772" s="44">
        <v>179</v>
      </c>
      <c r="N772" s="44">
        <v>298</v>
      </c>
      <c r="O772" s="44"/>
      <c r="P772" s="44"/>
    </row>
    <row r="773" spans="1:16" ht="15.75" customHeight="1" x14ac:dyDescent="0.35">
      <c r="A773" s="36"/>
      <c r="B773" s="44"/>
      <c r="C773" s="37"/>
      <c r="D773" s="38">
        <v>44662</v>
      </c>
      <c r="E773" s="44" t="s">
        <v>58</v>
      </c>
      <c r="F773" s="36" t="s">
        <v>35</v>
      </c>
      <c r="G773" s="36"/>
      <c r="H773" s="36"/>
      <c r="I773" s="36"/>
      <c r="J773" s="93">
        <v>158</v>
      </c>
      <c r="K773" s="36"/>
      <c r="L773" s="36">
        <f>33188-33154</f>
        <v>34</v>
      </c>
      <c r="M773" s="44">
        <v>182</v>
      </c>
      <c r="N773" s="44">
        <v>302</v>
      </c>
      <c r="O773" s="44">
        <v>-17</v>
      </c>
      <c r="P773" s="44"/>
    </row>
    <row r="774" spans="1:16" ht="15.75" customHeight="1" x14ac:dyDescent="0.35">
      <c r="A774" s="36"/>
      <c r="B774" s="44"/>
      <c r="C774" s="37"/>
      <c r="D774" s="38">
        <v>44663</v>
      </c>
      <c r="E774" s="44" t="s">
        <v>58</v>
      </c>
      <c r="F774" s="36" t="s">
        <v>36</v>
      </c>
      <c r="G774" s="36"/>
      <c r="H774" s="36"/>
      <c r="I774" s="36"/>
      <c r="J774" s="93"/>
      <c r="K774" s="36"/>
      <c r="L774" s="36"/>
      <c r="M774" s="36"/>
      <c r="N774" s="36"/>
      <c r="O774" s="44"/>
      <c r="P774" s="44"/>
    </row>
    <row r="775" spans="1:16" ht="15.75" customHeight="1" x14ac:dyDescent="0.35">
      <c r="A775" s="36"/>
      <c r="B775" s="44">
        <f>J779</f>
        <v>790</v>
      </c>
      <c r="C775" s="37"/>
      <c r="D775" s="38">
        <v>44664</v>
      </c>
      <c r="E775" s="44" t="s">
        <v>58</v>
      </c>
      <c r="F775" s="36" t="s">
        <v>37</v>
      </c>
      <c r="G775" s="36"/>
      <c r="H775" s="36"/>
      <c r="I775" s="36"/>
      <c r="J775" s="93">
        <v>158</v>
      </c>
      <c r="K775" s="36"/>
      <c r="L775" s="36">
        <f>33252-33227</f>
        <v>25</v>
      </c>
      <c r="M775" s="44">
        <v>173</v>
      </c>
      <c r="N775" s="44">
        <v>324</v>
      </c>
      <c r="O775" s="44">
        <v>-43</v>
      </c>
      <c r="P775" s="44"/>
    </row>
    <row r="776" spans="1:16" ht="15.75" customHeight="1" x14ac:dyDescent="0.35">
      <c r="A776" s="36"/>
      <c r="B776" s="44">
        <v>-230</v>
      </c>
      <c r="C776" s="37"/>
      <c r="D776" s="38">
        <v>44665</v>
      </c>
      <c r="E776" s="44" t="s">
        <v>58</v>
      </c>
      <c r="F776" s="36" t="s">
        <v>38</v>
      </c>
      <c r="G776" s="36"/>
      <c r="H776" s="36"/>
      <c r="I776" s="36"/>
      <c r="J776" s="93">
        <v>158</v>
      </c>
      <c r="K776" s="36"/>
      <c r="L776" s="36">
        <f>33306-33283</f>
        <v>23</v>
      </c>
      <c r="M776" s="44">
        <v>176</v>
      </c>
      <c r="N776" s="44">
        <v>335</v>
      </c>
      <c r="O776" s="44"/>
      <c r="P776" s="44"/>
    </row>
    <row r="777" spans="1:16" ht="15.75" customHeight="1" x14ac:dyDescent="0.35">
      <c r="A777" s="36"/>
      <c r="B777" s="44"/>
      <c r="C777" s="37"/>
      <c r="D777" s="38">
        <v>44666</v>
      </c>
      <c r="E777" s="44" t="s">
        <v>58</v>
      </c>
      <c r="F777" s="36" t="s">
        <v>39</v>
      </c>
      <c r="G777" s="36"/>
      <c r="H777" s="36"/>
      <c r="I777" s="36"/>
      <c r="J777" s="93"/>
      <c r="K777" s="36"/>
      <c r="L777" s="36"/>
      <c r="M777" s="36"/>
      <c r="N777" s="36"/>
      <c r="O777" s="44"/>
      <c r="P777" s="44"/>
    </row>
    <row r="778" spans="1:16" ht="15.75" customHeight="1" x14ac:dyDescent="0.35">
      <c r="A778" s="36"/>
      <c r="B778" s="44"/>
      <c r="C778" s="37"/>
      <c r="D778" s="38">
        <v>44667</v>
      </c>
      <c r="E778" s="44" t="s">
        <v>58</v>
      </c>
      <c r="F778" s="36" t="s">
        <v>23</v>
      </c>
      <c r="G778" s="36"/>
      <c r="H778" s="36"/>
      <c r="I778" s="36"/>
      <c r="J778" s="93">
        <v>158</v>
      </c>
      <c r="K778" s="36"/>
      <c r="L778" s="36">
        <f>33363-33340</f>
        <v>23</v>
      </c>
      <c r="M778" s="44">
        <v>174</v>
      </c>
      <c r="N778" s="44">
        <v>293</v>
      </c>
      <c r="O778" s="44"/>
      <c r="P778" s="44"/>
    </row>
    <row r="779" spans="1:16" ht="15.75" customHeight="1" x14ac:dyDescent="0.45">
      <c r="A779" s="59">
        <f>A771+1</f>
        <v>15</v>
      </c>
      <c r="B779" s="59">
        <f>SUM(B772:B778)</f>
        <v>560</v>
      </c>
      <c r="C779" s="60"/>
      <c r="D779" s="61"/>
      <c r="E779" s="13"/>
      <c r="F779" s="40" t="s">
        <v>28</v>
      </c>
      <c r="G779" s="40"/>
      <c r="H779" s="40"/>
      <c r="I779" s="40">
        <f>COUNT(J772:J778)</f>
        <v>5</v>
      </c>
      <c r="J779" s="41">
        <f t="shared" ref="J779:O779" si="92">SUM(J772:J778)</f>
        <v>790</v>
      </c>
      <c r="K779" s="42">
        <f t="shared" si="92"/>
        <v>0</v>
      </c>
      <c r="L779" s="42">
        <f t="shared" si="92"/>
        <v>131</v>
      </c>
      <c r="M779" s="42">
        <f t="shared" si="92"/>
        <v>884</v>
      </c>
      <c r="N779" s="42">
        <f t="shared" si="92"/>
        <v>1552</v>
      </c>
      <c r="O779" s="42">
        <f t="shared" si="92"/>
        <v>-60</v>
      </c>
      <c r="P779" s="62"/>
    </row>
    <row r="780" spans="1:16" ht="15.75" customHeight="1" x14ac:dyDescent="0.35">
      <c r="A780" s="18"/>
      <c r="B780" s="18"/>
      <c r="C780" s="19"/>
      <c r="D780" s="20">
        <v>44668</v>
      </c>
      <c r="E780" s="58" t="s">
        <v>58</v>
      </c>
      <c r="F780" s="18" t="s">
        <v>24</v>
      </c>
      <c r="G780" s="18"/>
      <c r="H780" s="18"/>
      <c r="I780" s="18"/>
      <c r="J780" s="90">
        <v>158</v>
      </c>
      <c r="K780" s="18"/>
      <c r="L780" s="18">
        <f>(33436-33394)-12</f>
        <v>30</v>
      </c>
      <c r="M780" s="58">
        <v>164</v>
      </c>
      <c r="N780" s="58">
        <v>260</v>
      </c>
      <c r="O780" s="58">
        <v>-23</v>
      </c>
      <c r="P780" s="58"/>
    </row>
    <row r="781" spans="1:16" ht="15.75" customHeight="1" x14ac:dyDescent="0.35">
      <c r="A781" s="18"/>
      <c r="B781" s="18"/>
      <c r="C781" s="19"/>
      <c r="D781" s="20">
        <v>44669</v>
      </c>
      <c r="E781" s="58" t="s">
        <v>58</v>
      </c>
      <c r="F781" s="18" t="s">
        <v>35</v>
      </c>
      <c r="G781" s="18"/>
      <c r="H781" s="18"/>
      <c r="I781" s="18"/>
      <c r="J781" s="90"/>
      <c r="K781" s="18"/>
      <c r="L781" s="18"/>
      <c r="M781" s="18"/>
      <c r="N781" s="18"/>
      <c r="O781" s="58"/>
      <c r="P781" s="58"/>
    </row>
    <row r="782" spans="1:16" ht="15.75" customHeight="1" x14ac:dyDescent="0.35">
      <c r="A782" s="18"/>
      <c r="B782" s="18">
        <f>J787</f>
        <v>790</v>
      </c>
      <c r="C782" s="19"/>
      <c r="D782" s="20">
        <v>44670</v>
      </c>
      <c r="E782" s="58" t="s">
        <v>58</v>
      </c>
      <c r="F782" s="18" t="s">
        <v>36</v>
      </c>
      <c r="G782" s="18"/>
      <c r="H782" s="18"/>
      <c r="I782" s="18"/>
      <c r="J782" s="90">
        <v>158</v>
      </c>
      <c r="K782" s="18"/>
      <c r="L782" s="18">
        <f>33498-33466</f>
        <v>32</v>
      </c>
      <c r="M782" s="58">
        <v>188</v>
      </c>
      <c r="N782" s="58">
        <v>302</v>
      </c>
      <c r="O782" s="58">
        <v>-43</v>
      </c>
      <c r="P782" s="58"/>
    </row>
    <row r="783" spans="1:16" ht="15.75" customHeight="1" x14ac:dyDescent="0.35">
      <c r="A783" s="18"/>
      <c r="B783" s="58">
        <v>-230</v>
      </c>
      <c r="C783" s="19"/>
      <c r="D783" s="20">
        <v>44671</v>
      </c>
      <c r="E783" s="58" t="s">
        <v>58</v>
      </c>
      <c r="F783" s="18" t="s">
        <v>37</v>
      </c>
      <c r="G783" s="18"/>
      <c r="H783" s="18"/>
      <c r="I783" s="18"/>
      <c r="J783" s="90">
        <v>158</v>
      </c>
      <c r="K783" s="18"/>
      <c r="L783" s="18">
        <f>33557-33535</f>
        <v>22</v>
      </c>
      <c r="M783" s="58">
        <v>181</v>
      </c>
      <c r="N783" s="58">
        <v>321</v>
      </c>
      <c r="O783" s="58"/>
      <c r="P783" s="58"/>
    </row>
    <row r="784" spans="1:16" ht="15.75" customHeight="1" x14ac:dyDescent="0.35">
      <c r="A784" s="18"/>
      <c r="B784" s="18"/>
      <c r="C784" s="19"/>
      <c r="D784" s="20">
        <v>44672</v>
      </c>
      <c r="E784" s="58" t="s">
        <v>58</v>
      </c>
      <c r="F784" s="18" t="s">
        <v>38</v>
      </c>
      <c r="G784" s="18"/>
      <c r="H784" s="18"/>
      <c r="I784" s="18"/>
      <c r="J784" s="90">
        <v>158</v>
      </c>
      <c r="K784" s="18"/>
      <c r="L784" s="18">
        <f>33622-33596</f>
        <v>26</v>
      </c>
      <c r="M784" s="58">
        <v>187</v>
      </c>
      <c r="N784" s="58">
        <v>317</v>
      </c>
      <c r="O784" s="18"/>
      <c r="P784" s="58"/>
    </row>
    <row r="785" spans="1:16" ht="15.75" customHeight="1" x14ac:dyDescent="0.35">
      <c r="A785" s="18"/>
      <c r="B785" s="18"/>
      <c r="C785" s="19"/>
      <c r="D785" s="20">
        <v>44673</v>
      </c>
      <c r="E785" s="58" t="s">
        <v>58</v>
      </c>
      <c r="F785" s="18" t="s">
        <v>39</v>
      </c>
      <c r="G785" s="18"/>
      <c r="H785" s="18"/>
      <c r="I785" s="18"/>
      <c r="J785" s="90"/>
      <c r="K785" s="18"/>
      <c r="L785" s="18"/>
      <c r="M785" s="18"/>
      <c r="N785" s="18"/>
      <c r="O785" s="58"/>
      <c r="P785" s="58"/>
    </row>
    <row r="786" spans="1:16" ht="15.75" customHeight="1" x14ac:dyDescent="0.35">
      <c r="A786" s="18"/>
      <c r="B786" s="18"/>
      <c r="C786" s="19"/>
      <c r="D786" s="20">
        <v>44674</v>
      </c>
      <c r="E786" s="58" t="s">
        <v>58</v>
      </c>
      <c r="F786" s="18" t="s">
        <v>23</v>
      </c>
      <c r="G786" s="18"/>
      <c r="H786" s="18"/>
      <c r="I786" s="18"/>
      <c r="J786" s="90">
        <v>158</v>
      </c>
      <c r="K786" s="18"/>
      <c r="L786" s="18"/>
      <c r="M786" s="18"/>
      <c r="N786" s="18"/>
      <c r="O786" s="18"/>
      <c r="P786" s="58"/>
    </row>
    <row r="787" spans="1:16" ht="15.75" customHeight="1" x14ac:dyDescent="0.45">
      <c r="A787" s="59">
        <f>A779+1</f>
        <v>16</v>
      </c>
      <c r="B787" s="59">
        <f>SUM(B780:B786)</f>
        <v>560</v>
      </c>
      <c r="C787" s="60"/>
      <c r="D787" s="61"/>
      <c r="E787" s="13"/>
      <c r="F787" s="40" t="s">
        <v>28</v>
      </c>
      <c r="G787" s="40"/>
      <c r="H787" s="40"/>
      <c r="I787" s="40">
        <f>COUNT(J780:J786)</f>
        <v>5</v>
      </c>
      <c r="J787" s="41">
        <f t="shared" ref="J787:O787" si="93">SUM(J780:J786)</f>
        <v>790</v>
      </c>
      <c r="K787" s="42">
        <f t="shared" si="93"/>
        <v>0</v>
      </c>
      <c r="L787" s="42">
        <f t="shared" si="93"/>
        <v>110</v>
      </c>
      <c r="M787" s="42">
        <f t="shared" si="93"/>
        <v>720</v>
      </c>
      <c r="N787" s="42">
        <f t="shared" si="93"/>
        <v>1200</v>
      </c>
      <c r="O787" s="42">
        <f t="shared" si="93"/>
        <v>-66</v>
      </c>
      <c r="P787" s="62"/>
    </row>
    <row r="788" spans="1:16" ht="15.75" customHeight="1" x14ac:dyDescent="0.35">
      <c r="A788" s="36"/>
      <c r="B788" s="44"/>
      <c r="C788" s="37"/>
      <c r="D788" s="38">
        <v>44675</v>
      </c>
      <c r="E788" s="44" t="s">
        <v>58</v>
      </c>
      <c r="F788" s="36" t="s">
        <v>24</v>
      </c>
      <c r="G788" s="36"/>
      <c r="H788" s="36"/>
      <c r="I788" s="36"/>
      <c r="J788" s="93"/>
      <c r="K788" s="36"/>
      <c r="L788" s="36"/>
      <c r="M788" s="36"/>
      <c r="N788" s="36"/>
      <c r="O788" s="44"/>
      <c r="P788" s="44"/>
    </row>
    <row r="789" spans="1:16" ht="15.75" customHeight="1" x14ac:dyDescent="0.35">
      <c r="A789" s="36"/>
      <c r="B789" s="44"/>
      <c r="C789" s="37"/>
      <c r="D789" s="38">
        <v>44676</v>
      </c>
      <c r="E789" s="44" t="s">
        <v>58</v>
      </c>
      <c r="F789" s="36" t="s">
        <v>35</v>
      </c>
      <c r="G789" s="36"/>
      <c r="H789" s="36"/>
      <c r="I789" s="36"/>
      <c r="J789" s="93"/>
      <c r="K789" s="36"/>
      <c r="L789" s="36"/>
      <c r="M789" s="36"/>
      <c r="N789" s="36"/>
      <c r="O789" s="44"/>
      <c r="P789" s="44"/>
    </row>
    <row r="790" spans="1:16" ht="15.75" customHeight="1" x14ac:dyDescent="0.35">
      <c r="A790" s="36"/>
      <c r="B790" s="44"/>
      <c r="C790" s="37"/>
      <c r="D790" s="38">
        <v>44677</v>
      </c>
      <c r="E790" s="44" t="s">
        <v>58</v>
      </c>
      <c r="F790" s="36" t="s">
        <v>36</v>
      </c>
      <c r="G790" s="36"/>
      <c r="H790" s="36"/>
      <c r="I790" s="36"/>
      <c r="J790" s="93"/>
      <c r="K790" s="36"/>
      <c r="L790" s="36"/>
      <c r="M790" s="36"/>
      <c r="N790" s="36"/>
      <c r="O790" s="44"/>
      <c r="P790" s="44"/>
    </row>
    <row r="791" spans="1:16" ht="15.75" customHeight="1" x14ac:dyDescent="0.35">
      <c r="A791" s="36"/>
      <c r="B791" s="44"/>
      <c r="C791" s="37"/>
      <c r="D791" s="38">
        <v>44678</v>
      </c>
      <c r="E791" s="44" t="s">
        <v>58</v>
      </c>
      <c r="F791" s="36" t="s">
        <v>37</v>
      </c>
      <c r="G791" s="36"/>
      <c r="H791" s="36"/>
      <c r="I791" s="36"/>
      <c r="J791" s="93"/>
      <c r="K791" s="36"/>
      <c r="L791" s="36"/>
      <c r="M791" s="36"/>
      <c r="N791" s="36"/>
      <c r="O791" s="44"/>
      <c r="P791" s="44"/>
    </row>
    <row r="792" spans="1:16" ht="15.75" customHeight="1" x14ac:dyDescent="0.35">
      <c r="A792" s="36"/>
      <c r="B792" s="44"/>
      <c r="C792" s="37"/>
      <c r="D792" s="38">
        <v>44679</v>
      </c>
      <c r="E792" s="44" t="s">
        <v>58</v>
      </c>
      <c r="F792" s="36" t="s">
        <v>38</v>
      </c>
      <c r="G792" s="36"/>
      <c r="H792" s="36"/>
      <c r="I792" s="36"/>
      <c r="J792" s="93"/>
      <c r="K792" s="36"/>
      <c r="L792" s="36"/>
      <c r="M792" s="36"/>
      <c r="N792" s="36"/>
      <c r="O792" s="44"/>
      <c r="P792" s="44"/>
    </row>
    <row r="793" spans="1:16" ht="15.75" customHeight="1" x14ac:dyDescent="0.35">
      <c r="A793" s="36"/>
      <c r="B793" s="44"/>
      <c r="C793" s="37"/>
      <c r="D793" s="38">
        <v>44680</v>
      </c>
      <c r="E793" s="44" t="s">
        <v>58</v>
      </c>
      <c r="F793" s="36" t="s">
        <v>39</v>
      </c>
      <c r="G793" s="36"/>
      <c r="H793" s="36"/>
      <c r="I793" s="36"/>
      <c r="J793" s="93"/>
      <c r="K793" s="36"/>
      <c r="L793" s="36"/>
      <c r="M793" s="36"/>
      <c r="N793" s="36"/>
      <c r="O793" s="44"/>
      <c r="P793" s="44"/>
    </row>
    <row r="794" spans="1:16" ht="15.75" customHeight="1" x14ac:dyDescent="0.35">
      <c r="A794" s="36"/>
      <c r="B794" s="44"/>
      <c r="C794" s="37"/>
      <c r="D794" s="38">
        <v>44681</v>
      </c>
      <c r="E794" s="44" t="s">
        <v>58</v>
      </c>
      <c r="F794" s="36" t="s">
        <v>23</v>
      </c>
      <c r="G794" s="36"/>
      <c r="H794" s="36"/>
      <c r="I794" s="36"/>
      <c r="J794" s="93"/>
      <c r="K794" s="36"/>
      <c r="L794" s="36"/>
      <c r="M794" s="36"/>
      <c r="N794" s="36"/>
      <c r="O794" s="44"/>
      <c r="P794" s="44"/>
    </row>
    <row r="795" spans="1:16" ht="15.75" customHeight="1" x14ac:dyDescent="0.45">
      <c r="A795" s="59">
        <f>A787+1</f>
        <v>17</v>
      </c>
      <c r="B795" s="59">
        <f>SUM(B788:B794)</f>
        <v>0</v>
      </c>
      <c r="C795" s="60"/>
      <c r="D795" s="61"/>
      <c r="E795" s="13"/>
      <c r="F795" s="40" t="s">
        <v>28</v>
      </c>
      <c r="G795" s="40"/>
      <c r="H795" s="40"/>
      <c r="I795" s="40">
        <f>COUNT(J788:J794)</f>
        <v>0</v>
      </c>
      <c r="J795" s="41">
        <f t="shared" ref="J795:N795" si="94">SUM(J788:J794)</f>
        <v>0</v>
      </c>
      <c r="K795" s="42">
        <f t="shared" si="94"/>
        <v>0</v>
      </c>
      <c r="L795" s="42">
        <f t="shared" si="94"/>
        <v>0</v>
      </c>
      <c r="M795" s="42">
        <f t="shared" si="94"/>
        <v>0</v>
      </c>
      <c r="N795" s="42">
        <f t="shared" si="94"/>
        <v>0</v>
      </c>
      <c r="O795" s="42"/>
      <c r="P795" s="62"/>
    </row>
    <row r="796" spans="1:16" ht="15.75" customHeight="1" x14ac:dyDescent="0.35">
      <c r="A796" s="18"/>
      <c r="B796" s="18"/>
      <c r="C796" s="19"/>
      <c r="D796" s="20">
        <v>44682</v>
      </c>
      <c r="E796" s="58" t="s">
        <v>58</v>
      </c>
      <c r="F796" s="18" t="s">
        <v>24</v>
      </c>
      <c r="G796" s="18"/>
      <c r="H796" s="18"/>
      <c r="I796" s="18"/>
      <c r="J796" s="90"/>
      <c r="K796" s="18"/>
      <c r="L796" s="18"/>
      <c r="M796" s="18"/>
      <c r="N796" s="18"/>
      <c r="O796" s="18"/>
      <c r="P796" s="58"/>
    </row>
    <row r="797" spans="1:16" ht="15.75" customHeight="1" x14ac:dyDescent="0.35">
      <c r="A797" s="18"/>
      <c r="B797" s="18"/>
      <c r="C797" s="19"/>
      <c r="D797" s="20">
        <v>44683</v>
      </c>
      <c r="E797" s="58" t="s">
        <v>58</v>
      </c>
      <c r="F797" s="18" t="s">
        <v>35</v>
      </c>
      <c r="G797" s="18"/>
      <c r="H797" s="18"/>
      <c r="I797" s="18"/>
      <c r="J797" s="90"/>
      <c r="K797" s="18"/>
      <c r="L797" s="18"/>
      <c r="M797" s="18"/>
      <c r="N797" s="18"/>
      <c r="O797" s="58"/>
      <c r="P797" s="58"/>
    </row>
    <row r="798" spans="1:16" ht="15.75" customHeight="1" x14ac:dyDescent="0.35">
      <c r="A798" s="18"/>
      <c r="B798" s="18"/>
      <c r="C798" s="19"/>
      <c r="D798" s="20">
        <v>44684</v>
      </c>
      <c r="E798" s="58" t="s">
        <v>58</v>
      </c>
      <c r="F798" s="18" t="s">
        <v>36</v>
      </c>
      <c r="G798" s="18"/>
      <c r="H798" s="18"/>
      <c r="I798" s="18"/>
      <c r="J798" s="90"/>
      <c r="K798" s="18"/>
      <c r="L798" s="18"/>
      <c r="M798" s="18"/>
      <c r="N798" s="18"/>
      <c r="O798" s="18"/>
      <c r="P798" s="58"/>
    </row>
    <row r="799" spans="1:16" ht="15.75" customHeight="1" x14ac:dyDescent="0.35">
      <c r="A799" s="18"/>
      <c r="B799" s="58"/>
      <c r="C799" s="19"/>
      <c r="D799" s="20">
        <v>44685</v>
      </c>
      <c r="E799" s="58" t="s">
        <v>58</v>
      </c>
      <c r="F799" s="18" t="s">
        <v>37</v>
      </c>
      <c r="G799" s="18"/>
      <c r="H799" s="18"/>
      <c r="I799" s="18"/>
      <c r="J799" s="90"/>
      <c r="K799" s="18"/>
      <c r="L799" s="18"/>
      <c r="M799" s="18"/>
      <c r="N799" s="18"/>
      <c r="O799" s="58"/>
      <c r="P799" s="58"/>
    </row>
    <row r="800" spans="1:16" ht="15.75" customHeight="1" x14ac:dyDescent="0.35">
      <c r="A800" s="18"/>
      <c r="B800" s="18"/>
      <c r="C800" s="19"/>
      <c r="D800" s="20">
        <v>44686</v>
      </c>
      <c r="E800" s="58" t="s">
        <v>58</v>
      </c>
      <c r="F800" s="18" t="s">
        <v>38</v>
      </c>
      <c r="G800" s="18"/>
      <c r="H800" s="18"/>
      <c r="I800" s="18"/>
      <c r="J800" s="90"/>
      <c r="K800" s="18"/>
      <c r="L800" s="18"/>
      <c r="M800" s="18"/>
      <c r="N800" s="18"/>
      <c r="O800" s="18"/>
      <c r="P800" s="58"/>
    </row>
    <row r="801" spans="1:16" ht="15.75" customHeight="1" x14ac:dyDescent="0.35">
      <c r="A801" s="18"/>
      <c r="B801" s="18"/>
      <c r="C801" s="19"/>
      <c r="D801" s="20">
        <v>44687</v>
      </c>
      <c r="E801" s="58" t="s">
        <v>58</v>
      </c>
      <c r="F801" s="18" t="s">
        <v>39</v>
      </c>
      <c r="G801" s="18"/>
      <c r="H801" s="18"/>
      <c r="I801" s="18"/>
      <c r="J801" s="90"/>
      <c r="K801" s="18"/>
      <c r="L801" s="18"/>
      <c r="M801" s="18"/>
      <c r="N801" s="18"/>
      <c r="O801" s="58"/>
      <c r="P801" s="58"/>
    </row>
    <row r="802" spans="1:16" ht="15.75" customHeight="1" x14ac:dyDescent="0.35">
      <c r="A802" s="18"/>
      <c r="B802" s="18"/>
      <c r="C802" s="19"/>
      <c r="D802" s="20">
        <v>44688</v>
      </c>
      <c r="E802" s="58" t="s">
        <v>58</v>
      </c>
      <c r="F802" s="18" t="s">
        <v>23</v>
      </c>
      <c r="G802" s="18"/>
      <c r="H802" s="18"/>
      <c r="I802" s="18"/>
      <c r="J802" s="90"/>
      <c r="K802" s="18"/>
      <c r="L802" s="18"/>
      <c r="M802" s="18"/>
      <c r="N802" s="18"/>
      <c r="O802" s="18"/>
      <c r="P802" s="58"/>
    </row>
    <row r="803" spans="1:16" ht="15.75" customHeight="1" x14ac:dyDescent="0.45">
      <c r="A803" s="59">
        <f>A795+1</f>
        <v>18</v>
      </c>
      <c r="B803" s="59">
        <f>SUM(B796:B802)</f>
        <v>0</v>
      </c>
      <c r="C803" s="60"/>
      <c r="D803" s="61"/>
      <c r="E803" s="13"/>
      <c r="F803" s="40" t="s">
        <v>28</v>
      </c>
      <c r="G803" s="40"/>
      <c r="H803" s="40"/>
      <c r="I803" s="40">
        <f>COUNT(J796:J802)</f>
        <v>0</v>
      </c>
      <c r="J803" s="41">
        <f t="shared" ref="J803:N803" si="95">SUM(J796:J802)</f>
        <v>0</v>
      </c>
      <c r="K803" s="42">
        <f t="shared" si="95"/>
        <v>0</v>
      </c>
      <c r="L803" s="42">
        <f t="shared" si="95"/>
        <v>0</v>
      </c>
      <c r="M803" s="42">
        <f t="shared" si="95"/>
        <v>0</v>
      </c>
      <c r="N803" s="42">
        <f t="shared" si="95"/>
        <v>0</v>
      </c>
      <c r="O803" s="42"/>
      <c r="P803" s="62"/>
    </row>
    <row r="804" spans="1:16" ht="15.75" customHeight="1" x14ac:dyDescent="0.35">
      <c r="A804" s="36"/>
      <c r="B804" s="44"/>
      <c r="C804" s="37"/>
      <c r="D804" s="38">
        <v>44689</v>
      </c>
      <c r="E804" s="44" t="s">
        <v>58</v>
      </c>
      <c r="F804" s="36" t="s">
        <v>24</v>
      </c>
      <c r="G804" s="36"/>
      <c r="H804" s="36"/>
      <c r="I804" s="36"/>
      <c r="J804" s="93"/>
      <c r="K804" s="36"/>
      <c r="L804" s="36"/>
      <c r="M804" s="36"/>
      <c r="N804" s="36"/>
      <c r="O804" s="44"/>
      <c r="P804" s="44"/>
    </row>
    <row r="805" spans="1:16" ht="15.75" customHeight="1" x14ac:dyDescent="0.35">
      <c r="A805" s="36"/>
      <c r="B805" s="44"/>
      <c r="C805" s="37"/>
      <c r="D805" s="38">
        <v>44690</v>
      </c>
      <c r="E805" s="44" t="s">
        <v>58</v>
      </c>
      <c r="F805" s="36" t="s">
        <v>35</v>
      </c>
      <c r="G805" s="36"/>
      <c r="H805" s="36"/>
      <c r="I805" s="36"/>
      <c r="J805" s="93"/>
      <c r="K805" s="36"/>
      <c r="L805" s="36"/>
      <c r="M805" s="36"/>
      <c r="N805" s="36"/>
      <c r="O805" s="44"/>
      <c r="P805" s="44"/>
    </row>
    <row r="806" spans="1:16" ht="15.75" customHeight="1" x14ac:dyDescent="0.35">
      <c r="A806" s="36"/>
      <c r="B806" s="44"/>
      <c r="C806" s="37"/>
      <c r="D806" s="38">
        <v>44691</v>
      </c>
      <c r="E806" s="44" t="s">
        <v>58</v>
      </c>
      <c r="F806" s="36" t="s">
        <v>36</v>
      </c>
      <c r="G806" s="36"/>
      <c r="H806" s="36"/>
      <c r="I806" s="36"/>
      <c r="J806" s="93"/>
      <c r="K806" s="36"/>
      <c r="L806" s="36"/>
      <c r="M806" s="36"/>
      <c r="N806" s="36"/>
      <c r="O806" s="44"/>
      <c r="P806" s="44"/>
    </row>
    <row r="807" spans="1:16" ht="15.75" customHeight="1" x14ac:dyDescent="0.35">
      <c r="A807" s="36"/>
      <c r="B807" s="44"/>
      <c r="C807" s="37"/>
      <c r="D807" s="38">
        <v>44692</v>
      </c>
      <c r="E807" s="44" t="s">
        <v>58</v>
      </c>
      <c r="F807" s="36" t="s">
        <v>37</v>
      </c>
      <c r="G807" s="36"/>
      <c r="H807" s="36"/>
      <c r="I807" s="36"/>
      <c r="J807" s="93"/>
      <c r="K807" s="36"/>
      <c r="L807" s="36"/>
      <c r="M807" s="36"/>
      <c r="N807" s="36"/>
      <c r="O807" s="44"/>
      <c r="P807" s="44"/>
    </row>
    <row r="808" spans="1:16" ht="15.75" customHeight="1" x14ac:dyDescent="0.35">
      <c r="A808" s="36"/>
      <c r="B808" s="44"/>
      <c r="C808" s="37"/>
      <c r="D808" s="38">
        <v>44693</v>
      </c>
      <c r="E808" s="44" t="s">
        <v>58</v>
      </c>
      <c r="F808" s="36" t="s">
        <v>38</v>
      </c>
      <c r="G808" s="36"/>
      <c r="H808" s="36"/>
      <c r="I808" s="36"/>
      <c r="J808" s="93"/>
      <c r="K808" s="36"/>
      <c r="L808" s="36"/>
      <c r="M808" s="36"/>
      <c r="N808" s="36"/>
      <c r="O808" s="44"/>
      <c r="P808" s="44"/>
    </row>
    <row r="809" spans="1:16" ht="15.75" customHeight="1" x14ac:dyDescent="0.35">
      <c r="A809" s="36"/>
      <c r="B809" s="44"/>
      <c r="C809" s="37"/>
      <c r="D809" s="38">
        <v>44694</v>
      </c>
      <c r="E809" s="44" t="s">
        <v>58</v>
      </c>
      <c r="F809" s="36" t="s">
        <v>39</v>
      </c>
      <c r="G809" s="36"/>
      <c r="H809" s="36"/>
      <c r="I809" s="36"/>
      <c r="J809" s="93"/>
      <c r="K809" s="36"/>
      <c r="L809" s="36"/>
      <c r="M809" s="36"/>
      <c r="N809" s="36"/>
      <c r="O809" s="44"/>
      <c r="P809" s="44"/>
    </row>
    <row r="810" spans="1:16" ht="15.75" customHeight="1" x14ac:dyDescent="0.35">
      <c r="A810" s="36"/>
      <c r="B810" s="44"/>
      <c r="C810" s="37"/>
      <c r="D810" s="38">
        <v>44695</v>
      </c>
      <c r="E810" s="44" t="s">
        <v>58</v>
      </c>
      <c r="F810" s="36" t="s">
        <v>23</v>
      </c>
      <c r="G810" s="36"/>
      <c r="H810" s="36"/>
      <c r="I810" s="36"/>
      <c r="J810" s="93"/>
      <c r="K810" s="36"/>
      <c r="L810" s="36"/>
      <c r="M810" s="36"/>
      <c r="N810" s="36"/>
      <c r="O810" s="44"/>
      <c r="P810" s="44"/>
    </row>
    <row r="811" spans="1:16" ht="15.75" customHeight="1" x14ac:dyDescent="0.35">
      <c r="C811" s="60"/>
      <c r="D811" s="61">
        <v>44696</v>
      </c>
      <c r="E811" s="16" t="s">
        <v>58</v>
      </c>
      <c r="F811" s="59" t="s">
        <v>24</v>
      </c>
      <c r="J811" s="115"/>
      <c r="P811" s="62"/>
    </row>
    <row r="812" spans="1:16" ht="15.75" customHeight="1" x14ac:dyDescent="0.35">
      <c r="C812" s="60"/>
      <c r="D812" s="61">
        <v>44697</v>
      </c>
      <c r="E812" s="16" t="s">
        <v>58</v>
      </c>
      <c r="F812" s="59" t="s">
        <v>35</v>
      </c>
      <c r="J812" s="115"/>
      <c r="P812" s="62"/>
    </row>
    <row r="813" spans="1:16" ht="15.75" customHeight="1" x14ac:dyDescent="0.35">
      <c r="C813" s="60"/>
      <c r="D813" s="61">
        <v>44698</v>
      </c>
      <c r="E813" s="16" t="s">
        <v>58</v>
      </c>
      <c r="F813" s="59" t="s">
        <v>36</v>
      </c>
      <c r="J813" s="115"/>
      <c r="P813" s="62"/>
    </row>
    <row r="814" spans="1:16" ht="15.75" customHeight="1" x14ac:dyDescent="0.35">
      <c r="C814" s="60"/>
      <c r="D814" s="61">
        <v>44699</v>
      </c>
      <c r="E814" s="16" t="s">
        <v>58</v>
      </c>
      <c r="F814" s="59" t="s">
        <v>37</v>
      </c>
      <c r="J814" s="115"/>
      <c r="P814" s="62"/>
    </row>
    <row r="815" spans="1:16" ht="15.75" customHeight="1" x14ac:dyDescent="0.35">
      <c r="C815" s="60"/>
      <c r="D815" s="61">
        <v>44700</v>
      </c>
      <c r="E815" s="16" t="s">
        <v>58</v>
      </c>
      <c r="F815" s="59" t="s">
        <v>38</v>
      </c>
      <c r="J815" s="115"/>
      <c r="P815" s="62"/>
    </row>
    <row r="816" spans="1:16" ht="15.75" customHeight="1" x14ac:dyDescent="0.35">
      <c r="C816" s="60"/>
      <c r="D816" s="61">
        <v>44701</v>
      </c>
      <c r="E816" s="16" t="s">
        <v>58</v>
      </c>
      <c r="F816" s="105" t="s">
        <v>39</v>
      </c>
      <c r="J816" s="115"/>
      <c r="P816" s="62"/>
    </row>
    <row r="817" spans="1:16" ht="15.75" customHeight="1" x14ac:dyDescent="0.35">
      <c r="C817" s="60"/>
      <c r="D817" s="61">
        <v>44702</v>
      </c>
      <c r="E817" s="16" t="s">
        <v>58</v>
      </c>
      <c r="F817" s="116" t="s">
        <v>23</v>
      </c>
      <c r="J817" s="115"/>
      <c r="P817" s="62"/>
    </row>
    <row r="818" spans="1:16" ht="15.75" customHeight="1" x14ac:dyDescent="0.35">
      <c r="A818" s="36"/>
      <c r="B818" s="44"/>
      <c r="C818" s="37"/>
      <c r="D818" s="38">
        <v>44703</v>
      </c>
      <c r="E818" s="44" t="s">
        <v>58</v>
      </c>
      <c r="F818" s="36" t="s">
        <v>24</v>
      </c>
      <c r="G818" s="36"/>
      <c r="H818" s="36"/>
      <c r="I818" s="36"/>
      <c r="J818" s="93"/>
      <c r="K818" s="36"/>
      <c r="L818" s="36"/>
      <c r="M818" s="36"/>
      <c r="N818" s="36"/>
      <c r="O818" s="44"/>
      <c r="P818" s="44"/>
    </row>
    <row r="819" spans="1:16" ht="15.75" customHeight="1" x14ac:dyDescent="0.35">
      <c r="A819" s="36"/>
      <c r="B819" s="44"/>
      <c r="C819" s="37"/>
      <c r="D819" s="38">
        <v>44704</v>
      </c>
      <c r="E819" s="44" t="s">
        <v>58</v>
      </c>
      <c r="F819" s="36" t="s">
        <v>35</v>
      </c>
      <c r="G819" s="36"/>
      <c r="H819" s="36"/>
      <c r="I819" s="36"/>
      <c r="J819" s="93"/>
      <c r="K819" s="36"/>
      <c r="L819" s="36"/>
      <c r="M819" s="36"/>
      <c r="N819" s="36"/>
      <c r="O819" s="44"/>
      <c r="P819" s="44"/>
    </row>
    <row r="820" spans="1:16" ht="15.75" customHeight="1" x14ac:dyDescent="0.35">
      <c r="A820" s="36"/>
      <c r="B820" s="44"/>
      <c r="C820" s="37"/>
      <c r="D820" s="38">
        <v>44705</v>
      </c>
      <c r="E820" s="44" t="s">
        <v>58</v>
      </c>
      <c r="F820" s="36" t="s">
        <v>36</v>
      </c>
      <c r="G820" s="36"/>
      <c r="H820" s="36"/>
      <c r="I820" s="36"/>
      <c r="J820" s="93"/>
      <c r="K820" s="36"/>
      <c r="L820" s="36"/>
      <c r="M820" s="36"/>
      <c r="N820" s="36"/>
      <c r="O820" s="44"/>
      <c r="P820" s="44"/>
    </row>
    <row r="821" spans="1:16" ht="15.75" customHeight="1" x14ac:dyDescent="0.35">
      <c r="A821" s="36"/>
      <c r="B821" s="44"/>
      <c r="C821" s="37"/>
      <c r="D821" s="38">
        <v>44706</v>
      </c>
      <c r="E821" s="44" t="s">
        <v>58</v>
      </c>
      <c r="F821" s="36" t="s">
        <v>37</v>
      </c>
      <c r="G821" s="36"/>
      <c r="H821" s="36"/>
      <c r="I821" s="36"/>
      <c r="J821" s="93"/>
      <c r="K821" s="36"/>
      <c r="L821" s="36"/>
      <c r="M821" s="36"/>
      <c r="N821" s="36"/>
      <c r="O821" s="44"/>
      <c r="P821" s="44"/>
    </row>
    <row r="822" spans="1:16" ht="15.75" customHeight="1" x14ac:dyDescent="0.35">
      <c r="A822" s="36"/>
      <c r="B822" s="44"/>
      <c r="C822" s="37"/>
      <c r="D822" s="38">
        <v>44707</v>
      </c>
      <c r="E822" s="44" t="s">
        <v>58</v>
      </c>
      <c r="F822" s="36" t="s">
        <v>38</v>
      </c>
      <c r="G822" s="36"/>
      <c r="H822" s="36"/>
      <c r="I822" s="36"/>
      <c r="J822" s="93"/>
      <c r="K822" s="36"/>
      <c r="L822" s="36"/>
      <c r="M822" s="36"/>
      <c r="N822" s="36"/>
      <c r="O822" s="44"/>
      <c r="P822" s="44"/>
    </row>
    <row r="823" spans="1:16" ht="15.75" customHeight="1" x14ac:dyDescent="0.35">
      <c r="A823" s="36"/>
      <c r="B823" s="44"/>
      <c r="C823" s="37"/>
      <c r="D823" s="38">
        <v>44708</v>
      </c>
      <c r="E823" s="44" t="s">
        <v>58</v>
      </c>
      <c r="F823" s="36" t="s">
        <v>39</v>
      </c>
      <c r="G823" s="36"/>
      <c r="H823" s="36"/>
      <c r="I823" s="36"/>
      <c r="J823" s="93"/>
      <c r="K823" s="36"/>
      <c r="L823" s="36"/>
      <c r="M823" s="36"/>
      <c r="N823" s="36"/>
      <c r="O823" s="44"/>
      <c r="P823" s="44"/>
    </row>
    <row r="824" spans="1:16" ht="15.75" customHeight="1" x14ac:dyDescent="0.35">
      <c r="A824" s="36"/>
      <c r="B824" s="44"/>
      <c r="C824" s="37"/>
      <c r="D824" s="38">
        <v>44709</v>
      </c>
      <c r="E824" s="44" t="s">
        <v>58</v>
      </c>
      <c r="F824" s="36" t="s">
        <v>23</v>
      </c>
      <c r="G824" s="36"/>
      <c r="H824" s="36"/>
      <c r="I824" s="36"/>
      <c r="J824" s="93"/>
      <c r="K824" s="36"/>
      <c r="L824" s="36"/>
      <c r="M824" s="36"/>
      <c r="N824" s="36"/>
      <c r="O824" s="44"/>
      <c r="P824" s="44"/>
    </row>
    <row r="825" spans="1:16" ht="15.75" customHeight="1" x14ac:dyDescent="0.35">
      <c r="C825" s="60"/>
      <c r="D825" s="61">
        <v>44710</v>
      </c>
      <c r="E825" s="16" t="s">
        <v>58</v>
      </c>
      <c r="F825" s="59" t="s">
        <v>24</v>
      </c>
      <c r="J825" s="115"/>
      <c r="P825" s="62"/>
    </row>
    <row r="826" spans="1:16" ht="15.75" customHeight="1" x14ac:dyDescent="0.35">
      <c r="C826" s="60"/>
      <c r="D826" s="61">
        <v>44711</v>
      </c>
      <c r="E826" s="16" t="s">
        <v>58</v>
      </c>
      <c r="F826" s="59" t="s">
        <v>35</v>
      </c>
      <c r="J826" s="115"/>
      <c r="P826" s="62"/>
    </row>
    <row r="827" spans="1:16" ht="15.75" customHeight="1" x14ac:dyDescent="0.35">
      <c r="C827" s="60"/>
      <c r="D827" s="61">
        <v>44712</v>
      </c>
      <c r="E827" s="16" t="s">
        <v>58</v>
      </c>
      <c r="F827" s="59" t="s">
        <v>36</v>
      </c>
      <c r="J827" s="115"/>
      <c r="P827" s="62"/>
    </row>
    <row r="828" spans="1:16" ht="15.75" customHeight="1" x14ac:dyDescent="0.35">
      <c r="C828" s="60"/>
      <c r="D828" s="61">
        <v>44713</v>
      </c>
      <c r="E828" s="16" t="s">
        <v>58</v>
      </c>
      <c r="F828" s="59" t="s">
        <v>37</v>
      </c>
      <c r="J828" s="115"/>
      <c r="P828" s="62"/>
    </row>
    <row r="829" spans="1:16" ht="15.75" customHeight="1" x14ac:dyDescent="0.35">
      <c r="C829" s="60"/>
      <c r="D829" s="61">
        <v>44714</v>
      </c>
      <c r="E829" s="16" t="s">
        <v>58</v>
      </c>
      <c r="F829" s="59" t="s">
        <v>38</v>
      </c>
      <c r="J829" s="115"/>
      <c r="P829" s="62"/>
    </row>
    <row r="830" spans="1:16" ht="15.75" customHeight="1" x14ac:dyDescent="0.35">
      <c r="C830" s="60"/>
      <c r="D830" s="61">
        <v>44715</v>
      </c>
      <c r="E830" s="16" t="s">
        <v>58</v>
      </c>
      <c r="F830" s="105" t="s">
        <v>39</v>
      </c>
      <c r="J830" s="115"/>
      <c r="P830" s="62"/>
    </row>
    <row r="831" spans="1:16" ht="15.75" customHeight="1" x14ac:dyDescent="0.35">
      <c r="C831" s="60"/>
      <c r="D831" s="61">
        <v>44716</v>
      </c>
      <c r="E831" s="16" t="s">
        <v>58</v>
      </c>
      <c r="F831" s="116" t="s">
        <v>23</v>
      </c>
      <c r="J831" s="115"/>
      <c r="P831" s="62"/>
    </row>
    <row r="832" spans="1:16" ht="15.75" customHeight="1" x14ac:dyDescent="0.35">
      <c r="A832" s="36"/>
      <c r="B832" s="44"/>
      <c r="C832" s="37"/>
      <c r="D832" s="38">
        <v>44717</v>
      </c>
      <c r="E832" s="44" t="s">
        <v>58</v>
      </c>
      <c r="F832" s="36" t="s">
        <v>24</v>
      </c>
      <c r="G832" s="36"/>
      <c r="H832" s="36"/>
      <c r="I832" s="36"/>
      <c r="J832" s="93"/>
      <c r="K832" s="36"/>
      <c r="L832" s="36"/>
      <c r="M832" s="36"/>
      <c r="N832" s="36"/>
      <c r="O832" s="44"/>
      <c r="P832" s="44"/>
    </row>
    <row r="833" spans="1:16" ht="15.75" customHeight="1" x14ac:dyDescent="0.35">
      <c r="A833" s="36"/>
      <c r="B833" s="44"/>
      <c r="C833" s="37"/>
      <c r="D833" s="38">
        <v>44718</v>
      </c>
      <c r="E833" s="44" t="s">
        <v>58</v>
      </c>
      <c r="F833" s="36" t="s">
        <v>35</v>
      </c>
      <c r="G833" s="36"/>
      <c r="H833" s="36"/>
      <c r="I833" s="36"/>
      <c r="J833" s="93"/>
      <c r="K833" s="36"/>
      <c r="L833" s="36"/>
      <c r="M833" s="36"/>
      <c r="N833" s="36"/>
      <c r="O833" s="44"/>
      <c r="P833" s="44"/>
    </row>
    <row r="834" spans="1:16" ht="15.75" customHeight="1" x14ac:dyDescent="0.35">
      <c r="A834" s="36"/>
      <c r="B834" s="44"/>
      <c r="C834" s="37"/>
      <c r="D834" s="38">
        <v>44719</v>
      </c>
      <c r="E834" s="44" t="s">
        <v>58</v>
      </c>
      <c r="F834" s="36" t="s">
        <v>36</v>
      </c>
      <c r="G834" s="36"/>
      <c r="H834" s="36"/>
      <c r="I834" s="36"/>
      <c r="J834" s="93"/>
      <c r="K834" s="36"/>
      <c r="L834" s="36"/>
      <c r="M834" s="36"/>
      <c r="N834" s="36"/>
      <c r="O834" s="44"/>
      <c r="P834" s="44"/>
    </row>
    <row r="835" spans="1:16" ht="15.75" customHeight="1" x14ac:dyDescent="0.35">
      <c r="A835" s="36"/>
      <c r="B835" s="44"/>
      <c r="C835" s="37"/>
      <c r="D835" s="38">
        <v>44720</v>
      </c>
      <c r="E835" s="44" t="s">
        <v>58</v>
      </c>
      <c r="F835" s="36" t="s">
        <v>37</v>
      </c>
      <c r="G835" s="36"/>
      <c r="H835" s="36"/>
      <c r="I835" s="36"/>
      <c r="J835" s="93"/>
      <c r="K835" s="36"/>
      <c r="L835" s="36"/>
      <c r="M835" s="36"/>
      <c r="N835" s="36"/>
      <c r="O835" s="44"/>
      <c r="P835" s="44"/>
    </row>
    <row r="836" spans="1:16" ht="15.75" customHeight="1" x14ac:dyDescent="0.35">
      <c r="A836" s="36"/>
      <c r="B836" s="44"/>
      <c r="C836" s="37"/>
      <c r="D836" s="38">
        <v>44721</v>
      </c>
      <c r="E836" s="44" t="s">
        <v>58</v>
      </c>
      <c r="F836" s="36" t="s">
        <v>38</v>
      </c>
      <c r="G836" s="36"/>
      <c r="H836" s="36"/>
      <c r="I836" s="36"/>
      <c r="J836" s="93"/>
      <c r="K836" s="36"/>
      <c r="L836" s="36"/>
      <c r="M836" s="36"/>
      <c r="N836" s="36"/>
      <c r="O836" s="44"/>
      <c r="P836" s="44"/>
    </row>
    <row r="837" spans="1:16" ht="15.75" customHeight="1" x14ac:dyDescent="0.35">
      <c r="A837" s="36"/>
      <c r="B837" s="44"/>
      <c r="C837" s="37"/>
      <c r="D837" s="38">
        <v>44722</v>
      </c>
      <c r="E837" s="44" t="s">
        <v>58</v>
      </c>
      <c r="F837" s="36" t="s">
        <v>39</v>
      </c>
      <c r="G837" s="36"/>
      <c r="H837" s="36"/>
      <c r="I837" s="36"/>
      <c r="J837" s="93"/>
      <c r="K837" s="36"/>
      <c r="L837" s="36"/>
      <c r="M837" s="36"/>
      <c r="N837" s="36"/>
      <c r="O837" s="44"/>
      <c r="P837" s="44"/>
    </row>
    <row r="838" spans="1:16" ht="15.75" customHeight="1" x14ac:dyDescent="0.35">
      <c r="A838" s="36"/>
      <c r="B838" s="44"/>
      <c r="C838" s="37"/>
      <c r="D838" s="38">
        <v>44723</v>
      </c>
      <c r="E838" s="44" t="s">
        <v>58</v>
      </c>
      <c r="F838" s="36" t="s">
        <v>23</v>
      </c>
      <c r="G838" s="36"/>
      <c r="H838" s="36"/>
      <c r="I838" s="36"/>
      <c r="J838" s="93"/>
      <c r="K838" s="36"/>
      <c r="L838" s="36"/>
      <c r="M838" s="36"/>
      <c r="N838" s="36"/>
      <c r="O838" s="44"/>
      <c r="P838" s="44"/>
    </row>
    <row r="839" spans="1:16" ht="15.75" customHeight="1" x14ac:dyDescent="0.35">
      <c r="C839" s="60"/>
      <c r="D839" s="61">
        <v>44724</v>
      </c>
      <c r="E839" s="16" t="s">
        <v>58</v>
      </c>
      <c r="F839" s="59" t="s">
        <v>24</v>
      </c>
      <c r="J839" s="115"/>
      <c r="P839" s="62"/>
    </row>
    <row r="840" spans="1:16" ht="15.75" customHeight="1" x14ac:dyDescent="0.35">
      <c r="C840" s="60"/>
      <c r="D840" s="61">
        <v>44725</v>
      </c>
      <c r="E840" s="16" t="s">
        <v>58</v>
      </c>
      <c r="F840" s="59" t="s">
        <v>35</v>
      </c>
      <c r="J840" s="115"/>
      <c r="P840" s="62"/>
    </row>
    <row r="841" spans="1:16" ht="15.75" customHeight="1" x14ac:dyDescent="0.35">
      <c r="C841" s="60"/>
      <c r="D841" s="61">
        <v>44726</v>
      </c>
      <c r="E841" s="16" t="s">
        <v>58</v>
      </c>
      <c r="F841" s="59" t="s">
        <v>36</v>
      </c>
      <c r="J841" s="115"/>
      <c r="P841" s="62"/>
    </row>
    <row r="842" spans="1:16" ht="15.75" customHeight="1" x14ac:dyDescent="0.35">
      <c r="C842" s="60"/>
      <c r="D842" s="61">
        <v>44727</v>
      </c>
      <c r="E842" s="16" t="s">
        <v>58</v>
      </c>
      <c r="F842" s="59" t="s">
        <v>37</v>
      </c>
      <c r="J842" s="115"/>
      <c r="P842" s="62"/>
    </row>
    <row r="843" spans="1:16" ht="15.75" customHeight="1" x14ac:dyDescent="0.35">
      <c r="C843" s="60"/>
      <c r="D843" s="61">
        <v>44728</v>
      </c>
      <c r="E843" s="16" t="s">
        <v>58</v>
      </c>
      <c r="F843" s="59" t="s">
        <v>38</v>
      </c>
      <c r="J843" s="115"/>
      <c r="P843" s="62"/>
    </row>
    <row r="844" spans="1:16" ht="15.75" customHeight="1" x14ac:dyDescent="0.35">
      <c r="C844" s="60"/>
      <c r="D844" s="61">
        <v>44729</v>
      </c>
      <c r="E844" s="16" t="s">
        <v>58</v>
      </c>
      <c r="F844" s="105" t="s">
        <v>39</v>
      </c>
      <c r="J844" s="115"/>
      <c r="P844" s="62"/>
    </row>
    <row r="845" spans="1:16" ht="15.75" customHeight="1" x14ac:dyDescent="0.35">
      <c r="C845" s="60"/>
      <c r="D845" s="61">
        <v>44730</v>
      </c>
      <c r="E845" s="16" t="s">
        <v>58</v>
      </c>
      <c r="F845" s="116" t="s">
        <v>23</v>
      </c>
      <c r="J845" s="115"/>
      <c r="P845" s="62"/>
    </row>
    <row r="846" spans="1:16" ht="15.75" customHeight="1" x14ac:dyDescent="0.35">
      <c r="A846" s="36"/>
      <c r="B846" s="44"/>
      <c r="C846" s="37"/>
      <c r="D846" s="38">
        <v>44731</v>
      </c>
      <c r="E846" s="44" t="s">
        <v>58</v>
      </c>
      <c r="F846" s="36" t="s">
        <v>24</v>
      </c>
      <c r="G846" s="36"/>
      <c r="H846" s="36"/>
      <c r="I846" s="36"/>
      <c r="J846" s="93"/>
      <c r="K846" s="36"/>
      <c r="L846" s="36"/>
      <c r="M846" s="36"/>
      <c r="N846" s="36"/>
      <c r="O846" s="44"/>
      <c r="P846" s="44"/>
    </row>
    <row r="847" spans="1:16" ht="15.75" customHeight="1" x14ac:dyDescent="0.35">
      <c r="A847" s="36"/>
      <c r="B847" s="44"/>
      <c r="C847" s="37"/>
      <c r="D847" s="38">
        <v>44732</v>
      </c>
      <c r="E847" s="44" t="s">
        <v>58</v>
      </c>
      <c r="F847" s="36" t="s">
        <v>35</v>
      </c>
      <c r="G847" s="36"/>
      <c r="H847" s="36"/>
      <c r="I847" s="36"/>
      <c r="J847" s="93"/>
      <c r="K847" s="36"/>
      <c r="L847" s="36"/>
      <c r="M847" s="36"/>
      <c r="N847" s="36"/>
      <c r="O847" s="44"/>
      <c r="P847" s="44"/>
    </row>
    <row r="848" spans="1:16" ht="15.75" customHeight="1" x14ac:dyDescent="0.35">
      <c r="A848" s="36"/>
      <c r="B848" s="44"/>
      <c r="C848" s="37"/>
      <c r="D848" s="38">
        <v>44733</v>
      </c>
      <c r="E848" s="44" t="s">
        <v>58</v>
      </c>
      <c r="F848" s="36" t="s">
        <v>36</v>
      </c>
      <c r="G848" s="36"/>
      <c r="H848" s="36"/>
      <c r="I848" s="36"/>
      <c r="J848" s="93"/>
      <c r="K848" s="36"/>
      <c r="L848" s="36"/>
      <c r="M848" s="36"/>
      <c r="N848" s="36"/>
      <c r="O848" s="44"/>
      <c r="P848" s="44"/>
    </row>
    <row r="849" spans="1:16" ht="15.75" customHeight="1" x14ac:dyDescent="0.35">
      <c r="A849" s="36"/>
      <c r="B849" s="44"/>
      <c r="C849" s="37"/>
      <c r="D849" s="38">
        <v>44734</v>
      </c>
      <c r="E849" s="44" t="s">
        <v>58</v>
      </c>
      <c r="F849" s="36" t="s">
        <v>37</v>
      </c>
      <c r="G849" s="36"/>
      <c r="H849" s="36"/>
      <c r="I849" s="36"/>
      <c r="J849" s="93"/>
      <c r="K849" s="36"/>
      <c r="L849" s="36"/>
      <c r="M849" s="36"/>
      <c r="N849" s="36"/>
      <c r="O849" s="44"/>
      <c r="P849" s="44"/>
    </row>
    <row r="850" spans="1:16" ht="15.75" customHeight="1" x14ac:dyDescent="0.35">
      <c r="A850" s="36"/>
      <c r="B850" s="44"/>
      <c r="C850" s="37"/>
      <c r="D850" s="38">
        <v>44735</v>
      </c>
      <c r="E850" s="44" t="s">
        <v>58</v>
      </c>
      <c r="F850" s="36" t="s">
        <v>38</v>
      </c>
      <c r="G850" s="36"/>
      <c r="H850" s="36"/>
      <c r="I850" s="36"/>
      <c r="J850" s="93"/>
      <c r="K850" s="36"/>
      <c r="L850" s="36"/>
      <c r="M850" s="36"/>
      <c r="N850" s="36"/>
      <c r="O850" s="44"/>
      <c r="P850" s="44"/>
    </row>
    <row r="851" spans="1:16" ht="15.75" customHeight="1" x14ac:dyDescent="0.35">
      <c r="A851" s="36"/>
      <c r="B851" s="44"/>
      <c r="C851" s="37"/>
      <c r="D851" s="38">
        <v>44736</v>
      </c>
      <c r="E851" s="44" t="s">
        <v>58</v>
      </c>
      <c r="F851" s="36" t="s">
        <v>39</v>
      </c>
      <c r="G851" s="36"/>
      <c r="H851" s="36"/>
      <c r="I851" s="36"/>
      <c r="J851" s="93"/>
      <c r="K851" s="36"/>
      <c r="L851" s="36"/>
      <c r="M851" s="36"/>
      <c r="N851" s="36"/>
      <c r="O851" s="44"/>
      <c r="P851" s="44"/>
    </row>
    <row r="852" spans="1:16" ht="15.75" customHeight="1" x14ac:dyDescent="0.35">
      <c r="A852" s="36"/>
      <c r="B852" s="44"/>
      <c r="C852" s="37"/>
      <c r="D852" s="38">
        <v>44737</v>
      </c>
      <c r="E852" s="44" t="s">
        <v>58</v>
      </c>
      <c r="F852" s="36" t="s">
        <v>23</v>
      </c>
      <c r="G852" s="36"/>
      <c r="H852" s="36"/>
      <c r="I852" s="36"/>
      <c r="J852" s="93"/>
      <c r="K852" s="36"/>
      <c r="L852" s="36"/>
      <c r="M852" s="36"/>
      <c r="N852" s="36"/>
      <c r="O852" s="44"/>
      <c r="P852" s="44"/>
    </row>
    <row r="853" spans="1:16" ht="15.75" customHeight="1" x14ac:dyDescent="0.35">
      <c r="C853" s="60"/>
      <c r="D853" s="61">
        <v>44738</v>
      </c>
      <c r="E853" s="16" t="s">
        <v>58</v>
      </c>
      <c r="F853" s="59" t="s">
        <v>24</v>
      </c>
      <c r="J853" s="115"/>
      <c r="P853" s="62"/>
    </row>
    <row r="854" spans="1:16" ht="15.75" customHeight="1" x14ac:dyDescent="0.35">
      <c r="C854" s="60"/>
      <c r="D854" s="61">
        <v>44739</v>
      </c>
      <c r="E854" s="16" t="s">
        <v>58</v>
      </c>
      <c r="F854" s="59" t="s">
        <v>35</v>
      </c>
      <c r="J854" s="115"/>
      <c r="P854" s="62"/>
    </row>
    <row r="855" spans="1:16" ht="15.75" customHeight="1" x14ac:dyDescent="0.35">
      <c r="C855" s="60"/>
      <c r="D855" s="61">
        <v>44740</v>
      </c>
      <c r="E855" s="16" t="s">
        <v>58</v>
      </c>
      <c r="F855" s="59" t="s">
        <v>36</v>
      </c>
      <c r="J855" s="115"/>
      <c r="P855" s="62"/>
    </row>
    <row r="856" spans="1:16" ht="15.75" customHeight="1" x14ac:dyDescent="0.35">
      <c r="C856" s="60"/>
      <c r="D856" s="61">
        <v>44741</v>
      </c>
      <c r="E856" s="16" t="s">
        <v>58</v>
      </c>
      <c r="F856" s="59" t="s">
        <v>37</v>
      </c>
      <c r="J856" s="115"/>
      <c r="P856" s="62"/>
    </row>
    <row r="857" spans="1:16" ht="15.75" customHeight="1" x14ac:dyDescent="0.35">
      <c r="C857" s="60"/>
      <c r="D857" s="61">
        <v>44742</v>
      </c>
      <c r="E857" s="16" t="s">
        <v>58</v>
      </c>
      <c r="F857" s="59" t="s">
        <v>38</v>
      </c>
      <c r="J857" s="115"/>
      <c r="P857" s="62"/>
    </row>
    <row r="858" spans="1:16" ht="15.75" customHeight="1" x14ac:dyDescent="0.35">
      <c r="C858" s="60"/>
      <c r="D858" s="61">
        <v>44743</v>
      </c>
      <c r="E858" s="16" t="s">
        <v>58</v>
      </c>
      <c r="F858" s="105" t="s">
        <v>39</v>
      </c>
      <c r="J858" s="115"/>
      <c r="P858" s="62"/>
    </row>
    <row r="859" spans="1:16" ht="15.75" customHeight="1" x14ac:dyDescent="0.35">
      <c r="C859" s="60"/>
      <c r="D859" s="61">
        <v>44744</v>
      </c>
      <c r="E859" s="16" t="s">
        <v>58</v>
      </c>
      <c r="F859" s="116" t="s">
        <v>23</v>
      </c>
      <c r="J859" s="115"/>
      <c r="P859" s="62"/>
    </row>
    <row r="860" spans="1:16" ht="15.75" customHeight="1" x14ac:dyDescent="0.35">
      <c r="C860" s="60"/>
      <c r="D860" s="61">
        <v>44745</v>
      </c>
      <c r="E860" s="16" t="s">
        <v>58</v>
      </c>
      <c r="J860" s="115"/>
      <c r="P860" s="62"/>
    </row>
    <row r="861" spans="1:16" ht="15.75" customHeight="1" x14ac:dyDescent="0.35">
      <c r="C861" s="60"/>
      <c r="D861" s="61">
        <v>44746</v>
      </c>
      <c r="E861" s="16" t="s">
        <v>58</v>
      </c>
      <c r="J861" s="115"/>
      <c r="P861" s="62"/>
    </row>
    <row r="862" spans="1:16" ht="15.75" customHeight="1" x14ac:dyDescent="0.35">
      <c r="C862" s="60"/>
      <c r="D862" s="61">
        <v>44747</v>
      </c>
      <c r="E862" s="16" t="s">
        <v>58</v>
      </c>
      <c r="J862" s="115"/>
      <c r="P862" s="62"/>
    </row>
    <row r="863" spans="1:16" ht="15.75" customHeight="1" x14ac:dyDescent="0.35">
      <c r="C863" s="60"/>
      <c r="D863" s="61">
        <v>44748</v>
      </c>
      <c r="E863" s="16" t="s">
        <v>58</v>
      </c>
      <c r="J863" s="115"/>
      <c r="P863" s="62"/>
    </row>
    <row r="864" spans="1:16" ht="15.75" customHeight="1" x14ac:dyDescent="0.35">
      <c r="C864" s="60"/>
      <c r="D864" s="61">
        <v>44749</v>
      </c>
      <c r="E864" s="16" t="s">
        <v>58</v>
      </c>
      <c r="J864" s="115"/>
      <c r="P864" s="62"/>
    </row>
    <row r="865" spans="3:16" ht="15.75" customHeight="1" x14ac:dyDescent="0.35">
      <c r="C865" s="60"/>
      <c r="D865" s="61">
        <v>44750</v>
      </c>
      <c r="E865" s="16" t="s">
        <v>58</v>
      </c>
      <c r="J865" s="115"/>
      <c r="P865" s="62"/>
    </row>
    <row r="866" spans="3:16" ht="15.75" customHeight="1" x14ac:dyDescent="0.35">
      <c r="C866" s="60"/>
      <c r="D866" s="61">
        <v>44751</v>
      </c>
      <c r="E866" s="16" t="s">
        <v>58</v>
      </c>
      <c r="J866" s="115"/>
      <c r="P866" s="62"/>
    </row>
    <row r="867" spans="3:16" ht="15.75" customHeight="1" x14ac:dyDescent="0.35">
      <c r="C867" s="60"/>
      <c r="D867" s="61">
        <v>44752</v>
      </c>
      <c r="E867" s="16" t="s">
        <v>58</v>
      </c>
      <c r="J867" s="115"/>
      <c r="P867" s="62"/>
    </row>
    <row r="868" spans="3:16" ht="15.75" customHeight="1" x14ac:dyDescent="0.35">
      <c r="C868" s="60"/>
      <c r="D868" s="61">
        <v>44753</v>
      </c>
      <c r="E868" s="16" t="s">
        <v>58</v>
      </c>
      <c r="J868" s="115"/>
      <c r="P868" s="62"/>
    </row>
    <row r="869" spans="3:16" ht="15.75" customHeight="1" x14ac:dyDescent="0.35">
      <c r="C869" s="60"/>
      <c r="D869" s="61">
        <v>44754</v>
      </c>
      <c r="E869" s="16" t="s">
        <v>58</v>
      </c>
      <c r="J869" s="115"/>
      <c r="P869" s="62"/>
    </row>
    <row r="870" spans="3:16" ht="15.75" customHeight="1" x14ac:dyDescent="0.35">
      <c r="C870" s="60"/>
      <c r="D870" s="61">
        <v>44755</v>
      </c>
      <c r="E870" s="16" t="s">
        <v>58</v>
      </c>
      <c r="J870" s="115"/>
      <c r="P870" s="62"/>
    </row>
    <row r="871" spans="3:16" ht="15.75" customHeight="1" x14ac:dyDescent="0.35">
      <c r="C871" s="60"/>
      <c r="D871" s="61">
        <v>44756</v>
      </c>
      <c r="E871" s="16" t="s">
        <v>58</v>
      </c>
      <c r="J871" s="115"/>
      <c r="P871" s="62"/>
    </row>
    <row r="872" spans="3:16" ht="15.75" customHeight="1" x14ac:dyDescent="0.35">
      <c r="C872" s="60"/>
      <c r="D872" s="61">
        <v>44757</v>
      </c>
      <c r="E872" s="16" t="s">
        <v>58</v>
      </c>
      <c r="J872" s="115"/>
      <c r="P872" s="62"/>
    </row>
    <row r="873" spans="3:16" ht="15.75" customHeight="1" x14ac:dyDescent="0.35">
      <c r="C873" s="60"/>
      <c r="D873" s="61">
        <v>44758</v>
      </c>
      <c r="E873" s="16" t="s">
        <v>58</v>
      </c>
      <c r="J873" s="115"/>
      <c r="P873" s="62"/>
    </row>
    <row r="874" spans="3:16" ht="15.75" customHeight="1" x14ac:dyDescent="0.35">
      <c r="C874" s="60"/>
      <c r="D874" s="61">
        <v>44759</v>
      </c>
      <c r="E874" s="16" t="s">
        <v>58</v>
      </c>
      <c r="J874" s="115"/>
      <c r="P874" s="62"/>
    </row>
    <row r="875" spans="3:16" ht="15.75" customHeight="1" x14ac:dyDescent="0.35">
      <c r="C875" s="60"/>
      <c r="D875" s="61">
        <v>44760</v>
      </c>
      <c r="E875" s="16" t="s">
        <v>58</v>
      </c>
      <c r="J875" s="115"/>
      <c r="P875" s="62"/>
    </row>
    <row r="876" spans="3:16" ht="15.75" customHeight="1" x14ac:dyDescent="0.35">
      <c r="C876" s="60"/>
      <c r="D876" s="61">
        <v>44761</v>
      </c>
      <c r="E876" s="16" t="s">
        <v>58</v>
      </c>
      <c r="J876" s="115"/>
      <c r="P876" s="62"/>
    </row>
    <row r="877" spans="3:16" ht="15.75" customHeight="1" x14ac:dyDescent="0.35">
      <c r="C877" s="60"/>
      <c r="D877" s="61">
        <v>44762</v>
      </c>
      <c r="E877" s="16" t="s">
        <v>58</v>
      </c>
      <c r="J877" s="115"/>
      <c r="P877" s="62"/>
    </row>
    <row r="878" spans="3:16" ht="15.75" customHeight="1" x14ac:dyDescent="0.35">
      <c r="C878" s="60"/>
      <c r="D878" s="61">
        <v>44763</v>
      </c>
      <c r="E878" s="16" t="s">
        <v>58</v>
      </c>
      <c r="J878" s="115"/>
      <c r="P878" s="62"/>
    </row>
    <row r="879" spans="3:16" ht="15.75" customHeight="1" x14ac:dyDescent="0.35">
      <c r="C879" s="60"/>
      <c r="D879" s="61">
        <v>44764</v>
      </c>
      <c r="E879" s="16" t="s">
        <v>58</v>
      </c>
      <c r="J879" s="115"/>
      <c r="P879" s="62"/>
    </row>
    <row r="880" spans="3:16" ht="15.75" customHeight="1" x14ac:dyDescent="0.35">
      <c r="C880" s="60"/>
      <c r="D880" s="61">
        <v>44765</v>
      </c>
      <c r="E880" s="16" t="s">
        <v>58</v>
      </c>
      <c r="J880" s="115"/>
      <c r="P880" s="62"/>
    </row>
    <row r="881" spans="3:16" ht="15.75" customHeight="1" x14ac:dyDescent="0.35">
      <c r="C881" s="60"/>
      <c r="D881" s="61">
        <v>44766</v>
      </c>
      <c r="E881" s="16" t="s">
        <v>58</v>
      </c>
      <c r="J881" s="115"/>
      <c r="P881" s="62"/>
    </row>
    <row r="882" spans="3:16" ht="15.75" customHeight="1" x14ac:dyDescent="0.35">
      <c r="C882" s="60"/>
      <c r="D882" s="61">
        <v>44767</v>
      </c>
      <c r="E882" s="16" t="s">
        <v>58</v>
      </c>
      <c r="J882" s="115"/>
      <c r="P882" s="62"/>
    </row>
    <row r="883" spans="3:16" ht="15.75" customHeight="1" x14ac:dyDescent="0.35">
      <c r="C883" s="60"/>
      <c r="D883" s="61">
        <v>44768</v>
      </c>
      <c r="E883" s="16" t="s">
        <v>58</v>
      </c>
      <c r="J883" s="115"/>
      <c r="P883" s="62"/>
    </row>
    <row r="884" spans="3:16" ht="15.75" customHeight="1" x14ac:dyDescent="0.35">
      <c r="C884" s="60"/>
      <c r="D884" s="61">
        <v>44769</v>
      </c>
      <c r="E884" s="16" t="s">
        <v>58</v>
      </c>
      <c r="J884" s="115"/>
      <c r="P884" s="62"/>
    </row>
    <row r="885" spans="3:16" ht="15.75" customHeight="1" x14ac:dyDescent="0.35">
      <c r="C885" s="60"/>
      <c r="D885" s="61">
        <v>44770</v>
      </c>
      <c r="E885" s="16" t="s">
        <v>58</v>
      </c>
      <c r="J885" s="115"/>
      <c r="P885" s="62"/>
    </row>
    <row r="886" spans="3:16" ht="15.75" customHeight="1" x14ac:dyDescent="0.35">
      <c r="C886" s="60"/>
      <c r="D886" s="61">
        <v>44771</v>
      </c>
      <c r="E886" s="16" t="s">
        <v>58</v>
      </c>
      <c r="J886" s="115"/>
      <c r="P886" s="62"/>
    </row>
    <row r="887" spans="3:16" ht="15.75" customHeight="1" x14ac:dyDescent="0.35">
      <c r="C887" s="60"/>
      <c r="D887" s="61">
        <v>44772</v>
      </c>
      <c r="E887" s="16" t="s">
        <v>58</v>
      </c>
      <c r="J887" s="115"/>
      <c r="P887" s="62"/>
    </row>
    <row r="888" spans="3:16" ht="15.75" customHeight="1" x14ac:dyDescent="0.35">
      <c r="C888" s="60"/>
      <c r="D888" s="61">
        <v>44773</v>
      </c>
      <c r="E888" s="16" t="s">
        <v>58</v>
      </c>
      <c r="J888" s="115"/>
      <c r="P888" s="62"/>
    </row>
    <row r="889" spans="3:16" ht="15.75" customHeight="1" x14ac:dyDescent="0.35">
      <c r="C889" s="60"/>
      <c r="D889" s="61">
        <v>44774</v>
      </c>
      <c r="E889" s="16" t="s">
        <v>58</v>
      </c>
      <c r="J889" s="115"/>
      <c r="P889" s="62"/>
    </row>
    <row r="890" spans="3:16" ht="15.75" customHeight="1" x14ac:dyDescent="0.35">
      <c r="C890" s="60"/>
      <c r="D890" s="61">
        <v>44775</v>
      </c>
      <c r="E890" s="16" t="s">
        <v>58</v>
      </c>
      <c r="J890" s="115"/>
      <c r="P890" s="62"/>
    </row>
    <row r="891" spans="3:16" ht="15.75" customHeight="1" x14ac:dyDescent="0.35">
      <c r="C891" s="60"/>
      <c r="D891" s="61">
        <v>44776</v>
      </c>
      <c r="E891" s="16" t="s">
        <v>58</v>
      </c>
      <c r="J891" s="115"/>
      <c r="P891" s="62"/>
    </row>
    <row r="892" spans="3:16" ht="15.75" customHeight="1" x14ac:dyDescent="0.35">
      <c r="C892" s="60"/>
      <c r="D892" s="61">
        <v>44777</v>
      </c>
      <c r="E892" s="16" t="s">
        <v>58</v>
      </c>
      <c r="J892" s="115"/>
      <c r="P892" s="62"/>
    </row>
    <row r="893" spans="3:16" ht="15.75" customHeight="1" x14ac:dyDescent="0.35">
      <c r="C893" s="60"/>
      <c r="D893" s="61">
        <v>44778</v>
      </c>
      <c r="E893" s="16" t="s">
        <v>58</v>
      </c>
      <c r="J893" s="115"/>
      <c r="P893" s="62"/>
    </row>
    <row r="894" spans="3:16" ht="15.75" customHeight="1" x14ac:dyDescent="0.35">
      <c r="C894" s="60"/>
      <c r="D894" s="61">
        <v>44779</v>
      </c>
      <c r="E894" s="16" t="s">
        <v>58</v>
      </c>
      <c r="J894" s="115"/>
      <c r="P894" s="62"/>
    </row>
    <row r="895" spans="3:16" ht="15.75" customHeight="1" x14ac:dyDescent="0.35">
      <c r="C895" s="60"/>
      <c r="D895" s="61">
        <v>44780</v>
      </c>
      <c r="E895" s="16" t="s">
        <v>58</v>
      </c>
      <c r="J895" s="115"/>
      <c r="P895" s="62"/>
    </row>
    <row r="896" spans="3:16" ht="15.75" customHeight="1" x14ac:dyDescent="0.35">
      <c r="C896" s="60"/>
      <c r="D896" s="61">
        <v>44781</v>
      </c>
      <c r="E896" s="16" t="s">
        <v>58</v>
      </c>
      <c r="J896" s="115"/>
      <c r="P896" s="62"/>
    </row>
    <row r="897" spans="3:16" ht="15.75" customHeight="1" x14ac:dyDescent="0.35">
      <c r="C897" s="60"/>
      <c r="D897" s="61">
        <v>44782</v>
      </c>
      <c r="E897" s="16" t="s">
        <v>58</v>
      </c>
      <c r="J897" s="115"/>
      <c r="P897" s="62"/>
    </row>
    <row r="898" spans="3:16" ht="15.75" customHeight="1" x14ac:dyDescent="0.35">
      <c r="C898" s="60"/>
      <c r="D898" s="61">
        <v>44783</v>
      </c>
      <c r="E898" s="16" t="s">
        <v>58</v>
      </c>
      <c r="J898" s="115"/>
      <c r="P898" s="62"/>
    </row>
    <row r="899" spans="3:16" ht="15.75" customHeight="1" x14ac:dyDescent="0.35">
      <c r="C899" s="60"/>
      <c r="D899" s="61">
        <v>44784</v>
      </c>
      <c r="E899" s="16" t="s">
        <v>58</v>
      </c>
      <c r="J899" s="115"/>
      <c r="P899" s="62"/>
    </row>
    <row r="900" spans="3:16" ht="15.75" customHeight="1" x14ac:dyDescent="0.35">
      <c r="C900" s="60"/>
      <c r="D900" s="61">
        <v>44785</v>
      </c>
      <c r="E900" s="16" t="s">
        <v>58</v>
      </c>
      <c r="J900" s="115"/>
      <c r="P900" s="62"/>
    </row>
    <row r="901" spans="3:16" ht="15.75" customHeight="1" x14ac:dyDescent="0.35">
      <c r="C901" s="60"/>
      <c r="D901" s="61">
        <v>44786</v>
      </c>
      <c r="E901" s="16" t="s">
        <v>58</v>
      </c>
      <c r="J901" s="115"/>
      <c r="P901" s="62"/>
    </row>
    <row r="902" spans="3:16" ht="15.75" customHeight="1" x14ac:dyDescent="0.35">
      <c r="C902" s="60"/>
      <c r="D902" s="61">
        <v>44787</v>
      </c>
      <c r="E902" s="16" t="s">
        <v>58</v>
      </c>
      <c r="J902" s="115"/>
      <c r="P902" s="62"/>
    </row>
    <row r="903" spans="3:16" ht="15.75" customHeight="1" x14ac:dyDescent="0.35">
      <c r="C903" s="60"/>
      <c r="D903" s="61">
        <v>44788</v>
      </c>
      <c r="E903" s="16" t="s">
        <v>58</v>
      </c>
      <c r="J903" s="115"/>
      <c r="P903" s="62"/>
    </row>
    <row r="904" spans="3:16" ht="15.75" customHeight="1" x14ac:dyDescent="0.35">
      <c r="C904" s="60"/>
      <c r="D904" s="61">
        <v>44789</v>
      </c>
      <c r="E904" s="16" t="s">
        <v>58</v>
      </c>
      <c r="J904" s="115"/>
      <c r="P904" s="62"/>
    </row>
    <row r="905" spans="3:16" ht="15.75" customHeight="1" x14ac:dyDescent="0.35">
      <c r="C905" s="60"/>
      <c r="D905" s="61">
        <v>44790</v>
      </c>
      <c r="E905" s="16" t="s">
        <v>58</v>
      </c>
      <c r="J905" s="115"/>
      <c r="P905" s="62"/>
    </row>
    <row r="906" spans="3:16" ht="15.75" customHeight="1" x14ac:dyDescent="0.35">
      <c r="C906" s="60"/>
      <c r="D906" s="61">
        <v>44791</v>
      </c>
      <c r="E906" s="16" t="s">
        <v>58</v>
      </c>
      <c r="J906" s="115"/>
      <c r="P906" s="62"/>
    </row>
    <row r="907" spans="3:16" ht="15.75" customHeight="1" x14ac:dyDescent="0.35">
      <c r="C907" s="60"/>
      <c r="D907" s="61">
        <v>44792</v>
      </c>
      <c r="E907" s="16" t="s">
        <v>58</v>
      </c>
      <c r="J907" s="115"/>
      <c r="P907" s="62"/>
    </row>
    <row r="908" spans="3:16" ht="15.75" customHeight="1" x14ac:dyDescent="0.35">
      <c r="C908" s="60"/>
      <c r="D908" s="61">
        <v>44793</v>
      </c>
      <c r="E908" s="16" t="s">
        <v>58</v>
      </c>
      <c r="J908" s="115"/>
      <c r="P908" s="62"/>
    </row>
    <row r="909" spans="3:16" ht="15.75" customHeight="1" x14ac:dyDescent="0.35">
      <c r="C909" s="60"/>
      <c r="D909" s="61">
        <v>44794</v>
      </c>
      <c r="E909" s="16" t="s">
        <v>58</v>
      </c>
      <c r="J909" s="115"/>
      <c r="P909" s="62"/>
    </row>
    <row r="910" spans="3:16" ht="15.75" customHeight="1" x14ac:dyDescent="0.35">
      <c r="C910" s="60"/>
      <c r="D910" s="61">
        <v>44795</v>
      </c>
      <c r="E910" s="16" t="s">
        <v>58</v>
      </c>
      <c r="J910" s="115"/>
      <c r="P910" s="62"/>
    </row>
    <row r="911" spans="3:16" ht="15.75" customHeight="1" x14ac:dyDescent="0.35">
      <c r="C911" s="60"/>
      <c r="D911" s="61">
        <v>44796</v>
      </c>
      <c r="E911" s="16" t="s">
        <v>58</v>
      </c>
      <c r="J911" s="115"/>
      <c r="P911" s="62"/>
    </row>
    <row r="912" spans="3:16" ht="15.75" customHeight="1" x14ac:dyDescent="0.35">
      <c r="C912" s="60"/>
      <c r="D912" s="61">
        <v>44797</v>
      </c>
      <c r="E912" s="16" t="s">
        <v>58</v>
      </c>
      <c r="J912" s="115"/>
      <c r="P912" s="62"/>
    </row>
    <row r="913" spans="3:16" ht="15.75" customHeight="1" x14ac:dyDescent="0.35">
      <c r="C913" s="60"/>
      <c r="D913" s="61">
        <v>44798</v>
      </c>
      <c r="E913" s="16" t="s">
        <v>58</v>
      </c>
      <c r="J913" s="115"/>
      <c r="P913" s="62"/>
    </row>
    <row r="914" spans="3:16" ht="15.75" customHeight="1" x14ac:dyDescent="0.35">
      <c r="C914" s="60"/>
      <c r="D914" s="61">
        <v>44799</v>
      </c>
      <c r="E914" s="16" t="s">
        <v>58</v>
      </c>
      <c r="J914" s="115"/>
      <c r="P914" s="62"/>
    </row>
    <row r="915" spans="3:16" ht="15.75" customHeight="1" x14ac:dyDescent="0.35">
      <c r="C915" s="60"/>
      <c r="D915" s="61">
        <v>44800</v>
      </c>
      <c r="E915" s="16" t="s">
        <v>58</v>
      </c>
      <c r="J915" s="115"/>
      <c r="P915" s="62"/>
    </row>
    <row r="916" spans="3:16" ht="15.75" customHeight="1" x14ac:dyDescent="0.35">
      <c r="C916" s="60"/>
      <c r="D916" s="61">
        <v>44801</v>
      </c>
      <c r="E916" s="16" t="s">
        <v>58</v>
      </c>
      <c r="J916" s="115"/>
      <c r="P916" s="62"/>
    </row>
    <row r="917" spans="3:16" ht="15.75" customHeight="1" x14ac:dyDescent="0.35">
      <c r="C917" s="60"/>
      <c r="D917" s="61">
        <v>44802</v>
      </c>
      <c r="E917" s="16" t="s">
        <v>58</v>
      </c>
      <c r="J917" s="115"/>
      <c r="P917" s="62"/>
    </row>
    <row r="918" spans="3:16" ht="15.75" customHeight="1" x14ac:dyDescent="0.35">
      <c r="C918" s="60"/>
      <c r="D918" s="61">
        <v>44803</v>
      </c>
      <c r="E918" s="16" t="s">
        <v>58</v>
      </c>
      <c r="J918" s="115"/>
      <c r="P918" s="62"/>
    </row>
    <row r="919" spans="3:16" ht="15.75" customHeight="1" x14ac:dyDescent="0.35">
      <c r="C919" s="60"/>
      <c r="D919" s="61">
        <v>44804</v>
      </c>
      <c r="E919" s="16" t="s">
        <v>58</v>
      </c>
      <c r="J919" s="115"/>
      <c r="P919" s="62"/>
    </row>
    <row r="920" spans="3:16" ht="15.75" customHeight="1" x14ac:dyDescent="0.35">
      <c r="C920" s="60"/>
      <c r="D920" s="61">
        <v>44805</v>
      </c>
      <c r="E920" s="16" t="s">
        <v>58</v>
      </c>
      <c r="J920" s="115"/>
      <c r="P920" s="62"/>
    </row>
    <row r="921" spans="3:16" ht="15.75" customHeight="1" x14ac:dyDescent="0.35">
      <c r="C921" s="60"/>
      <c r="D921" s="61">
        <v>44806</v>
      </c>
      <c r="E921" s="16" t="s">
        <v>58</v>
      </c>
      <c r="J921" s="115"/>
      <c r="P921" s="62"/>
    </row>
    <row r="922" spans="3:16" ht="15.75" customHeight="1" x14ac:dyDescent="0.35">
      <c r="C922" s="60"/>
      <c r="D922" s="61">
        <v>44807</v>
      </c>
      <c r="E922" s="16" t="s">
        <v>58</v>
      </c>
      <c r="J922" s="115"/>
      <c r="P922" s="62"/>
    </row>
    <row r="923" spans="3:16" ht="15.75" customHeight="1" x14ac:dyDescent="0.35">
      <c r="C923" s="60"/>
      <c r="D923" s="61">
        <v>44808</v>
      </c>
      <c r="E923" s="16" t="s">
        <v>58</v>
      </c>
      <c r="J923" s="115"/>
      <c r="P923" s="62"/>
    </row>
    <row r="924" spans="3:16" ht="15.75" customHeight="1" x14ac:dyDescent="0.35">
      <c r="C924" s="60"/>
      <c r="D924" s="61">
        <v>44809</v>
      </c>
      <c r="E924" s="16" t="s">
        <v>58</v>
      </c>
      <c r="J924" s="115"/>
      <c r="P924" s="62"/>
    </row>
    <row r="925" spans="3:16" ht="15.75" customHeight="1" x14ac:dyDescent="0.35">
      <c r="C925" s="60"/>
      <c r="D925" s="61">
        <v>44810</v>
      </c>
      <c r="E925" s="16" t="s">
        <v>58</v>
      </c>
      <c r="J925" s="115"/>
      <c r="P925" s="62"/>
    </row>
    <row r="926" spans="3:16" ht="15.75" customHeight="1" x14ac:dyDescent="0.35">
      <c r="C926" s="60"/>
      <c r="D926" s="61">
        <v>44811</v>
      </c>
      <c r="E926" s="16" t="s">
        <v>58</v>
      </c>
      <c r="J926" s="115"/>
      <c r="P926" s="62"/>
    </row>
    <row r="927" spans="3:16" ht="15.75" customHeight="1" x14ac:dyDescent="0.35">
      <c r="C927" s="60"/>
      <c r="D927" s="61">
        <v>44812</v>
      </c>
      <c r="E927" s="16" t="s">
        <v>58</v>
      </c>
      <c r="J927" s="115"/>
      <c r="P927" s="62"/>
    </row>
    <row r="928" spans="3:16" ht="15.75" customHeight="1" x14ac:dyDescent="0.35">
      <c r="C928" s="60"/>
      <c r="D928" s="61">
        <v>44813</v>
      </c>
      <c r="E928" s="16" t="s">
        <v>58</v>
      </c>
      <c r="J928" s="115"/>
      <c r="P928" s="62"/>
    </row>
    <row r="929" spans="3:16" ht="15.75" customHeight="1" x14ac:dyDescent="0.35">
      <c r="C929" s="60"/>
      <c r="D929" s="61">
        <v>44814</v>
      </c>
      <c r="E929" s="16" t="s">
        <v>58</v>
      </c>
      <c r="J929" s="115"/>
      <c r="P929" s="62"/>
    </row>
    <row r="930" spans="3:16" ht="15.75" customHeight="1" x14ac:dyDescent="0.35">
      <c r="C930" s="60"/>
      <c r="D930" s="61">
        <v>44815</v>
      </c>
      <c r="E930" s="16" t="s">
        <v>58</v>
      </c>
      <c r="J930" s="115"/>
      <c r="P930" s="62"/>
    </row>
    <row r="931" spans="3:16" ht="15.75" customHeight="1" x14ac:dyDescent="0.35">
      <c r="C931" s="60"/>
      <c r="D931" s="61">
        <v>44816</v>
      </c>
      <c r="E931" s="16" t="s">
        <v>58</v>
      </c>
      <c r="J931" s="115"/>
      <c r="P931" s="62"/>
    </row>
    <row r="932" spans="3:16" ht="15.75" customHeight="1" x14ac:dyDescent="0.35">
      <c r="C932" s="60"/>
      <c r="D932" s="61">
        <v>44817</v>
      </c>
      <c r="E932" s="16" t="s">
        <v>58</v>
      </c>
      <c r="J932" s="115"/>
      <c r="P932" s="62"/>
    </row>
    <row r="933" spans="3:16" ht="15.75" customHeight="1" x14ac:dyDescent="0.35">
      <c r="C933" s="60"/>
      <c r="D933" s="61">
        <v>44818</v>
      </c>
      <c r="E933" s="16" t="s">
        <v>58</v>
      </c>
      <c r="J933" s="115"/>
      <c r="P933" s="62"/>
    </row>
    <row r="934" spans="3:16" ht="15.75" customHeight="1" x14ac:dyDescent="0.35">
      <c r="C934" s="60"/>
      <c r="D934" s="61">
        <v>44819</v>
      </c>
      <c r="E934" s="16" t="s">
        <v>58</v>
      </c>
      <c r="J934" s="115"/>
      <c r="P934" s="62"/>
    </row>
    <row r="935" spans="3:16" ht="15.75" customHeight="1" x14ac:dyDescent="0.35">
      <c r="C935" s="60"/>
      <c r="D935" s="61">
        <v>44820</v>
      </c>
      <c r="E935" s="16" t="s">
        <v>58</v>
      </c>
      <c r="J935" s="115"/>
      <c r="P935" s="62"/>
    </row>
    <row r="936" spans="3:16" ht="15.75" customHeight="1" x14ac:dyDescent="0.35">
      <c r="C936" s="60"/>
      <c r="D936" s="61">
        <v>44821</v>
      </c>
      <c r="E936" s="16" t="s">
        <v>58</v>
      </c>
      <c r="J936" s="115"/>
      <c r="P936" s="62"/>
    </row>
    <row r="937" spans="3:16" ht="15.75" customHeight="1" x14ac:dyDescent="0.35">
      <c r="C937" s="60"/>
      <c r="D937" s="61">
        <v>44822</v>
      </c>
      <c r="E937" s="16" t="s">
        <v>58</v>
      </c>
      <c r="J937" s="115"/>
      <c r="P937" s="62"/>
    </row>
    <row r="938" spans="3:16" ht="15.75" customHeight="1" x14ac:dyDescent="0.35">
      <c r="C938" s="60"/>
      <c r="D938" s="61">
        <v>44823</v>
      </c>
      <c r="E938" s="16" t="s">
        <v>58</v>
      </c>
      <c r="J938" s="115"/>
      <c r="P938" s="62"/>
    </row>
    <row r="939" spans="3:16" ht="15.75" customHeight="1" x14ac:dyDescent="0.35">
      <c r="C939" s="60"/>
      <c r="D939" s="61">
        <v>44824</v>
      </c>
      <c r="E939" s="16" t="s">
        <v>58</v>
      </c>
      <c r="J939" s="115"/>
      <c r="P939" s="62"/>
    </row>
    <row r="940" spans="3:16" ht="15.75" customHeight="1" x14ac:dyDescent="0.35">
      <c r="C940" s="60"/>
      <c r="D940" s="61">
        <v>44825</v>
      </c>
      <c r="E940" s="16" t="s">
        <v>58</v>
      </c>
      <c r="J940" s="115"/>
      <c r="P940" s="62"/>
    </row>
    <row r="941" spans="3:16" ht="15.75" customHeight="1" x14ac:dyDescent="0.35">
      <c r="C941" s="60"/>
      <c r="D941" s="61">
        <v>44826</v>
      </c>
      <c r="E941" s="16" t="s">
        <v>58</v>
      </c>
      <c r="J941" s="115"/>
      <c r="P941" s="62"/>
    </row>
    <row r="942" spans="3:16" ht="15.75" customHeight="1" x14ac:dyDescent="0.35">
      <c r="C942" s="60"/>
      <c r="D942" s="61">
        <v>44827</v>
      </c>
      <c r="E942" s="16" t="s">
        <v>58</v>
      </c>
      <c r="J942" s="115"/>
      <c r="P942" s="62"/>
    </row>
    <row r="943" spans="3:16" ht="15.75" customHeight="1" x14ac:dyDescent="0.35">
      <c r="C943" s="60"/>
      <c r="D943" s="61">
        <v>44828</v>
      </c>
      <c r="E943" s="16" t="s">
        <v>58</v>
      </c>
      <c r="J943" s="115"/>
      <c r="P943" s="62"/>
    </row>
    <row r="944" spans="3:16" ht="15.75" customHeight="1" x14ac:dyDescent="0.35">
      <c r="C944" s="60"/>
      <c r="D944" s="61">
        <v>44829</v>
      </c>
      <c r="E944" s="16" t="s">
        <v>58</v>
      </c>
      <c r="J944" s="115"/>
      <c r="P944" s="62"/>
    </row>
    <row r="945" spans="3:16" ht="15.75" customHeight="1" x14ac:dyDescent="0.35">
      <c r="C945" s="60"/>
      <c r="D945" s="61">
        <v>44830</v>
      </c>
      <c r="E945" s="16" t="s">
        <v>58</v>
      </c>
      <c r="J945" s="115"/>
      <c r="P945" s="62"/>
    </row>
    <row r="946" spans="3:16" ht="15.75" customHeight="1" x14ac:dyDescent="0.35">
      <c r="C946" s="60"/>
      <c r="D946" s="61">
        <v>44831</v>
      </c>
      <c r="E946" s="16" t="s">
        <v>58</v>
      </c>
      <c r="J946" s="115"/>
      <c r="P946" s="62"/>
    </row>
    <row r="947" spans="3:16" ht="15.75" customHeight="1" x14ac:dyDescent="0.35">
      <c r="C947" s="60"/>
      <c r="D947" s="61">
        <v>44832</v>
      </c>
      <c r="E947" s="16" t="s">
        <v>58</v>
      </c>
      <c r="J947" s="115"/>
      <c r="P947" s="62"/>
    </row>
    <row r="948" spans="3:16" ht="15.75" customHeight="1" x14ac:dyDescent="0.35">
      <c r="C948" s="60"/>
      <c r="D948" s="61">
        <v>44833</v>
      </c>
      <c r="E948" s="16" t="s">
        <v>58</v>
      </c>
      <c r="J948" s="115"/>
      <c r="P948" s="62"/>
    </row>
    <row r="949" spans="3:16" ht="15.75" customHeight="1" x14ac:dyDescent="0.35">
      <c r="C949" s="60"/>
      <c r="D949" s="61">
        <v>44834</v>
      </c>
      <c r="E949" s="16" t="s">
        <v>58</v>
      </c>
      <c r="J949" s="115"/>
      <c r="P949" s="62"/>
    </row>
    <row r="950" spans="3:16" ht="15.75" customHeight="1" x14ac:dyDescent="0.35">
      <c r="C950" s="60"/>
      <c r="D950" s="61">
        <v>44835</v>
      </c>
      <c r="E950" s="16" t="s">
        <v>58</v>
      </c>
      <c r="J950" s="115"/>
      <c r="P950" s="62"/>
    </row>
    <row r="951" spans="3:16" ht="15.75" customHeight="1" x14ac:dyDescent="0.35">
      <c r="C951" s="60"/>
      <c r="D951" s="61">
        <v>44836</v>
      </c>
      <c r="E951" s="16" t="s">
        <v>58</v>
      </c>
      <c r="J951" s="115"/>
      <c r="P951" s="62"/>
    </row>
    <row r="952" spans="3:16" ht="15.75" customHeight="1" x14ac:dyDescent="0.35">
      <c r="C952" s="60"/>
      <c r="D952" s="61">
        <v>44837</v>
      </c>
      <c r="E952" s="16" t="s">
        <v>58</v>
      </c>
      <c r="J952" s="115"/>
      <c r="P952" s="62"/>
    </row>
    <row r="953" spans="3:16" ht="15.75" customHeight="1" x14ac:dyDescent="0.35">
      <c r="C953" s="60"/>
      <c r="D953" s="61">
        <v>44838</v>
      </c>
      <c r="E953" s="16" t="s">
        <v>58</v>
      </c>
      <c r="J953" s="115"/>
      <c r="P953" s="62"/>
    </row>
    <row r="954" spans="3:16" ht="15.75" customHeight="1" x14ac:dyDescent="0.35">
      <c r="C954" s="60"/>
      <c r="D954" s="61">
        <v>44839</v>
      </c>
      <c r="E954" s="16" t="s">
        <v>58</v>
      </c>
      <c r="J954" s="115"/>
      <c r="P954" s="62"/>
    </row>
    <row r="955" spans="3:16" ht="15.75" customHeight="1" x14ac:dyDescent="0.35">
      <c r="C955" s="60"/>
      <c r="D955" s="61">
        <v>44840</v>
      </c>
      <c r="E955" s="16" t="s">
        <v>58</v>
      </c>
      <c r="J955" s="115"/>
      <c r="P955" s="62"/>
    </row>
    <row r="956" spans="3:16" ht="15.75" customHeight="1" x14ac:dyDescent="0.35">
      <c r="C956" s="60"/>
      <c r="D956" s="61">
        <v>44841</v>
      </c>
      <c r="E956" s="16" t="s">
        <v>58</v>
      </c>
      <c r="J956" s="115"/>
      <c r="P956" s="62"/>
    </row>
    <row r="957" spans="3:16" ht="15.75" customHeight="1" x14ac:dyDescent="0.35">
      <c r="C957" s="60"/>
      <c r="D957" s="61">
        <v>44842</v>
      </c>
      <c r="E957" s="16" t="s">
        <v>58</v>
      </c>
      <c r="J957" s="115"/>
      <c r="P957" s="62"/>
    </row>
    <row r="958" spans="3:16" ht="15.75" customHeight="1" x14ac:dyDescent="0.35">
      <c r="C958" s="60"/>
      <c r="D958" s="61">
        <v>44843</v>
      </c>
      <c r="E958" s="16" t="s">
        <v>58</v>
      </c>
      <c r="J958" s="115"/>
      <c r="P958" s="62"/>
    </row>
    <row r="959" spans="3:16" ht="15.75" customHeight="1" x14ac:dyDescent="0.35">
      <c r="C959" s="60"/>
      <c r="D959" s="61">
        <v>44844</v>
      </c>
      <c r="E959" s="16" t="s">
        <v>58</v>
      </c>
      <c r="J959" s="115"/>
      <c r="P959" s="62"/>
    </row>
    <row r="960" spans="3:16" ht="15.75" customHeight="1" x14ac:dyDescent="0.35">
      <c r="C960" s="60"/>
      <c r="D960" s="61">
        <v>44845</v>
      </c>
      <c r="E960" s="16" t="s">
        <v>58</v>
      </c>
      <c r="J960" s="115"/>
      <c r="P960" s="62"/>
    </row>
    <row r="961" spans="3:16" ht="15.75" customHeight="1" x14ac:dyDescent="0.35">
      <c r="C961" s="60"/>
      <c r="D961" s="61">
        <v>44846</v>
      </c>
      <c r="E961" s="16" t="s">
        <v>58</v>
      </c>
      <c r="J961" s="115"/>
      <c r="P961" s="62"/>
    </row>
    <row r="962" spans="3:16" ht="15.75" customHeight="1" x14ac:dyDescent="0.35">
      <c r="C962" s="60"/>
      <c r="D962" s="61">
        <v>44847</v>
      </c>
      <c r="E962" s="16" t="s">
        <v>58</v>
      </c>
      <c r="J962" s="115"/>
      <c r="P962" s="62"/>
    </row>
    <row r="963" spans="3:16" ht="15.75" customHeight="1" x14ac:dyDescent="0.35">
      <c r="C963" s="60"/>
      <c r="D963" s="61">
        <v>44848</v>
      </c>
      <c r="E963" s="16" t="s">
        <v>58</v>
      </c>
      <c r="J963" s="115"/>
      <c r="P963" s="62"/>
    </row>
    <row r="964" spans="3:16" ht="15.75" customHeight="1" x14ac:dyDescent="0.35">
      <c r="C964" s="60"/>
      <c r="D964" s="61">
        <v>44849</v>
      </c>
      <c r="E964" s="16" t="s">
        <v>58</v>
      </c>
      <c r="J964" s="115"/>
      <c r="P964" s="62"/>
    </row>
    <row r="965" spans="3:16" ht="15.75" customHeight="1" x14ac:dyDescent="0.35">
      <c r="C965" s="60"/>
      <c r="D965" s="61">
        <v>44850</v>
      </c>
      <c r="E965" s="16" t="s">
        <v>58</v>
      </c>
      <c r="J965" s="115"/>
      <c r="P965" s="62"/>
    </row>
    <row r="966" spans="3:16" ht="15.75" customHeight="1" x14ac:dyDescent="0.35">
      <c r="C966" s="60"/>
      <c r="D966" s="61">
        <v>44851</v>
      </c>
      <c r="E966" s="16" t="s">
        <v>58</v>
      </c>
      <c r="J966" s="115"/>
      <c r="P966" s="62"/>
    </row>
    <row r="967" spans="3:16" ht="15.75" customHeight="1" x14ac:dyDescent="0.35">
      <c r="C967" s="60"/>
      <c r="D967" s="61">
        <v>44852</v>
      </c>
      <c r="E967" s="16" t="s">
        <v>58</v>
      </c>
      <c r="J967" s="115"/>
      <c r="P967" s="62"/>
    </row>
    <row r="968" spans="3:16" ht="15.75" customHeight="1" x14ac:dyDescent="0.35">
      <c r="C968" s="60"/>
      <c r="D968" s="61">
        <v>44853</v>
      </c>
      <c r="E968" s="16" t="s">
        <v>58</v>
      </c>
      <c r="J968" s="115"/>
      <c r="P968" s="62"/>
    </row>
    <row r="969" spans="3:16" ht="15.75" customHeight="1" x14ac:dyDescent="0.35">
      <c r="C969" s="60"/>
      <c r="D969" s="61">
        <v>44854</v>
      </c>
      <c r="E969" s="16" t="s">
        <v>58</v>
      </c>
      <c r="J969" s="115"/>
      <c r="P969" s="62"/>
    </row>
    <row r="970" spans="3:16" ht="15.75" customHeight="1" x14ac:dyDescent="0.35">
      <c r="C970" s="60"/>
      <c r="D970" s="61">
        <v>44855</v>
      </c>
      <c r="E970" s="16" t="s">
        <v>58</v>
      </c>
      <c r="J970" s="115"/>
      <c r="P970" s="62"/>
    </row>
    <row r="971" spans="3:16" ht="15.75" customHeight="1" x14ac:dyDescent="0.35">
      <c r="C971" s="60"/>
      <c r="D971" s="61">
        <v>44856</v>
      </c>
      <c r="E971" s="16" t="s">
        <v>58</v>
      </c>
      <c r="J971" s="115"/>
      <c r="P971" s="62"/>
    </row>
    <row r="972" spans="3:16" ht="15.75" customHeight="1" x14ac:dyDescent="0.35">
      <c r="C972" s="60"/>
      <c r="D972" s="61">
        <v>44857</v>
      </c>
      <c r="E972" s="16" t="s">
        <v>58</v>
      </c>
      <c r="J972" s="115"/>
      <c r="P972" s="62"/>
    </row>
    <row r="973" spans="3:16" ht="15.75" customHeight="1" x14ac:dyDescent="0.35">
      <c r="C973" s="60"/>
      <c r="D973" s="61">
        <v>44858</v>
      </c>
      <c r="E973" s="16" t="s">
        <v>58</v>
      </c>
      <c r="J973" s="115"/>
      <c r="P973" s="62"/>
    </row>
    <row r="974" spans="3:16" ht="15.75" customHeight="1" x14ac:dyDescent="0.35">
      <c r="C974" s="60"/>
      <c r="D974" s="61">
        <v>44859</v>
      </c>
      <c r="E974" s="16" t="s">
        <v>58</v>
      </c>
      <c r="J974" s="115"/>
      <c r="P974" s="62"/>
    </row>
    <row r="975" spans="3:16" ht="15.75" customHeight="1" x14ac:dyDescent="0.35">
      <c r="C975" s="60"/>
      <c r="D975" s="61">
        <v>44860</v>
      </c>
      <c r="E975" s="16" t="s">
        <v>58</v>
      </c>
      <c r="J975" s="115"/>
      <c r="P975" s="62"/>
    </row>
    <row r="976" spans="3:16" ht="15.75" customHeight="1" x14ac:dyDescent="0.35">
      <c r="C976" s="60"/>
      <c r="D976" s="61">
        <v>44861</v>
      </c>
      <c r="E976" s="16" t="s">
        <v>58</v>
      </c>
      <c r="J976" s="115"/>
      <c r="P976" s="62"/>
    </row>
    <row r="977" spans="3:16" ht="15.75" customHeight="1" x14ac:dyDescent="0.35">
      <c r="C977" s="60"/>
      <c r="D977" s="61">
        <v>44862</v>
      </c>
      <c r="E977" s="16" t="s">
        <v>58</v>
      </c>
      <c r="J977" s="115"/>
      <c r="P977" s="62"/>
    </row>
    <row r="978" spans="3:16" ht="15.75" customHeight="1" x14ac:dyDescent="0.35">
      <c r="C978" s="60"/>
      <c r="D978" s="61">
        <v>44863</v>
      </c>
      <c r="E978" s="16" t="s">
        <v>58</v>
      </c>
      <c r="J978" s="115"/>
      <c r="P978" s="62"/>
    </row>
    <row r="979" spans="3:16" ht="15.75" customHeight="1" x14ac:dyDescent="0.35">
      <c r="C979" s="60"/>
      <c r="D979" s="61">
        <v>44864</v>
      </c>
      <c r="E979" s="16" t="s">
        <v>58</v>
      </c>
      <c r="J979" s="115"/>
      <c r="P979" s="62"/>
    </row>
    <row r="980" spans="3:16" ht="15.75" customHeight="1" x14ac:dyDescent="0.35">
      <c r="C980" s="60"/>
      <c r="D980" s="61">
        <v>44865</v>
      </c>
      <c r="E980" s="16" t="s">
        <v>58</v>
      </c>
      <c r="J980" s="115"/>
      <c r="P980" s="62"/>
    </row>
    <row r="981" spans="3:16" ht="15.75" customHeight="1" x14ac:dyDescent="0.35">
      <c r="C981" s="60"/>
      <c r="D981" s="61">
        <v>44866</v>
      </c>
      <c r="E981" s="16" t="s">
        <v>58</v>
      </c>
      <c r="J981" s="115"/>
      <c r="P981" s="62"/>
    </row>
    <row r="982" spans="3:16" ht="15.75" customHeight="1" x14ac:dyDescent="0.35">
      <c r="C982" s="60"/>
      <c r="D982" s="61">
        <v>44867</v>
      </c>
      <c r="E982" s="16" t="s">
        <v>58</v>
      </c>
      <c r="J982" s="115"/>
      <c r="P982" s="62"/>
    </row>
    <row r="983" spans="3:16" ht="15.75" customHeight="1" x14ac:dyDescent="0.35">
      <c r="C983" s="60"/>
      <c r="D983" s="61">
        <v>44868</v>
      </c>
      <c r="E983" s="16" t="s">
        <v>58</v>
      </c>
      <c r="J983" s="115"/>
      <c r="P983" s="62"/>
    </row>
    <row r="984" spans="3:16" ht="15.75" customHeight="1" x14ac:dyDescent="0.35">
      <c r="C984" s="60"/>
      <c r="D984" s="61">
        <v>44869</v>
      </c>
      <c r="E984" s="16" t="s">
        <v>58</v>
      </c>
      <c r="J984" s="115"/>
      <c r="P984" s="62"/>
    </row>
    <row r="985" spans="3:16" ht="15.75" customHeight="1" x14ac:dyDescent="0.35">
      <c r="C985" s="60"/>
      <c r="D985" s="61">
        <v>44870</v>
      </c>
      <c r="E985" s="16" t="s">
        <v>58</v>
      </c>
      <c r="J985" s="115"/>
      <c r="P985" s="62"/>
    </row>
    <row r="986" spans="3:16" ht="15.75" customHeight="1" x14ac:dyDescent="0.35">
      <c r="C986" s="60"/>
      <c r="D986" s="61">
        <v>44871</v>
      </c>
      <c r="E986" s="16" t="s">
        <v>58</v>
      </c>
      <c r="J986" s="115"/>
      <c r="P986" s="62"/>
    </row>
    <row r="987" spans="3:16" ht="15.75" customHeight="1" x14ac:dyDescent="0.35">
      <c r="C987" s="60"/>
      <c r="D987" s="61">
        <v>44872</v>
      </c>
      <c r="E987" s="16" t="s">
        <v>58</v>
      </c>
      <c r="J987" s="115"/>
      <c r="P987" s="62"/>
    </row>
    <row r="988" spans="3:16" ht="15.75" customHeight="1" x14ac:dyDescent="0.35">
      <c r="C988" s="60"/>
      <c r="D988" s="61">
        <v>44873</v>
      </c>
      <c r="E988" s="16" t="s">
        <v>58</v>
      </c>
      <c r="J988" s="115"/>
      <c r="P988" s="62"/>
    </row>
    <row r="989" spans="3:16" ht="15.75" customHeight="1" x14ac:dyDescent="0.35">
      <c r="C989" s="60"/>
      <c r="D989" s="61">
        <v>44874</v>
      </c>
      <c r="E989" s="16" t="s">
        <v>58</v>
      </c>
      <c r="J989" s="115"/>
      <c r="P989" s="62"/>
    </row>
    <row r="990" spans="3:16" ht="15.75" customHeight="1" x14ac:dyDescent="0.35">
      <c r="C990" s="60"/>
      <c r="D990" s="61">
        <v>44875</v>
      </c>
      <c r="E990" s="16" t="s">
        <v>58</v>
      </c>
      <c r="J990" s="115"/>
      <c r="P990" s="62"/>
    </row>
    <row r="991" spans="3:16" ht="15.75" customHeight="1" x14ac:dyDescent="0.35">
      <c r="C991" s="60"/>
      <c r="D991" s="61">
        <v>44876</v>
      </c>
      <c r="E991" s="16" t="s">
        <v>58</v>
      </c>
      <c r="J991" s="115"/>
      <c r="P991" s="62"/>
    </row>
    <row r="992" spans="3:16" ht="15.75" customHeight="1" x14ac:dyDescent="0.35">
      <c r="C992" s="60"/>
      <c r="D992" s="61">
        <v>44877</v>
      </c>
      <c r="E992" s="16" t="s">
        <v>58</v>
      </c>
      <c r="J992" s="115"/>
      <c r="P992" s="62"/>
    </row>
    <row r="993" spans="3:16" ht="15.75" customHeight="1" x14ac:dyDescent="0.35">
      <c r="C993" s="60"/>
      <c r="D993" s="61">
        <v>44878</v>
      </c>
      <c r="E993" s="16" t="s">
        <v>58</v>
      </c>
      <c r="J993" s="115"/>
      <c r="P993" s="62"/>
    </row>
    <row r="994" spans="3:16" ht="15.75" customHeight="1" x14ac:dyDescent="0.35">
      <c r="C994" s="60"/>
      <c r="D994" s="61">
        <v>44879</v>
      </c>
      <c r="E994" s="16" t="s">
        <v>58</v>
      </c>
      <c r="J994" s="115"/>
      <c r="P994" s="62"/>
    </row>
    <row r="995" spans="3:16" ht="15.75" customHeight="1" x14ac:dyDescent="0.35">
      <c r="C995" s="60"/>
      <c r="D995" s="61">
        <v>44880</v>
      </c>
      <c r="E995" s="16" t="s">
        <v>58</v>
      </c>
      <c r="J995" s="115"/>
      <c r="P995" s="62"/>
    </row>
    <row r="996" spans="3:16" ht="15.75" customHeight="1" x14ac:dyDescent="0.35">
      <c r="C996" s="60"/>
      <c r="D996" s="61">
        <v>44881</v>
      </c>
      <c r="E996" s="16" t="s">
        <v>58</v>
      </c>
      <c r="J996" s="115"/>
      <c r="P996" s="62"/>
    </row>
    <row r="997" spans="3:16" ht="15.75" customHeight="1" x14ac:dyDescent="0.35">
      <c r="C997" s="60"/>
      <c r="D997" s="61">
        <v>44882</v>
      </c>
      <c r="E997" s="16" t="s">
        <v>58</v>
      </c>
      <c r="J997" s="115"/>
      <c r="P997" s="62"/>
    </row>
    <row r="998" spans="3:16" ht="15.75" customHeight="1" x14ac:dyDescent="0.35">
      <c r="C998" s="60"/>
      <c r="D998" s="61">
        <v>44883</v>
      </c>
      <c r="E998" s="16" t="s">
        <v>58</v>
      </c>
      <c r="J998" s="115"/>
      <c r="P998" s="62"/>
    </row>
    <row r="999" spans="3:16" ht="15.75" customHeight="1" x14ac:dyDescent="0.35">
      <c r="C999" s="60"/>
      <c r="D999" s="61">
        <v>44884</v>
      </c>
      <c r="E999" s="16" t="s">
        <v>58</v>
      </c>
      <c r="J999" s="115"/>
      <c r="P999" s="62"/>
    </row>
    <row r="1000" spans="3:16" ht="15.75" customHeight="1" x14ac:dyDescent="0.35">
      <c r="C1000" s="60"/>
      <c r="D1000" s="61">
        <v>44885</v>
      </c>
      <c r="E1000" s="16" t="s">
        <v>58</v>
      </c>
      <c r="J1000" s="115"/>
      <c r="P1000" s="62"/>
    </row>
    <row r="1001" spans="3:16" ht="15.75" customHeight="1" x14ac:dyDescent="0.35">
      <c r="C1001" s="60"/>
      <c r="D1001" s="61"/>
      <c r="E1001" s="117"/>
      <c r="J1001" s="115"/>
      <c r="P1001" s="62"/>
    </row>
    <row r="1002" spans="3:16" ht="15.75" customHeight="1" x14ac:dyDescent="0.35">
      <c r="C1002" s="60"/>
      <c r="D1002" s="61"/>
      <c r="E1002" s="117"/>
      <c r="J1002" s="115"/>
      <c r="P1002" s="62"/>
    </row>
    <row r="1003" spans="3:16" ht="15.75" customHeight="1" x14ac:dyDescent="0.35">
      <c r="C1003" s="60"/>
      <c r="D1003" s="61"/>
      <c r="E1003" s="117"/>
      <c r="J1003" s="115"/>
      <c r="P1003" s="62"/>
    </row>
    <row r="1004" spans="3:16" ht="15.75" customHeight="1" x14ac:dyDescent="0.35">
      <c r="C1004" s="60"/>
      <c r="D1004" s="61"/>
      <c r="E1004" s="117"/>
      <c r="J1004" s="115"/>
      <c r="P1004" s="62"/>
    </row>
    <row r="1005" spans="3:16" ht="15.75" customHeight="1" x14ac:dyDescent="0.35">
      <c r="C1005" s="60"/>
      <c r="D1005" s="61"/>
      <c r="E1005" s="117"/>
      <c r="J1005" s="115"/>
      <c r="P1005" s="62"/>
    </row>
    <row r="1006" spans="3:16" ht="15.75" customHeight="1" x14ac:dyDescent="0.35">
      <c r="C1006" s="60"/>
      <c r="D1006" s="61"/>
      <c r="E1006" s="117"/>
      <c r="J1006" s="115"/>
      <c r="P1006" s="62"/>
    </row>
    <row r="1007" spans="3:16" ht="15.75" customHeight="1" x14ac:dyDescent="0.35">
      <c r="C1007" s="60"/>
      <c r="D1007" s="61"/>
      <c r="E1007" s="117"/>
      <c r="J1007" s="115"/>
      <c r="P1007" s="62"/>
    </row>
    <row r="1008" spans="3:16" ht="15.75" customHeight="1" x14ac:dyDescent="0.35">
      <c r="C1008" s="60"/>
      <c r="D1008" s="61"/>
      <c r="E1008" s="117"/>
      <c r="J1008" s="115"/>
      <c r="P1008" s="62"/>
    </row>
    <row r="1009" spans="3:16" ht="15.75" customHeight="1" x14ac:dyDescent="0.35">
      <c r="C1009" s="60"/>
      <c r="D1009" s="61"/>
      <c r="E1009" s="117"/>
      <c r="J1009" s="115"/>
      <c r="P1009" s="62"/>
    </row>
    <row r="1010" spans="3:16" ht="15.75" customHeight="1" x14ac:dyDescent="0.35">
      <c r="C1010" s="60"/>
      <c r="D1010" s="61"/>
      <c r="E1010" s="117"/>
      <c r="J1010" s="115"/>
      <c r="P1010" s="62"/>
    </row>
    <row r="1011" spans="3:16" ht="15.75" customHeight="1" x14ac:dyDescent="0.35">
      <c r="C1011" s="60"/>
      <c r="D1011" s="61"/>
      <c r="E1011" s="117"/>
      <c r="J1011" s="115"/>
      <c r="P1011" s="62"/>
    </row>
    <row r="1012" spans="3:16" ht="15.75" customHeight="1" x14ac:dyDescent="0.35">
      <c r="C1012" s="60"/>
      <c r="D1012" s="61"/>
      <c r="E1012" s="117"/>
      <c r="J1012" s="115"/>
      <c r="P1012" s="62"/>
    </row>
    <row r="1013" spans="3:16" ht="15.75" customHeight="1" x14ac:dyDescent="0.35">
      <c r="C1013" s="60"/>
      <c r="D1013" s="61"/>
      <c r="E1013" s="117"/>
      <c r="J1013" s="115"/>
      <c r="P1013" s="62"/>
    </row>
    <row r="1014" spans="3:16" ht="15.75" customHeight="1" x14ac:dyDescent="0.35">
      <c r="C1014" s="60"/>
      <c r="D1014" s="61"/>
      <c r="E1014" s="117"/>
      <c r="J1014" s="115"/>
      <c r="P1014" s="62"/>
    </row>
    <row r="1015" spans="3:16" ht="15.75" customHeight="1" x14ac:dyDescent="0.35">
      <c r="C1015" s="60"/>
      <c r="D1015" s="61"/>
      <c r="E1015" s="117"/>
      <c r="J1015" s="115"/>
      <c r="P1015" s="62"/>
    </row>
    <row r="1016" spans="3:16" ht="15.75" customHeight="1" x14ac:dyDescent="0.35">
      <c r="C1016" s="60"/>
      <c r="D1016" s="61"/>
      <c r="E1016" s="117"/>
      <c r="J1016" s="115"/>
      <c r="P1016" s="62"/>
    </row>
    <row r="1017" spans="3:16" ht="15.75" customHeight="1" x14ac:dyDescent="0.35">
      <c r="C1017" s="60"/>
      <c r="D1017" s="61"/>
      <c r="E1017" s="117"/>
      <c r="J1017" s="115"/>
      <c r="P1017" s="62"/>
    </row>
    <row r="1018" spans="3:16" ht="15.75" customHeight="1" x14ac:dyDescent="0.35">
      <c r="C1018" s="60"/>
      <c r="D1018" s="61"/>
      <c r="E1018" s="117"/>
      <c r="J1018" s="115"/>
      <c r="P1018" s="62"/>
    </row>
    <row r="1019" spans="3:16" ht="15.75" customHeight="1" x14ac:dyDescent="0.35">
      <c r="C1019" s="60"/>
      <c r="D1019" s="61"/>
      <c r="E1019" s="117"/>
      <c r="J1019" s="115"/>
      <c r="P1019" s="62"/>
    </row>
    <row r="1020" spans="3:16" ht="15.75" customHeight="1" x14ac:dyDescent="0.35">
      <c r="C1020" s="60"/>
      <c r="D1020" s="61"/>
      <c r="E1020" s="117"/>
      <c r="J1020" s="115"/>
      <c r="P1020" s="62"/>
    </row>
    <row r="1021" spans="3:16" ht="15.75" customHeight="1" x14ac:dyDescent="0.35">
      <c r="C1021" s="60"/>
      <c r="D1021" s="61"/>
      <c r="E1021" s="117"/>
      <c r="J1021" s="115"/>
      <c r="P1021" s="62"/>
    </row>
    <row r="1022" spans="3:16" ht="15.75" customHeight="1" x14ac:dyDescent="0.35">
      <c r="C1022" s="60"/>
      <c r="D1022" s="61"/>
      <c r="E1022" s="117"/>
      <c r="J1022" s="115"/>
      <c r="P1022" s="62"/>
    </row>
    <row r="1023" spans="3:16" ht="15.75" customHeight="1" x14ac:dyDescent="0.35">
      <c r="C1023" s="60"/>
      <c r="D1023" s="61"/>
      <c r="E1023" s="117"/>
      <c r="J1023" s="115"/>
      <c r="P1023" s="62"/>
    </row>
    <row r="1024" spans="3:16" ht="15.75" customHeight="1" x14ac:dyDescent="0.35">
      <c r="C1024" s="60"/>
      <c r="D1024" s="61"/>
      <c r="E1024" s="117"/>
      <c r="J1024" s="115"/>
      <c r="P1024" s="62"/>
    </row>
    <row r="1025" spans="3:16" ht="15.75" customHeight="1" x14ac:dyDescent="0.35">
      <c r="C1025" s="60"/>
      <c r="D1025" s="61"/>
      <c r="E1025" s="117"/>
      <c r="J1025" s="115"/>
      <c r="P1025" s="62"/>
    </row>
    <row r="1026" spans="3:16" ht="15.75" customHeight="1" x14ac:dyDescent="0.35">
      <c r="C1026" s="60"/>
      <c r="D1026" s="61"/>
      <c r="E1026" s="117"/>
      <c r="J1026" s="115"/>
      <c r="P1026" s="62"/>
    </row>
    <row r="1027" spans="3:16" ht="15.75" customHeight="1" x14ac:dyDescent="0.35">
      <c r="C1027" s="60"/>
      <c r="D1027" s="61"/>
      <c r="E1027" s="117"/>
      <c r="J1027" s="115"/>
      <c r="P1027" s="62"/>
    </row>
    <row r="1028" spans="3:16" ht="15.75" customHeight="1" x14ac:dyDescent="0.35">
      <c r="C1028" s="60"/>
      <c r="D1028" s="61"/>
      <c r="E1028" s="117"/>
      <c r="J1028" s="115"/>
      <c r="P1028" s="62"/>
    </row>
    <row r="1029" spans="3:16" ht="15.75" customHeight="1" x14ac:dyDescent="0.35">
      <c r="C1029" s="60"/>
      <c r="D1029" s="61"/>
      <c r="E1029" s="117"/>
      <c r="J1029" s="115"/>
      <c r="P1029" s="62"/>
    </row>
    <row r="1030" spans="3:16" ht="15.75" customHeight="1" x14ac:dyDescent="0.35">
      <c r="C1030" s="60"/>
      <c r="D1030" s="61"/>
      <c r="E1030" s="117"/>
      <c r="J1030" s="115"/>
      <c r="P1030" s="62"/>
    </row>
    <row r="1031" spans="3:16" ht="15.75" customHeight="1" x14ac:dyDescent="0.35">
      <c r="C1031" s="60"/>
      <c r="D1031" s="61"/>
      <c r="E1031" s="117"/>
      <c r="J1031" s="115"/>
      <c r="P1031" s="62"/>
    </row>
    <row r="1032" spans="3:16" ht="15.75" customHeight="1" x14ac:dyDescent="0.35">
      <c r="C1032" s="60"/>
      <c r="D1032" s="61"/>
      <c r="E1032" s="117"/>
      <c r="J1032" s="115"/>
      <c r="P1032" s="62"/>
    </row>
    <row r="1033" spans="3:16" ht="15.75" customHeight="1" x14ac:dyDescent="0.35">
      <c r="C1033" s="60"/>
      <c r="D1033" s="61"/>
      <c r="E1033" s="117"/>
      <c r="J1033" s="115"/>
      <c r="P1033" s="62"/>
    </row>
    <row r="1034" spans="3:16" ht="15.75" customHeight="1" x14ac:dyDescent="0.35">
      <c r="C1034" s="60"/>
      <c r="D1034" s="61"/>
      <c r="E1034" s="117"/>
      <c r="J1034" s="115"/>
      <c r="P1034" s="62"/>
    </row>
    <row r="1035" spans="3:16" ht="15.75" customHeight="1" x14ac:dyDescent="0.35">
      <c r="C1035" s="60"/>
      <c r="D1035" s="61"/>
      <c r="E1035" s="117"/>
      <c r="J1035" s="115"/>
      <c r="P1035" s="62"/>
    </row>
    <row r="1036" spans="3:16" ht="15.75" customHeight="1" x14ac:dyDescent="0.35">
      <c r="C1036" s="60"/>
      <c r="D1036" s="61"/>
      <c r="E1036" s="117"/>
      <c r="J1036" s="115"/>
      <c r="P1036" s="62"/>
    </row>
    <row r="1037" spans="3:16" ht="15.75" customHeight="1" x14ac:dyDescent="0.35">
      <c r="C1037" s="60"/>
      <c r="D1037" s="61"/>
      <c r="E1037" s="117"/>
      <c r="J1037" s="115"/>
      <c r="P1037" s="62"/>
    </row>
    <row r="1038" spans="3:16" ht="15.75" customHeight="1" x14ac:dyDescent="0.35">
      <c r="C1038" s="60"/>
      <c r="D1038" s="61"/>
      <c r="E1038" s="117"/>
      <c r="J1038" s="115"/>
      <c r="P1038" s="62"/>
    </row>
    <row r="1039" spans="3:16" ht="15.75" customHeight="1" x14ac:dyDescent="0.35">
      <c r="C1039" s="60"/>
      <c r="D1039" s="61"/>
      <c r="E1039" s="117"/>
      <c r="J1039" s="115"/>
      <c r="P1039" s="62"/>
    </row>
    <row r="1040" spans="3:16" ht="15.75" customHeight="1" x14ac:dyDescent="0.35">
      <c r="C1040" s="60"/>
      <c r="D1040" s="61"/>
      <c r="E1040" s="117"/>
      <c r="J1040" s="115"/>
      <c r="P1040" s="62"/>
    </row>
    <row r="1041" spans="3:16" ht="15.75" customHeight="1" x14ac:dyDescent="0.35">
      <c r="C1041" s="60"/>
      <c r="D1041" s="61"/>
      <c r="E1041" s="117"/>
      <c r="J1041" s="115"/>
      <c r="P1041" s="62"/>
    </row>
    <row r="1042" spans="3:16" ht="15.75" customHeight="1" x14ac:dyDescent="0.35">
      <c r="C1042" s="60"/>
      <c r="D1042" s="61"/>
      <c r="E1042" s="117"/>
      <c r="J1042" s="115"/>
      <c r="P1042" s="62"/>
    </row>
    <row r="1043" spans="3:16" ht="15.75" customHeight="1" x14ac:dyDescent="0.35">
      <c r="C1043" s="60"/>
      <c r="D1043" s="61"/>
      <c r="E1043" s="117"/>
      <c r="J1043" s="115"/>
      <c r="P1043" s="62"/>
    </row>
    <row r="1044" spans="3:16" ht="15.75" customHeight="1" x14ac:dyDescent="0.35">
      <c r="C1044" s="60"/>
      <c r="D1044" s="61"/>
      <c r="E1044" s="117"/>
      <c r="J1044" s="115"/>
      <c r="P1044" s="62"/>
    </row>
    <row r="1045" spans="3:16" ht="15.75" customHeight="1" x14ac:dyDescent="0.35">
      <c r="C1045" s="60"/>
      <c r="D1045" s="61"/>
      <c r="E1045" s="117"/>
      <c r="J1045" s="115"/>
      <c r="P1045" s="62"/>
    </row>
    <row r="1046" spans="3:16" ht="15.75" customHeight="1" x14ac:dyDescent="0.35">
      <c r="C1046" s="60"/>
      <c r="D1046" s="61"/>
      <c r="E1046" s="117"/>
      <c r="J1046" s="115"/>
      <c r="P1046" s="62"/>
    </row>
    <row r="1047" spans="3:16" ht="15.75" customHeight="1" x14ac:dyDescent="0.35">
      <c r="C1047" s="60"/>
      <c r="D1047" s="61"/>
      <c r="E1047" s="117"/>
      <c r="J1047" s="115"/>
      <c r="P1047" s="62"/>
    </row>
    <row r="1048" spans="3:16" ht="15.75" customHeight="1" x14ac:dyDescent="0.35">
      <c r="C1048" s="60"/>
      <c r="D1048" s="61"/>
      <c r="E1048" s="117"/>
      <c r="J1048" s="115"/>
      <c r="P1048" s="62"/>
    </row>
    <row r="1049" spans="3:16" ht="15.75" customHeight="1" x14ac:dyDescent="0.35">
      <c r="C1049" s="60"/>
      <c r="D1049" s="61"/>
      <c r="E1049" s="117"/>
      <c r="J1049" s="115"/>
      <c r="P1049" s="62"/>
    </row>
    <row r="1050" spans="3:16" ht="15.75" customHeight="1" x14ac:dyDescent="0.35">
      <c r="C1050" s="60"/>
      <c r="D1050" s="61"/>
      <c r="E1050" s="117"/>
      <c r="J1050" s="115"/>
      <c r="P1050" s="62"/>
    </row>
    <row r="1051" spans="3:16" ht="15.75" customHeight="1" x14ac:dyDescent="0.35">
      <c r="C1051" s="60"/>
      <c r="D1051" s="61"/>
      <c r="E1051" s="117"/>
      <c r="J1051" s="115"/>
      <c r="P1051" s="62"/>
    </row>
    <row r="1052" spans="3:16" ht="15.75" customHeight="1" x14ac:dyDescent="0.35">
      <c r="C1052" s="60"/>
      <c r="D1052" s="61"/>
      <c r="E1052" s="117"/>
      <c r="J1052" s="115"/>
      <c r="P1052" s="62"/>
    </row>
    <row r="1053" spans="3:16" ht="15.75" customHeight="1" x14ac:dyDescent="0.35">
      <c r="C1053" s="60"/>
      <c r="D1053" s="61"/>
      <c r="E1053" s="117"/>
      <c r="J1053" s="115"/>
      <c r="P1053" s="62"/>
    </row>
    <row r="1054" spans="3:16" ht="15.75" customHeight="1" x14ac:dyDescent="0.35">
      <c r="C1054" s="60"/>
      <c r="D1054" s="61"/>
      <c r="E1054" s="117"/>
      <c r="J1054" s="115"/>
      <c r="P1054" s="62"/>
    </row>
    <row r="1055" spans="3:16" ht="15.75" customHeight="1" x14ac:dyDescent="0.35">
      <c r="C1055" s="60"/>
      <c r="D1055" s="61"/>
      <c r="E1055" s="117"/>
      <c r="J1055" s="115"/>
      <c r="P1055" s="62"/>
    </row>
    <row r="1056" spans="3:16" ht="15.75" customHeight="1" x14ac:dyDescent="0.35">
      <c r="C1056" s="60"/>
      <c r="D1056" s="61"/>
      <c r="E1056" s="117"/>
      <c r="J1056" s="115"/>
      <c r="P1056" s="62"/>
    </row>
    <row r="1057" spans="3:16" ht="15.75" customHeight="1" x14ac:dyDescent="0.35">
      <c r="C1057" s="60"/>
      <c r="D1057" s="61"/>
      <c r="E1057" s="117"/>
      <c r="J1057" s="115"/>
      <c r="P1057" s="62"/>
    </row>
    <row r="1058" spans="3:16" ht="15.75" customHeight="1" x14ac:dyDescent="0.35">
      <c r="C1058" s="60"/>
      <c r="D1058" s="61"/>
      <c r="E1058" s="117"/>
      <c r="J1058" s="115"/>
      <c r="P1058" s="62"/>
    </row>
    <row r="1059" spans="3:16" ht="15.75" customHeight="1" x14ac:dyDescent="0.35">
      <c r="C1059" s="60"/>
      <c r="D1059" s="61"/>
      <c r="E1059" s="117"/>
      <c r="J1059" s="115"/>
      <c r="P1059" s="62"/>
    </row>
    <row r="1060" spans="3:16" ht="15.75" customHeight="1" x14ac:dyDescent="0.35">
      <c r="C1060" s="60"/>
      <c r="D1060" s="61"/>
      <c r="E1060" s="117"/>
      <c r="J1060" s="115"/>
      <c r="P1060" s="62"/>
    </row>
    <row r="1061" spans="3:16" ht="15.75" customHeight="1" x14ac:dyDescent="0.35">
      <c r="C1061" s="60"/>
      <c r="D1061" s="61"/>
      <c r="E1061" s="117"/>
      <c r="J1061" s="115"/>
      <c r="P1061" s="62"/>
    </row>
    <row r="1062" spans="3:16" ht="15.75" customHeight="1" x14ac:dyDescent="0.35">
      <c r="C1062" s="60"/>
      <c r="D1062" s="61"/>
      <c r="E1062" s="117"/>
      <c r="J1062" s="115"/>
      <c r="P1062" s="62"/>
    </row>
    <row r="1063" spans="3:16" ht="15.75" customHeight="1" x14ac:dyDescent="0.35">
      <c r="C1063" s="60"/>
      <c r="D1063" s="61"/>
      <c r="E1063" s="117"/>
      <c r="J1063" s="115"/>
      <c r="P1063" s="62"/>
    </row>
    <row r="1064" spans="3:16" ht="15.75" customHeight="1" x14ac:dyDescent="0.35">
      <c r="C1064" s="60"/>
      <c r="D1064" s="61"/>
      <c r="E1064" s="117"/>
      <c r="J1064" s="115"/>
      <c r="P1064" s="62"/>
    </row>
    <row r="1065" spans="3:16" ht="15.75" customHeight="1" x14ac:dyDescent="0.35">
      <c r="C1065" s="60"/>
      <c r="D1065" s="61"/>
      <c r="E1065" s="117"/>
      <c r="J1065" s="115"/>
      <c r="P1065" s="62"/>
    </row>
    <row r="1066" spans="3:16" ht="15.75" customHeight="1" x14ac:dyDescent="0.35">
      <c r="C1066" s="60"/>
      <c r="D1066" s="61"/>
      <c r="E1066" s="117"/>
      <c r="J1066" s="115"/>
      <c r="P1066" s="62"/>
    </row>
    <row r="1067" spans="3:16" ht="15.75" customHeight="1" x14ac:dyDescent="0.35">
      <c r="C1067" s="60"/>
      <c r="D1067" s="61"/>
      <c r="E1067" s="117"/>
      <c r="J1067" s="115"/>
      <c r="P1067" s="62"/>
    </row>
    <row r="1068" spans="3:16" ht="15.75" customHeight="1" x14ac:dyDescent="0.35">
      <c r="C1068" s="60"/>
      <c r="D1068" s="61"/>
      <c r="E1068" s="117"/>
      <c r="J1068" s="115"/>
      <c r="P1068" s="62"/>
    </row>
    <row r="1069" spans="3:16" ht="15.75" customHeight="1" x14ac:dyDescent="0.35">
      <c r="C1069" s="60"/>
      <c r="D1069" s="61"/>
      <c r="E1069" s="117"/>
      <c r="J1069" s="115"/>
      <c r="P1069" s="62"/>
    </row>
    <row r="1070" spans="3:16" ht="15.75" customHeight="1" x14ac:dyDescent="0.35">
      <c r="C1070" s="60"/>
      <c r="D1070" s="61"/>
      <c r="E1070" s="117"/>
      <c r="J1070" s="115"/>
      <c r="P1070" s="62"/>
    </row>
    <row r="1071" spans="3:16" ht="15.75" customHeight="1" x14ac:dyDescent="0.35">
      <c r="C1071" s="60"/>
      <c r="D1071" s="61"/>
      <c r="E1071" s="117"/>
      <c r="J1071" s="115"/>
      <c r="P1071" s="62"/>
    </row>
    <row r="1072" spans="3:16" ht="15.75" customHeight="1" x14ac:dyDescent="0.35">
      <c r="C1072" s="60"/>
      <c r="D1072" s="61"/>
      <c r="E1072" s="117"/>
      <c r="J1072" s="115"/>
      <c r="P1072" s="62"/>
    </row>
    <row r="1073" spans="3:16" ht="15.75" customHeight="1" x14ac:dyDescent="0.35">
      <c r="C1073" s="60"/>
      <c r="D1073" s="61"/>
      <c r="E1073" s="117"/>
      <c r="J1073" s="115"/>
      <c r="P1073" s="62"/>
    </row>
    <row r="1074" spans="3:16" ht="15.75" customHeight="1" x14ac:dyDescent="0.35">
      <c r="C1074" s="60"/>
      <c r="D1074" s="61"/>
      <c r="E1074" s="117"/>
      <c r="J1074" s="115"/>
      <c r="P1074" s="62"/>
    </row>
    <row r="1075" spans="3:16" ht="15.75" customHeight="1" x14ac:dyDescent="0.35">
      <c r="C1075" s="60"/>
      <c r="D1075" s="61"/>
      <c r="E1075" s="117"/>
      <c r="J1075" s="115"/>
      <c r="P1075" s="62"/>
    </row>
    <row r="1076" spans="3:16" ht="15.75" customHeight="1" x14ac:dyDescent="0.35">
      <c r="C1076" s="60"/>
      <c r="D1076" s="61"/>
      <c r="E1076" s="117"/>
      <c r="J1076" s="115"/>
      <c r="P1076" s="62"/>
    </row>
    <row r="1077" spans="3:16" ht="15.75" customHeight="1" x14ac:dyDescent="0.35">
      <c r="C1077" s="60"/>
      <c r="D1077" s="61"/>
      <c r="E1077" s="117"/>
      <c r="J1077" s="115"/>
      <c r="P1077" s="62"/>
    </row>
    <row r="1078" spans="3:16" ht="15.75" customHeight="1" x14ac:dyDescent="0.35">
      <c r="C1078" s="60"/>
      <c r="D1078" s="61"/>
      <c r="E1078" s="117"/>
      <c r="J1078" s="115"/>
      <c r="P1078" s="62"/>
    </row>
    <row r="1079" spans="3:16" ht="15.75" customHeight="1" x14ac:dyDescent="0.35">
      <c r="C1079" s="60"/>
      <c r="D1079" s="61"/>
      <c r="E1079" s="117"/>
      <c r="J1079" s="115"/>
      <c r="P1079" s="62"/>
    </row>
    <row r="1080" spans="3:16" ht="15.75" customHeight="1" x14ac:dyDescent="0.35">
      <c r="C1080" s="60"/>
      <c r="D1080" s="61"/>
      <c r="E1080" s="117"/>
      <c r="J1080" s="115"/>
      <c r="P1080" s="62"/>
    </row>
    <row r="1081" spans="3:16" ht="15.75" customHeight="1" x14ac:dyDescent="0.35">
      <c r="C1081" s="60"/>
      <c r="D1081" s="61"/>
      <c r="E1081" s="117"/>
      <c r="J1081" s="115"/>
      <c r="P1081" s="62"/>
    </row>
    <row r="1082" spans="3:16" ht="15.75" customHeight="1" x14ac:dyDescent="0.35">
      <c r="C1082" s="60"/>
      <c r="D1082" s="61"/>
      <c r="E1082" s="117"/>
      <c r="J1082" s="115"/>
      <c r="P1082" s="62"/>
    </row>
    <row r="1083" spans="3:16" ht="15.75" customHeight="1" x14ac:dyDescent="0.35">
      <c r="C1083" s="60"/>
      <c r="D1083" s="61"/>
      <c r="E1083" s="117"/>
      <c r="J1083" s="115"/>
      <c r="P1083" s="62"/>
    </row>
    <row r="1084" spans="3:16" ht="15.75" customHeight="1" x14ac:dyDescent="0.35">
      <c r="C1084" s="60"/>
      <c r="D1084" s="61"/>
      <c r="E1084" s="117"/>
      <c r="J1084" s="115"/>
      <c r="P1084" s="62"/>
    </row>
    <row r="1085" spans="3:16" ht="15.75" customHeight="1" x14ac:dyDescent="0.35">
      <c r="C1085" s="60"/>
      <c r="D1085" s="61"/>
      <c r="E1085" s="117"/>
      <c r="J1085" s="115"/>
      <c r="P1085" s="62"/>
    </row>
    <row r="1086" spans="3:16" ht="15.75" customHeight="1" x14ac:dyDescent="0.35">
      <c r="C1086" s="60"/>
      <c r="D1086" s="61"/>
      <c r="E1086" s="117"/>
      <c r="J1086" s="115"/>
      <c r="P1086" s="62"/>
    </row>
    <row r="1087" spans="3:16" ht="15.75" customHeight="1" x14ac:dyDescent="0.35">
      <c r="C1087" s="60"/>
      <c r="D1087" s="61"/>
      <c r="E1087" s="117"/>
      <c r="J1087" s="115"/>
      <c r="P1087" s="62"/>
    </row>
    <row r="1088" spans="3:16" ht="15.75" customHeight="1" x14ac:dyDescent="0.35">
      <c r="C1088" s="60"/>
      <c r="D1088" s="61"/>
      <c r="E1088" s="117"/>
      <c r="J1088" s="115"/>
      <c r="P1088" s="62"/>
    </row>
    <row r="1089" spans="3:16" ht="15.75" customHeight="1" x14ac:dyDescent="0.35">
      <c r="C1089" s="60"/>
      <c r="D1089" s="61"/>
      <c r="E1089" s="117"/>
      <c r="J1089" s="115"/>
      <c r="P1089" s="62"/>
    </row>
    <row r="1090" spans="3:16" ht="15.75" customHeight="1" x14ac:dyDescent="0.35">
      <c r="C1090" s="60"/>
      <c r="D1090" s="61"/>
      <c r="E1090" s="117"/>
      <c r="J1090" s="115"/>
      <c r="P1090" s="62"/>
    </row>
    <row r="1091" spans="3:16" ht="15.75" customHeight="1" x14ac:dyDescent="0.35">
      <c r="C1091" s="60"/>
      <c r="D1091" s="61"/>
      <c r="E1091" s="117"/>
      <c r="J1091" s="115"/>
      <c r="P1091" s="62"/>
    </row>
    <row r="1092" spans="3:16" ht="15.75" customHeight="1" x14ac:dyDescent="0.35">
      <c r="C1092" s="60"/>
      <c r="D1092" s="61"/>
      <c r="E1092" s="117"/>
      <c r="J1092" s="115"/>
      <c r="P1092" s="62"/>
    </row>
    <row r="1093" spans="3:16" ht="15.75" customHeight="1" x14ac:dyDescent="0.35">
      <c r="C1093" s="60"/>
      <c r="D1093" s="61"/>
      <c r="E1093" s="117"/>
      <c r="J1093" s="115"/>
      <c r="P1093" s="62"/>
    </row>
    <row r="1094" spans="3:16" ht="15.75" customHeight="1" x14ac:dyDescent="0.35">
      <c r="C1094" s="60"/>
      <c r="D1094" s="61"/>
      <c r="E1094" s="117"/>
      <c r="J1094" s="115"/>
      <c r="P1094" s="62"/>
    </row>
    <row r="1095" spans="3:16" ht="15.75" customHeight="1" x14ac:dyDescent="0.35">
      <c r="C1095" s="60"/>
      <c r="D1095" s="61"/>
      <c r="E1095" s="117"/>
      <c r="J1095" s="115"/>
      <c r="P1095" s="62"/>
    </row>
    <row r="1096" spans="3:16" ht="15.75" customHeight="1" x14ac:dyDescent="0.35">
      <c r="C1096" s="60"/>
      <c r="D1096" s="61"/>
      <c r="E1096" s="117"/>
      <c r="J1096" s="115"/>
      <c r="P1096" s="62"/>
    </row>
    <row r="1097" spans="3:16" ht="15.75" customHeight="1" x14ac:dyDescent="0.35">
      <c r="C1097" s="60"/>
      <c r="D1097" s="61"/>
      <c r="E1097" s="117"/>
      <c r="J1097" s="115"/>
      <c r="P1097" s="62"/>
    </row>
    <row r="1098" spans="3:16" ht="15.75" customHeight="1" x14ac:dyDescent="0.35">
      <c r="C1098" s="60"/>
      <c r="D1098" s="61"/>
      <c r="E1098" s="117"/>
      <c r="J1098" s="115"/>
      <c r="P1098" s="62"/>
    </row>
    <row r="1099" spans="3:16" ht="15.75" customHeight="1" x14ac:dyDescent="0.35">
      <c r="C1099" s="60"/>
      <c r="D1099" s="61"/>
      <c r="E1099" s="117"/>
      <c r="J1099" s="115"/>
      <c r="P1099" s="62"/>
    </row>
    <row r="1100" spans="3:16" ht="15.75" customHeight="1" x14ac:dyDescent="0.35">
      <c r="C1100" s="60"/>
      <c r="D1100" s="61"/>
      <c r="E1100" s="117"/>
      <c r="J1100" s="115"/>
      <c r="P1100" s="62"/>
    </row>
    <row r="1101" spans="3:16" ht="15.75" customHeight="1" x14ac:dyDescent="0.35">
      <c r="C1101" s="60"/>
      <c r="D1101" s="61"/>
      <c r="E1101" s="117"/>
      <c r="J1101" s="115"/>
      <c r="P1101" s="62"/>
    </row>
    <row r="1102" spans="3:16" ht="15.75" customHeight="1" x14ac:dyDescent="0.35">
      <c r="C1102" s="60"/>
      <c r="D1102" s="61"/>
      <c r="E1102" s="117"/>
      <c r="J1102" s="115"/>
      <c r="P1102" s="62"/>
    </row>
    <row r="1103" spans="3:16" ht="15.75" customHeight="1" x14ac:dyDescent="0.35">
      <c r="C1103" s="60"/>
      <c r="D1103" s="61"/>
      <c r="E1103" s="117"/>
      <c r="J1103" s="115"/>
      <c r="P1103" s="62"/>
    </row>
    <row r="1104" spans="3:16" ht="15.75" customHeight="1" x14ac:dyDescent="0.35">
      <c r="C1104" s="60"/>
      <c r="D1104" s="61"/>
      <c r="E1104" s="117"/>
      <c r="J1104" s="115"/>
      <c r="P1104" s="62"/>
    </row>
    <row r="1105" spans="3:16" ht="15.75" customHeight="1" x14ac:dyDescent="0.35">
      <c r="C1105" s="60"/>
      <c r="D1105" s="61"/>
      <c r="E1105" s="117"/>
      <c r="J1105" s="115"/>
      <c r="P1105" s="62"/>
    </row>
    <row r="1106" spans="3:16" ht="15.75" customHeight="1" x14ac:dyDescent="0.35">
      <c r="C1106" s="60"/>
      <c r="D1106" s="61"/>
      <c r="E1106" s="117"/>
      <c r="J1106" s="115"/>
      <c r="P1106" s="62"/>
    </row>
    <row r="1107" spans="3:16" ht="15.75" customHeight="1" x14ac:dyDescent="0.35">
      <c r="C1107" s="60"/>
      <c r="D1107" s="61"/>
      <c r="E1107" s="117"/>
      <c r="J1107" s="115"/>
      <c r="P1107" s="62"/>
    </row>
    <row r="1108" spans="3:16" ht="15.75" customHeight="1" x14ac:dyDescent="0.35">
      <c r="C1108" s="60"/>
      <c r="D1108" s="61"/>
      <c r="E1108" s="117"/>
      <c r="J1108" s="115"/>
      <c r="P1108" s="62"/>
    </row>
    <row r="1109" spans="3:16" ht="15.75" customHeight="1" x14ac:dyDescent="0.35">
      <c r="C1109" s="60"/>
      <c r="D1109" s="61"/>
      <c r="E1109" s="117"/>
      <c r="J1109" s="115"/>
      <c r="P1109" s="62"/>
    </row>
    <row r="1110" spans="3:16" ht="15.75" customHeight="1" x14ac:dyDescent="0.35">
      <c r="C1110" s="60"/>
      <c r="D1110" s="61"/>
      <c r="E1110" s="117"/>
      <c r="J1110" s="115"/>
      <c r="P1110" s="62"/>
    </row>
    <row r="1111" spans="3:16" ht="15.75" customHeight="1" x14ac:dyDescent="0.35">
      <c r="C1111" s="60"/>
      <c r="D1111" s="61"/>
      <c r="E1111" s="117"/>
      <c r="J1111" s="115"/>
      <c r="P1111" s="62"/>
    </row>
    <row r="1112" spans="3:16" ht="15.75" customHeight="1" x14ac:dyDescent="0.35">
      <c r="C1112" s="60"/>
      <c r="D1112" s="61"/>
      <c r="E1112" s="117"/>
      <c r="J1112" s="115"/>
      <c r="P1112" s="62"/>
    </row>
    <row r="1113" spans="3:16" ht="15.75" customHeight="1" x14ac:dyDescent="0.35">
      <c r="C1113" s="60"/>
      <c r="D1113" s="61"/>
      <c r="E1113" s="117"/>
      <c r="J1113" s="115"/>
      <c r="P1113" s="62"/>
    </row>
    <row r="1114" spans="3:16" ht="15.75" customHeight="1" x14ac:dyDescent="0.35">
      <c r="C1114" s="60"/>
      <c r="D1114" s="61"/>
      <c r="E1114" s="117"/>
      <c r="J1114" s="115"/>
      <c r="P1114" s="62"/>
    </row>
    <row r="1115" spans="3:16" ht="15.75" customHeight="1" x14ac:dyDescent="0.35">
      <c r="C1115" s="60"/>
      <c r="D1115" s="61"/>
      <c r="E1115" s="117"/>
      <c r="J1115" s="115"/>
      <c r="P1115" s="62"/>
    </row>
    <row r="1116" spans="3:16" ht="15.75" customHeight="1" x14ac:dyDescent="0.35">
      <c r="C1116" s="60"/>
      <c r="D1116" s="61"/>
      <c r="E1116" s="117"/>
      <c r="J1116" s="115"/>
      <c r="P1116" s="62"/>
    </row>
    <row r="1117" spans="3:16" ht="15.75" customHeight="1" x14ac:dyDescent="0.35">
      <c r="C1117" s="60"/>
      <c r="D1117" s="61"/>
      <c r="E1117" s="117"/>
      <c r="J1117" s="115"/>
      <c r="P1117" s="62"/>
    </row>
    <row r="1118" spans="3:16" ht="15.75" customHeight="1" x14ac:dyDescent="0.35">
      <c r="C1118" s="60"/>
      <c r="D1118" s="61"/>
      <c r="E1118" s="117"/>
      <c r="J1118" s="115"/>
      <c r="P1118" s="62"/>
    </row>
    <row r="1119" spans="3:16" ht="15.75" customHeight="1" x14ac:dyDescent="0.35">
      <c r="C1119" s="60"/>
      <c r="D1119" s="61"/>
      <c r="E1119" s="117"/>
      <c r="J1119" s="115"/>
      <c r="P1119" s="62"/>
    </row>
    <row r="1120" spans="3:16" ht="15.75" customHeight="1" x14ac:dyDescent="0.35">
      <c r="C1120" s="60"/>
      <c r="D1120" s="61"/>
      <c r="E1120" s="117"/>
      <c r="J1120" s="115"/>
      <c r="P1120" s="62"/>
    </row>
    <row r="1121" spans="3:16" ht="15.75" customHeight="1" x14ac:dyDescent="0.35">
      <c r="C1121" s="60"/>
      <c r="D1121" s="61"/>
      <c r="E1121" s="117"/>
      <c r="J1121" s="115"/>
      <c r="P1121" s="62"/>
    </row>
    <row r="1122" spans="3:16" ht="15.75" customHeight="1" x14ac:dyDescent="0.35">
      <c r="C1122" s="60"/>
      <c r="D1122" s="61"/>
      <c r="E1122" s="117"/>
      <c r="J1122" s="115"/>
      <c r="P1122" s="62"/>
    </row>
    <row r="1123" spans="3:16" ht="15.75" customHeight="1" x14ac:dyDescent="0.35">
      <c r="C1123" s="60"/>
      <c r="D1123" s="61"/>
      <c r="E1123" s="117"/>
      <c r="J1123" s="115"/>
      <c r="P1123" s="62"/>
    </row>
    <row r="1124" spans="3:16" ht="15.75" customHeight="1" x14ac:dyDescent="0.35">
      <c r="C1124" s="60"/>
      <c r="D1124" s="61"/>
      <c r="E1124" s="117"/>
      <c r="J1124" s="115"/>
      <c r="P1124" s="62"/>
    </row>
    <row r="1125" spans="3:16" ht="15.75" customHeight="1" x14ac:dyDescent="0.35">
      <c r="C1125" s="60"/>
      <c r="D1125" s="61"/>
      <c r="E1125" s="117"/>
      <c r="J1125" s="115"/>
      <c r="P1125" s="62"/>
    </row>
    <row r="1126" spans="3:16" ht="15.75" customHeight="1" x14ac:dyDescent="0.35">
      <c r="C1126" s="60"/>
      <c r="D1126" s="61"/>
      <c r="E1126" s="117"/>
      <c r="J1126" s="115"/>
      <c r="P1126" s="62"/>
    </row>
    <row r="1127" spans="3:16" ht="15.75" customHeight="1" x14ac:dyDescent="0.35">
      <c r="C1127" s="60"/>
      <c r="D1127" s="61"/>
      <c r="E1127" s="117"/>
      <c r="J1127" s="115"/>
      <c r="P1127" s="62"/>
    </row>
    <row r="1128" spans="3:16" ht="15.75" customHeight="1" x14ac:dyDescent="0.35">
      <c r="C1128" s="60"/>
      <c r="D1128" s="61"/>
      <c r="E1128" s="117"/>
      <c r="J1128" s="115"/>
      <c r="P1128" s="62"/>
    </row>
    <row r="1129" spans="3:16" ht="15.75" customHeight="1" x14ac:dyDescent="0.35">
      <c r="C1129" s="60"/>
      <c r="D1129" s="61"/>
      <c r="E1129" s="117"/>
      <c r="J1129" s="115"/>
      <c r="P1129" s="62"/>
    </row>
    <row r="1130" spans="3:16" ht="15.75" customHeight="1" x14ac:dyDescent="0.35">
      <c r="C1130" s="60"/>
      <c r="D1130" s="61"/>
      <c r="E1130" s="117"/>
      <c r="J1130" s="115"/>
      <c r="P1130" s="62"/>
    </row>
    <row r="1131" spans="3:16" ht="15.75" customHeight="1" x14ac:dyDescent="0.35">
      <c r="C1131" s="60"/>
      <c r="D1131" s="61"/>
      <c r="E1131" s="117"/>
      <c r="J1131" s="115"/>
      <c r="P1131" s="62"/>
    </row>
    <row r="1132" spans="3:16" ht="15.75" customHeight="1" x14ac:dyDescent="0.35">
      <c r="C1132" s="60"/>
      <c r="D1132" s="61"/>
      <c r="E1132" s="117"/>
      <c r="J1132" s="115"/>
      <c r="P1132" s="62"/>
    </row>
    <row r="1133" spans="3:16" ht="15.75" customHeight="1" x14ac:dyDescent="0.35">
      <c r="C1133" s="60"/>
      <c r="D1133" s="61"/>
      <c r="E1133" s="117"/>
      <c r="J1133" s="115"/>
      <c r="P1133" s="62"/>
    </row>
    <row r="1134" spans="3:16" ht="15.75" customHeight="1" x14ac:dyDescent="0.35">
      <c r="C1134" s="60"/>
      <c r="D1134" s="61"/>
      <c r="E1134" s="117"/>
      <c r="J1134" s="115"/>
      <c r="P1134" s="62"/>
    </row>
    <row r="1135" spans="3:16" ht="15.75" customHeight="1" x14ac:dyDescent="0.35">
      <c r="C1135" s="60"/>
      <c r="D1135" s="61"/>
      <c r="E1135" s="117"/>
      <c r="J1135" s="115"/>
      <c r="P1135" s="62"/>
    </row>
    <row r="1136" spans="3:16" ht="15.75" customHeight="1" x14ac:dyDescent="0.35">
      <c r="C1136" s="60"/>
      <c r="D1136" s="61"/>
      <c r="E1136" s="117"/>
      <c r="J1136" s="115"/>
      <c r="P1136" s="62"/>
    </row>
    <row r="1137" spans="3:16" ht="15.75" customHeight="1" x14ac:dyDescent="0.35">
      <c r="C1137" s="60"/>
      <c r="D1137" s="61"/>
      <c r="E1137" s="117"/>
      <c r="J1137" s="115"/>
      <c r="P1137" s="62"/>
    </row>
    <row r="1138" spans="3:16" ht="15.75" customHeight="1" x14ac:dyDescent="0.35">
      <c r="C1138" s="60"/>
      <c r="D1138" s="61"/>
      <c r="E1138" s="117"/>
      <c r="J1138" s="115"/>
      <c r="P1138" s="62"/>
    </row>
    <row r="1139" spans="3:16" ht="15.75" customHeight="1" x14ac:dyDescent="0.35">
      <c r="C1139" s="60"/>
      <c r="D1139" s="61"/>
      <c r="E1139" s="117"/>
      <c r="J1139" s="115"/>
      <c r="P1139" s="62"/>
    </row>
    <row r="1140" spans="3:16" ht="15.75" customHeight="1" x14ac:dyDescent="0.35">
      <c r="C1140" s="60"/>
      <c r="D1140" s="61"/>
      <c r="E1140" s="117"/>
      <c r="J1140" s="115"/>
      <c r="P1140" s="62"/>
    </row>
    <row r="1141" spans="3:16" ht="15.75" customHeight="1" x14ac:dyDescent="0.35">
      <c r="C1141" s="60"/>
      <c r="D1141" s="61"/>
      <c r="E1141" s="117"/>
      <c r="J1141" s="115"/>
      <c r="P1141" s="62"/>
    </row>
    <row r="1142" spans="3:16" ht="15.75" customHeight="1" x14ac:dyDescent="0.35">
      <c r="C1142" s="60"/>
      <c r="D1142" s="61"/>
      <c r="E1142" s="117"/>
      <c r="J1142" s="115"/>
      <c r="P1142" s="62"/>
    </row>
    <row r="1143" spans="3:16" ht="15.75" customHeight="1" x14ac:dyDescent="0.35">
      <c r="C1143" s="60"/>
      <c r="D1143" s="61"/>
      <c r="E1143" s="117"/>
      <c r="J1143" s="115"/>
      <c r="P1143" s="62"/>
    </row>
    <row r="1144" spans="3:16" ht="15.75" customHeight="1" x14ac:dyDescent="0.35">
      <c r="C1144" s="60"/>
      <c r="D1144" s="61"/>
      <c r="E1144" s="117"/>
      <c r="J1144" s="115"/>
      <c r="P1144" s="62"/>
    </row>
    <row r="1145" spans="3:16" ht="15.75" customHeight="1" x14ac:dyDescent="0.35">
      <c r="C1145" s="60"/>
      <c r="D1145" s="61"/>
      <c r="E1145" s="117"/>
      <c r="J1145" s="115"/>
      <c r="P1145" s="62"/>
    </row>
    <row r="1146" spans="3:16" ht="15.75" customHeight="1" x14ac:dyDescent="0.35">
      <c r="C1146" s="60"/>
      <c r="D1146" s="61"/>
      <c r="E1146" s="117"/>
      <c r="J1146" s="115"/>
      <c r="P1146" s="62"/>
    </row>
    <row r="1147" spans="3:16" ht="15.75" customHeight="1" x14ac:dyDescent="0.35">
      <c r="C1147" s="60"/>
      <c r="D1147" s="61"/>
      <c r="E1147" s="117"/>
      <c r="J1147" s="115"/>
      <c r="P1147" s="62"/>
    </row>
    <row r="1148" spans="3:16" ht="15.75" customHeight="1" x14ac:dyDescent="0.35">
      <c r="C1148" s="60"/>
      <c r="D1148" s="61"/>
      <c r="E1148" s="117"/>
      <c r="J1148" s="115"/>
      <c r="P1148" s="62"/>
    </row>
    <row r="1149" spans="3:16" ht="15.75" customHeight="1" x14ac:dyDescent="0.35">
      <c r="C1149" s="60"/>
      <c r="D1149" s="61"/>
      <c r="E1149" s="117"/>
      <c r="J1149" s="115"/>
      <c r="P1149" s="62"/>
    </row>
    <row r="1150" spans="3:16" ht="15.75" customHeight="1" x14ac:dyDescent="0.35">
      <c r="C1150" s="60"/>
      <c r="D1150" s="61"/>
      <c r="E1150" s="117"/>
      <c r="J1150" s="115"/>
      <c r="P1150" s="62"/>
    </row>
    <row r="1151" spans="3:16" ht="15.75" customHeight="1" x14ac:dyDescent="0.35">
      <c r="C1151" s="60"/>
      <c r="D1151" s="61"/>
      <c r="E1151" s="117"/>
      <c r="J1151" s="115"/>
      <c r="P1151" s="62"/>
    </row>
    <row r="1152" spans="3:16" ht="15.75" customHeight="1" x14ac:dyDescent="0.35">
      <c r="C1152" s="60"/>
      <c r="D1152" s="61"/>
      <c r="E1152" s="117"/>
      <c r="J1152" s="115"/>
      <c r="P1152" s="62"/>
    </row>
    <row r="1153" spans="3:16" ht="15.75" customHeight="1" x14ac:dyDescent="0.35">
      <c r="C1153" s="60"/>
      <c r="D1153" s="61"/>
      <c r="E1153" s="117"/>
      <c r="J1153" s="115"/>
      <c r="P1153" s="62"/>
    </row>
    <row r="1154" spans="3:16" ht="15.75" customHeight="1" x14ac:dyDescent="0.35">
      <c r="C1154" s="60"/>
      <c r="D1154" s="61"/>
      <c r="E1154" s="117"/>
      <c r="J1154" s="115"/>
      <c r="P1154" s="62"/>
    </row>
    <row r="1155" spans="3:16" ht="15.75" customHeight="1" x14ac:dyDescent="0.35">
      <c r="C1155" s="60"/>
      <c r="D1155" s="61"/>
      <c r="E1155" s="117"/>
      <c r="J1155" s="115"/>
      <c r="P1155" s="62"/>
    </row>
    <row r="1156" spans="3:16" ht="15.75" customHeight="1" x14ac:dyDescent="0.35">
      <c r="C1156" s="60"/>
      <c r="D1156" s="61"/>
      <c r="E1156" s="117"/>
      <c r="J1156" s="115"/>
      <c r="P1156" s="62"/>
    </row>
    <row r="1157" spans="3:16" ht="15.75" customHeight="1" x14ac:dyDescent="0.35">
      <c r="C1157" s="60"/>
      <c r="D1157" s="61"/>
      <c r="E1157" s="117"/>
      <c r="J1157" s="115"/>
      <c r="P1157" s="62"/>
    </row>
    <row r="1158" spans="3:16" ht="15.75" customHeight="1" x14ac:dyDescent="0.35">
      <c r="C1158" s="60"/>
      <c r="D1158" s="61"/>
      <c r="E1158" s="117"/>
      <c r="J1158" s="115"/>
      <c r="P1158" s="62"/>
    </row>
    <row r="1159" spans="3:16" ht="15.75" customHeight="1" x14ac:dyDescent="0.35">
      <c r="C1159" s="60"/>
      <c r="D1159" s="61"/>
      <c r="E1159" s="117"/>
      <c r="J1159" s="115"/>
      <c r="P1159" s="62"/>
    </row>
    <row r="1160" spans="3:16" ht="15.75" customHeight="1" x14ac:dyDescent="0.35">
      <c r="C1160" s="60"/>
      <c r="D1160" s="61"/>
      <c r="E1160" s="117"/>
      <c r="J1160" s="115"/>
      <c r="P1160" s="62"/>
    </row>
    <row r="1161" spans="3:16" ht="15.75" customHeight="1" x14ac:dyDescent="0.35">
      <c r="C1161" s="60"/>
      <c r="D1161" s="61"/>
      <c r="E1161" s="117"/>
      <c r="J1161" s="115"/>
      <c r="P1161" s="62"/>
    </row>
    <row r="1162" spans="3:16" ht="15.75" customHeight="1" x14ac:dyDescent="0.35">
      <c r="C1162" s="60"/>
      <c r="D1162" s="61"/>
      <c r="E1162" s="117"/>
      <c r="J1162" s="115"/>
      <c r="P1162" s="62"/>
    </row>
    <row r="1163" spans="3:16" ht="15.75" customHeight="1" x14ac:dyDescent="0.35">
      <c r="C1163" s="60"/>
      <c r="D1163" s="61"/>
      <c r="E1163" s="117"/>
      <c r="J1163" s="115"/>
      <c r="P1163" s="62"/>
    </row>
    <row r="1164" spans="3:16" ht="15.75" customHeight="1" x14ac:dyDescent="0.35">
      <c r="C1164" s="60"/>
      <c r="D1164" s="61"/>
      <c r="E1164" s="117"/>
      <c r="J1164" s="115"/>
      <c r="P1164" s="62"/>
    </row>
    <row r="1165" spans="3:16" ht="15.75" customHeight="1" x14ac:dyDescent="0.35">
      <c r="C1165" s="60"/>
      <c r="D1165" s="61"/>
      <c r="E1165" s="117"/>
      <c r="J1165" s="115"/>
      <c r="P1165" s="62"/>
    </row>
    <row r="1166" spans="3:16" ht="15.75" customHeight="1" x14ac:dyDescent="0.35">
      <c r="C1166" s="60"/>
      <c r="D1166" s="61"/>
      <c r="E1166" s="117"/>
      <c r="J1166" s="115"/>
      <c r="P1166" s="62"/>
    </row>
    <row r="1167" spans="3:16" ht="15.75" customHeight="1" x14ac:dyDescent="0.35">
      <c r="C1167" s="60"/>
      <c r="D1167" s="61"/>
      <c r="E1167" s="117"/>
      <c r="J1167" s="115"/>
      <c r="P1167" s="62"/>
    </row>
    <row r="1168" spans="3:16" ht="15.75" customHeight="1" x14ac:dyDescent="0.35">
      <c r="C1168" s="60"/>
      <c r="D1168" s="61"/>
      <c r="E1168" s="117"/>
      <c r="J1168" s="115"/>
      <c r="P1168" s="62"/>
    </row>
    <row r="1169" spans="3:16" ht="15.75" customHeight="1" x14ac:dyDescent="0.35">
      <c r="C1169" s="60"/>
      <c r="D1169" s="61"/>
      <c r="E1169" s="117"/>
      <c r="J1169" s="115"/>
      <c r="P1169" s="62"/>
    </row>
    <row r="1170" spans="3:16" ht="15.75" customHeight="1" x14ac:dyDescent="0.35">
      <c r="C1170" s="60"/>
      <c r="D1170" s="61"/>
      <c r="E1170" s="117"/>
      <c r="J1170" s="115"/>
      <c r="P1170" s="62"/>
    </row>
    <row r="1171" spans="3:16" ht="15.75" customHeight="1" x14ac:dyDescent="0.35">
      <c r="C1171" s="60"/>
      <c r="D1171" s="61"/>
      <c r="E1171" s="117"/>
      <c r="J1171" s="115"/>
      <c r="P1171" s="62"/>
    </row>
    <row r="1172" spans="3:16" ht="15.75" customHeight="1" x14ac:dyDescent="0.35">
      <c r="C1172" s="60"/>
      <c r="D1172" s="61"/>
      <c r="E1172" s="117"/>
      <c r="J1172" s="115"/>
      <c r="P1172" s="62"/>
    </row>
    <row r="1173" spans="3:16" ht="15.75" customHeight="1" x14ac:dyDescent="0.35">
      <c r="C1173" s="60"/>
      <c r="D1173" s="61"/>
      <c r="E1173" s="117"/>
      <c r="J1173" s="115"/>
      <c r="P1173" s="62"/>
    </row>
    <row r="1174" spans="3:16" ht="15.75" customHeight="1" x14ac:dyDescent="0.35">
      <c r="C1174" s="60"/>
      <c r="D1174" s="61"/>
      <c r="E1174" s="117"/>
      <c r="J1174" s="115"/>
      <c r="P1174" s="62"/>
    </row>
    <row r="1175" spans="3:16" ht="15.75" customHeight="1" x14ac:dyDescent="0.35">
      <c r="C1175" s="60"/>
      <c r="D1175" s="61"/>
      <c r="E1175" s="117"/>
      <c r="J1175" s="115"/>
      <c r="P1175" s="62"/>
    </row>
    <row r="1176" spans="3:16" ht="15.75" customHeight="1" x14ac:dyDescent="0.35">
      <c r="C1176" s="60"/>
      <c r="D1176" s="61"/>
      <c r="E1176" s="117"/>
      <c r="J1176" s="115"/>
      <c r="P1176" s="62"/>
    </row>
    <row r="1177" spans="3:16" ht="15.75" customHeight="1" x14ac:dyDescent="0.35">
      <c r="C1177" s="60"/>
      <c r="D1177" s="61"/>
      <c r="E1177" s="117"/>
      <c r="J1177" s="115"/>
      <c r="P1177" s="62"/>
    </row>
    <row r="1178" spans="3:16" ht="15.75" customHeight="1" x14ac:dyDescent="0.35">
      <c r="C1178" s="60"/>
      <c r="D1178" s="61"/>
      <c r="E1178" s="117"/>
      <c r="J1178" s="115"/>
      <c r="P1178" s="62"/>
    </row>
    <row r="1179" spans="3:16" ht="15.75" customHeight="1" x14ac:dyDescent="0.35">
      <c r="C1179" s="60"/>
      <c r="D1179" s="61"/>
      <c r="E1179" s="117"/>
      <c r="J1179" s="115"/>
      <c r="P1179" s="62"/>
    </row>
    <row r="1180" spans="3:16" ht="15.75" customHeight="1" x14ac:dyDescent="0.35">
      <c r="C1180" s="60"/>
      <c r="D1180" s="61"/>
      <c r="E1180" s="117"/>
      <c r="J1180" s="115"/>
      <c r="P1180" s="62"/>
    </row>
    <row r="1181" spans="3:16" ht="15.75" customHeight="1" x14ac:dyDescent="0.35">
      <c r="C1181" s="60"/>
      <c r="D1181" s="61"/>
      <c r="E1181" s="117"/>
      <c r="J1181" s="115"/>
      <c r="P1181" s="62"/>
    </row>
    <row r="1182" spans="3:16" ht="15.75" customHeight="1" x14ac:dyDescent="0.35">
      <c r="C1182" s="60"/>
      <c r="D1182" s="61"/>
      <c r="E1182" s="117"/>
      <c r="J1182" s="115"/>
      <c r="P1182" s="62"/>
    </row>
    <row r="1183" spans="3:16" ht="15.75" customHeight="1" x14ac:dyDescent="0.35">
      <c r="C1183" s="60"/>
      <c r="D1183" s="61"/>
      <c r="E1183" s="117"/>
      <c r="J1183" s="115"/>
      <c r="P1183" s="62"/>
    </row>
    <row r="1184" spans="3:16" ht="15.75" customHeight="1" x14ac:dyDescent="0.35">
      <c r="C1184" s="60"/>
      <c r="D1184" s="61"/>
      <c r="E1184" s="117"/>
      <c r="J1184" s="115"/>
      <c r="P1184" s="62"/>
    </row>
    <row r="1185" spans="3:16" ht="15.75" customHeight="1" x14ac:dyDescent="0.35">
      <c r="C1185" s="60"/>
      <c r="D1185" s="61"/>
      <c r="E1185" s="117"/>
      <c r="J1185" s="115"/>
      <c r="P1185" s="62"/>
    </row>
    <row r="1186" spans="3:16" ht="15.75" customHeight="1" x14ac:dyDescent="0.35">
      <c r="C1186" s="60"/>
      <c r="D1186" s="61"/>
      <c r="E1186" s="117"/>
      <c r="J1186" s="115"/>
      <c r="P1186" s="62"/>
    </row>
    <row r="1187" spans="3:16" ht="15.75" customHeight="1" x14ac:dyDescent="0.35">
      <c r="C1187" s="60"/>
      <c r="D1187" s="61"/>
      <c r="E1187" s="117"/>
      <c r="J1187" s="115"/>
      <c r="P1187" s="62"/>
    </row>
    <row r="1188" spans="3:16" ht="15.75" customHeight="1" x14ac:dyDescent="0.35">
      <c r="C1188" s="60"/>
      <c r="D1188" s="61"/>
      <c r="E1188" s="117"/>
      <c r="J1188" s="115"/>
      <c r="P1188" s="62"/>
    </row>
    <row r="1189" spans="3:16" ht="15.75" customHeight="1" x14ac:dyDescent="0.35">
      <c r="C1189" s="60"/>
      <c r="D1189" s="61"/>
      <c r="E1189" s="117"/>
      <c r="J1189" s="115"/>
      <c r="P1189" s="62"/>
    </row>
    <row r="1190" spans="3:16" ht="15.75" customHeight="1" x14ac:dyDescent="0.35">
      <c r="C1190" s="60"/>
      <c r="D1190" s="61"/>
      <c r="E1190" s="117"/>
      <c r="J1190" s="115"/>
      <c r="P1190" s="62"/>
    </row>
    <row r="1191" spans="3:16" ht="15.75" customHeight="1" x14ac:dyDescent="0.35">
      <c r="C1191" s="60"/>
      <c r="D1191" s="61"/>
      <c r="E1191" s="117"/>
      <c r="J1191" s="115"/>
      <c r="P1191" s="62"/>
    </row>
    <row r="1192" spans="3:16" ht="15.75" customHeight="1" x14ac:dyDescent="0.35">
      <c r="C1192" s="60"/>
      <c r="D1192" s="61"/>
      <c r="E1192" s="117"/>
      <c r="J1192" s="115"/>
      <c r="P1192" s="62"/>
    </row>
    <row r="1193" spans="3:16" ht="15.75" customHeight="1" x14ac:dyDescent="0.35">
      <c r="C1193" s="60"/>
      <c r="D1193" s="61"/>
      <c r="E1193" s="117"/>
      <c r="J1193" s="115"/>
      <c r="P1193" s="62"/>
    </row>
    <row r="1194" spans="3:16" ht="15.75" customHeight="1" x14ac:dyDescent="0.35">
      <c r="C1194" s="60"/>
      <c r="D1194" s="61"/>
      <c r="E1194" s="117"/>
      <c r="J1194" s="115"/>
      <c r="P1194" s="62"/>
    </row>
    <row r="1195" spans="3:16" ht="15.75" customHeight="1" x14ac:dyDescent="0.35">
      <c r="C1195" s="60"/>
      <c r="D1195" s="61"/>
      <c r="E1195" s="117"/>
      <c r="J1195" s="115"/>
      <c r="P1195" s="62"/>
    </row>
    <row r="1196" spans="3:16" ht="15.75" customHeight="1" x14ac:dyDescent="0.35">
      <c r="C1196" s="60"/>
      <c r="D1196" s="61"/>
      <c r="E1196" s="117"/>
      <c r="J1196" s="115"/>
      <c r="P1196" s="62"/>
    </row>
    <row r="1197" spans="3:16" ht="15.75" customHeight="1" x14ac:dyDescent="0.35">
      <c r="C1197" s="60"/>
      <c r="D1197" s="61"/>
      <c r="E1197" s="117"/>
      <c r="J1197" s="115"/>
      <c r="P1197" s="62"/>
    </row>
    <row r="1198" spans="3:16" ht="15.75" customHeight="1" x14ac:dyDescent="0.35">
      <c r="C1198" s="60"/>
      <c r="D1198" s="61"/>
      <c r="E1198" s="117"/>
      <c r="J1198" s="115"/>
      <c r="P1198" s="62"/>
    </row>
    <row r="1199" spans="3:16" ht="15.75" customHeight="1" x14ac:dyDescent="0.35">
      <c r="C1199" s="60"/>
      <c r="D1199" s="61"/>
      <c r="E1199" s="117"/>
      <c r="J1199" s="115"/>
      <c r="P1199" s="62"/>
    </row>
    <row r="1200" spans="3:16" ht="15.75" customHeight="1" x14ac:dyDescent="0.35">
      <c r="C1200" s="60"/>
      <c r="D1200" s="61"/>
      <c r="E1200" s="117"/>
      <c r="J1200" s="115"/>
      <c r="P1200" s="62"/>
    </row>
    <row r="1201" spans="3:16" ht="15.75" customHeight="1" x14ac:dyDescent="0.35">
      <c r="C1201" s="60"/>
      <c r="D1201" s="61"/>
      <c r="E1201" s="117"/>
      <c r="J1201" s="115"/>
      <c r="P1201" s="62"/>
    </row>
    <row r="1202" spans="3:16" ht="15.75" customHeight="1" x14ac:dyDescent="0.35">
      <c r="C1202" s="60"/>
      <c r="D1202" s="61"/>
      <c r="E1202" s="117"/>
      <c r="J1202" s="115"/>
      <c r="P1202" s="62"/>
    </row>
    <row r="1203" spans="3:16" ht="15.75" customHeight="1" x14ac:dyDescent="0.35">
      <c r="C1203" s="60"/>
      <c r="D1203" s="61"/>
      <c r="E1203" s="117"/>
      <c r="J1203" s="115"/>
      <c r="P1203" s="62"/>
    </row>
    <row r="1204" spans="3:16" ht="15.75" customHeight="1" x14ac:dyDescent="0.35">
      <c r="C1204" s="60"/>
      <c r="D1204" s="61"/>
      <c r="E1204" s="117"/>
      <c r="J1204" s="115"/>
      <c r="P1204" s="62"/>
    </row>
    <row r="1205" spans="3:16" ht="15.75" customHeight="1" x14ac:dyDescent="0.35">
      <c r="C1205" s="60"/>
      <c r="D1205" s="61"/>
      <c r="E1205" s="117"/>
      <c r="J1205" s="115"/>
      <c r="P1205" s="62"/>
    </row>
    <row r="1206" spans="3:16" ht="15.75" customHeight="1" x14ac:dyDescent="0.35">
      <c r="C1206" s="60"/>
      <c r="D1206" s="61"/>
      <c r="E1206" s="117"/>
      <c r="J1206" s="115"/>
      <c r="P1206" s="62"/>
    </row>
    <row r="1207" spans="3:16" ht="15.75" customHeight="1" x14ac:dyDescent="0.35">
      <c r="C1207" s="60"/>
      <c r="D1207" s="61"/>
      <c r="E1207" s="117"/>
      <c r="J1207" s="115"/>
      <c r="P1207" s="62"/>
    </row>
    <row r="1208" spans="3:16" ht="15.75" customHeight="1" x14ac:dyDescent="0.35">
      <c r="C1208" s="60"/>
      <c r="D1208" s="61"/>
      <c r="E1208" s="117"/>
      <c r="J1208" s="115"/>
      <c r="P1208" s="62"/>
    </row>
    <row r="1209" spans="3:16" ht="15.75" customHeight="1" x14ac:dyDescent="0.35">
      <c r="C1209" s="60"/>
      <c r="D1209" s="61"/>
      <c r="E1209" s="117"/>
      <c r="J1209" s="115"/>
      <c r="P1209" s="62"/>
    </row>
    <row r="1210" spans="3:16" ht="15.75" customHeight="1" x14ac:dyDescent="0.35">
      <c r="C1210" s="60"/>
      <c r="D1210" s="61"/>
      <c r="E1210" s="117"/>
      <c r="J1210" s="115"/>
      <c r="P1210" s="62"/>
    </row>
    <row r="1211" spans="3:16" ht="15.75" customHeight="1" x14ac:dyDescent="0.35">
      <c r="C1211" s="60"/>
      <c r="D1211" s="61"/>
      <c r="E1211" s="117"/>
      <c r="J1211" s="115"/>
      <c r="P1211" s="62"/>
    </row>
    <row r="1212" spans="3:16" ht="15.75" customHeight="1" x14ac:dyDescent="0.35">
      <c r="C1212" s="60"/>
      <c r="D1212" s="61"/>
      <c r="E1212" s="117"/>
      <c r="J1212" s="115"/>
      <c r="P1212" s="62"/>
    </row>
    <row r="1213" spans="3:16" ht="15.75" customHeight="1" x14ac:dyDescent="0.35">
      <c r="C1213" s="60"/>
      <c r="D1213" s="61"/>
      <c r="E1213" s="117"/>
      <c r="J1213" s="115"/>
      <c r="P1213" s="62"/>
    </row>
    <row r="1214" spans="3:16" ht="15.75" customHeight="1" x14ac:dyDescent="0.35">
      <c r="C1214" s="60"/>
      <c r="D1214" s="61"/>
      <c r="E1214" s="117"/>
      <c r="J1214" s="115"/>
      <c r="P1214" s="62"/>
    </row>
    <row r="1215" spans="3:16" ht="15.75" customHeight="1" x14ac:dyDescent="0.35">
      <c r="C1215" s="60"/>
      <c r="D1215" s="61"/>
      <c r="E1215" s="117"/>
      <c r="J1215" s="115"/>
      <c r="P1215" s="62"/>
    </row>
    <row r="1216" spans="3:16" ht="15.75" customHeight="1" x14ac:dyDescent="0.35">
      <c r="C1216" s="60"/>
      <c r="D1216" s="61"/>
      <c r="E1216" s="117"/>
      <c r="J1216" s="115"/>
      <c r="P1216" s="62"/>
    </row>
    <row r="1217" spans="3:16" ht="15.75" customHeight="1" x14ac:dyDescent="0.35">
      <c r="C1217" s="60"/>
      <c r="D1217" s="61"/>
      <c r="E1217" s="117"/>
      <c r="J1217" s="115"/>
      <c r="P1217" s="62"/>
    </row>
    <row r="1218" spans="3:16" ht="15.75" customHeight="1" x14ac:dyDescent="0.35">
      <c r="C1218" s="60"/>
      <c r="D1218" s="61"/>
      <c r="E1218" s="117"/>
      <c r="J1218" s="115"/>
      <c r="P1218" s="62"/>
    </row>
    <row r="1219" spans="3:16" ht="15.75" customHeight="1" x14ac:dyDescent="0.35">
      <c r="C1219" s="60"/>
      <c r="D1219" s="61"/>
      <c r="E1219" s="117"/>
      <c r="J1219" s="115"/>
      <c r="P1219" s="62"/>
    </row>
    <row r="1220" spans="3:16" ht="15.75" customHeight="1" x14ac:dyDescent="0.35">
      <c r="C1220" s="60"/>
      <c r="D1220" s="61"/>
      <c r="E1220" s="117"/>
      <c r="J1220" s="115"/>
      <c r="P1220" s="62"/>
    </row>
    <row r="1221" spans="3:16" ht="15.75" customHeight="1" x14ac:dyDescent="0.35">
      <c r="C1221" s="60"/>
      <c r="D1221" s="61"/>
      <c r="E1221" s="117"/>
      <c r="J1221" s="115"/>
      <c r="P1221" s="62"/>
    </row>
    <row r="1222" spans="3:16" ht="15.75" customHeight="1" x14ac:dyDescent="0.35">
      <c r="C1222" s="60"/>
      <c r="D1222" s="61"/>
      <c r="E1222" s="117"/>
      <c r="J1222" s="115"/>
      <c r="P1222" s="62"/>
    </row>
    <row r="1223" spans="3:16" ht="15.75" customHeight="1" x14ac:dyDescent="0.35">
      <c r="C1223" s="60"/>
      <c r="D1223" s="61"/>
      <c r="E1223" s="117"/>
      <c r="J1223" s="115"/>
      <c r="P1223" s="62"/>
    </row>
    <row r="1224" spans="3:16" ht="15.75" customHeight="1" x14ac:dyDescent="0.35">
      <c r="C1224" s="60"/>
      <c r="D1224" s="61"/>
      <c r="E1224" s="117"/>
      <c r="J1224" s="115"/>
      <c r="P1224" s="62"/>
    </row>
    <row r="1225" spans="3:16" ht="15.75" customHeight="1" x14ac:dyDescent="0.35">
      <c r="C1225" s="60"/>
      <c r="D1225" s="61"/>
      <c r="E1225" s="117"/>
      <c r="J1225" s="115"/>
      <c r="P1225" s="62"/>
    </row>
    <row r="1226" spans="3:16" ht="15.75" customHeight="1" x14ac:dyDescent="0.35">
      <c r="C1226" s="60"/>
      <c r="D1226" s="61"/>
      <c r="E1226" s="117"/>
      <c r="J1226" s="115"/>
      <c r="P1226" s="62"/>
    </row>
    <row r="1227" spans="3:16" ht="15.75" customHeight="1" x14ac:dyDescent="0.35">
      <c r="C1227" s="60"/>
      <c r="D1227" s="61"/>
      <c r="E1227" s="117"/>
      <c r="J1227" s="115"/>
      <c r="P1227" s="62"/>
    </row>
    <row r="1228" spans="3:16" ht="15.75" customHeight="1" x14ac:dyDescent="0.35">
      <c r="C1228" s="60"/>
      <c r="D1228" s="61"/>
      <c r="E1228" s="117"/>
      <c r="J1228" s="115"/>
      <c r="P1228" s="62"/>
    </row>
    <row r="1229" spans="3:16" ht="15.75" customHeight="1" x14ac:dyDescent="0.35">
      <c r="C1229" s="60"/>
      <c r="D1229" s="61"/>
      <c r="E1229" s="117"/>
      <c r="J1229" s="115"/>
      <c r="P1229" s="62"/>
    </row>
    <row r="1230" spans="3:16" ht="15.75" customHeight="1" x14ac:dyDescent="0.35">
      <c r="C1230" s="60"/>
      <c r="D1230" s="61"/>
      <c r="E1230" s="117"/>
      <c r="J1230" s="115"/>
      <c r="P1230" s="62"/>
    </row>
    <row r="1231" spans="3:16" ht="15.75" customHeight="1" x14ac:dyDescent="0.35">
      <c r="C1231" s="60"/>
      <c r="D1231" s="61"/>
      <c r="E1231" s="117"/>
      <c r="J1231" s="115"/>
      <c r="P1231" s="62"/>
    </row>
    <row r="1232" spans="3:16" ht="15.75" customHeight="1" x14ac:dyDescent="0.35">
      <c r="C1232" s="60"/>
      <c r="D1232" s="61"/>
      <c r="E1232" s="117"/>
      <c r="J1232" s="115"/>
      <c r="P1232" s="62"/>
    </row>
    <row r="1233" spans="3:16" ht="15.75" customHeight="1" x14ac:dyDescent="0.35">
      <c r="C1233" s="60"/>
      <c r="D1233" s="61"/>
      <c r="E1233" s="117"/>
      <c r="J1233" s="115"/>
      <c r="P1233" s="62"/>
    </row>
    <row r="1234" spans="3:16" ht="15.75" customHeight="1" x14ac:dyDescent="0.35">
      <c r="C1234" s="60"/>
      <c r="D1234" s="61"/>
      <c r="E1234" s="117"/>
      <c r="J1234" s="115"/>
      <c r="P1234" s="62"/>
    </row>
    <row r="1235" spans="3:16" ht="15.75" customHeight="1" x14ac:dyDescent="0.35">
      <c r="C1235" s="60"/>
      <c r="D1235" s="61"/>
      <c r="E1235" s="117"/>
      <c r="J1235" s="115"/>
      <c r="P1235" s="62"/>
    </row>
    <row r="1236" spans="3:16" ht="15.75" customHeight="1" x14ac:dyDescent="0.35">
      <c r="C1236" s="60"/>
      <c r="D1236" s="61"/>
      <c r="E1236" s="117"/>
      <c r="J1236" s="115"/>
      <c r="P1236" s="62"/>
    </row>
    <row r="1237" spans="3:16" ht="15.75" customHeight="1" x14ac:dyDescent="0.35">
      <c r="C1237" s="60"/>
      <c r="D1237" s="61"/>
      <c r="E1237" s="117"/>
      <c r="J1237" s="115"/>
      <c r="P1237" s="62"/>
    </row>
    <row r="1238" spans="3:16" ht="15.75" customHeight="1" x14ac:dyDescent="0.35">
      <c r="C1238" s="60"/>
      <c r="D1238" s="61"/>
      <c r="E1238" s="117"/>
      <c r="J1238" s="115"/>
      <c r="P1238" s="62"/>
    </row>
    <row r="1239" spans="3:16" ht="15.75" customHeight="1" x14ac:dyDescent="0.35">
      <c r="C1239" s="60"/>
      <c r="D1239" s="61"/>
      <c r="E1239" s="117"/>
      <c r="J1239" s="115"/>
      <c r="P1239" s="62"/>
    </row>
    <row r="1240" spans="3:16" ht="15.75" customHeight="1" x14ac:dyDescent="0.35">
      <c r="C1240" s="60"/>
      <c r="D1240" s="61"/>
      <c r="E1240" s="117"/>
      <c r="J1240" s="115"/>
      <c r="P1240" s="62"/>
    </row>
    <row r="1241" spans="3:16" ht="15.75" customHeight="1" x14ac:dyDescent="0.35">
      <c r="C1241" s="60"/>
      <c r="D1241" s="61"/>
      <c r="E1241" s="117"/>
      <c r="J1241" s="115"/>
      <c r="P1241" s="62"/>
    </row>
    <row r="1242" spans="3:16" ht="15.75" customHeight="1" x14ac:dyDescent="0.35">
      <c r="C1242" s="60"/>
      <c r="D1242" s="61"/>
      <c r="E1242" s="117"/>
      <c r="J1242" s="115"/>
      <c r="P1242" s="62"/>
    </row>
    <row r="1243" spans="3:16" ht="15.75" customHeight="1" x14ac:dyDescent="0.35">
      <c r="C1243" s="60"/>
      <c r="D1243" s="61"/>
      <c r="E1243" s="117"/>
      <c r="J1243" s="115"/>
      <c r="P1243" s="62"/>
    </row>
    <row r="1244" spans="3:16" ht="15.75" customHeight="1" x14ac:dyDescent="0.35">
      <c r="C1244" s="60"/>
      <c r="D1244" s="61"/>
      <c r="E1244" s="117"/>
      <c r="J1244" s="115"/>
      <c r="P1244" s="62"/>
    </row>
    <row r="1245" spans="3:16" ht="15.75" customHeight="1" x14ac:dyDescent="0.35">
      <c r="C1245" s="60"/>
      <c r="D1245" s="61"/>
      <c r="E1245" s="117"/>
      <c r="J1245" s="115"/>
      <c r="P1245" s="62"/>
    </row>
    <row r="1246" spans="3:16" ht="15.75" customHeight="1" x14ac:dyDescent="0.35">
      <c r="C1246" s="60"/>
      <c r="D1246" s="61"/>
      <c r="E1246" s="117"/>
      <c r="J1246" s="115"/>
      <c r="P1246" s="62"/>
    </row>
    <row r="1247" spans="3:16" ht="15.75" customHeight="1" x14ac:dyDescent="0.35">
      <c r="C1247" s="60"/>
      <c r="D1247" s="61"/>
      <c r="E1247" s="117"/>
      <c r="J1247" s="115"/>
      <c r="P1247" s="62"/>
    </row>
    <row r="1248" spans="3:16" ht="15.75" customHeight="1" x14ac:dyDescent="0.35">
      <c r="C1248" s="60"/>
      <c r="D1248" s="61"/>
      <c r="E1248" s="117"/>
      <c r="J1248" s="115"/>
      <c r="P1248" s="62"/>
    </row>
    <row r="1249" spans="3:16" ht="15.75" customHeight="1" x14ac:dyDescent="0.35">
      <c r="C1249" s="60"/>
      <c r="D1249" s="61"/>
      <c r="E1249" s="117"/>
      <c r="J1249" s="115"/>
      <c r="P1249" s="62"/>
    </row>
    <row r="1250" spans="3:16" ht="15.75" customHeight="1" x14ac:dyDescent="0.35">
      <c r="C1250" s="60"/>
      <c r="D1250" s="61"/>
      <c r="E1250" s="117"/>
      <c r="J1250" s="115"/>
      <c r="P1250" s="62"/>
    </row>
    <row r="1251" spans="3:16" ht="15.75" customHeight="1" x14ac:dyDescent="0.35">
      <c r="C1251" s="60"/>
      <c r="D1251" s="61"/>
      <c r="E1251" s="117"/>
      <c r="J1251" s="115"/>
      <c r="P1251" s="62"/>
    </row>
    <row r="1252" spans="3:16" ht="15.75" customHeight="1" x14ac:dyDescent="0.35">
      <c r="C1252" s="60"/>
      <c r="D1252" s="61"/>
      <c r="E1252" s="117"/>
      <c r="J1252" s="115"/>
      <c r="P1252" s="62"/>
    </row>
    <row r="1253" spans="3:16" ht="15.75" customHeight="1" x14ac:dyDescent="0.35">
      <c r="C1253" s="60"/>
      <c r="D1253" s="61"/>
      <c r="E1253" s="117"/>
      <c r="J1253" s="115"/>
      <c r="P1253" s="62"/>
    </row>
    <row r="1254" spans="3:16" ht="15.75" customHeight="1" x14ac:dyDescent="0.35">
      <c r="C1254" s="60"/>
      <c r="D1254" s="61"/>
      <c r="E1254" s="117"/>
      <c r="J1254" s="115"/>
      <c r="P1254" s="62"/>
    </row>
    <row r="1255" spans="3:16" ht="15.75" customHeight="1" x14ac:dyDescent="0.35">
      <c r="C1255" s="60"/>
      <c r="D1255" s="61"/>
      <c r="E1255" s="117"/>
      <c r="J1255" s="115"/>
      <c r="P1255" s="62"/>
    </row>
    <row r="1256" spans="3:16" ht="15.75" customHeight="1" x14ac:dyDescent="0.35">
      <c r="C1256" s="60"/>
      <c r="D1256" s="61"/>
      <c r="E1256" s="117"/>
      <c r="J1256" s="115"/>
      <c r="P1256" s="62"/>
    </row>
    <row r="1257" spans="3:16" ht="15.75" customHeight="1" x14ac:dyDescent="0.35">
      <c r="C1257" s="60"/>
      <c r="D1257" s="61"/>
      <c r="E1257" s="117"/>
      <c r="J1257" s="115"/>
      <c r="P1257" s="62"/>
    </row>
    <row r="1258" spans="3:16" ht="15.75" customHeight="1" x14ac:dyDescent="0.35">
      <c r="C1258" s="60"/>
      <c r="D1258" s="61"/>
      <c r="E1258" s="117"/>
      <c r="J1258" s="115"/>
      <c r="P1258" s="62"/>
    </row>
    <row r="1259" spans="3:16" ht="15.75" customHeight="1" x14ac:dyDescent="0.35">
      <c r="C1259" s="60"/>
      <c r="D1259" s="61"/>
      <c r="E1259" s="117"/>
      <c r="J1259" s="115"/>
      <c r="P1259" s="62"/>
    </row>
    <row r="1260" spans="3:16" ht="15.75" customHeight="1" x14ac:dyDescent="0.35">
      <c r="C1260" s="60"/>
      <c r="D1260" s="61"/>
      <c r="E1260" s="117"/>
      <c r="J1260" s="115"/>
      <c r="P1260" s="62"/>
    </row>
    <row r="1261" spans="3:16" ht="15.75" customHeight="1" x14ac:dyDescent="0.35">
      <c r="C1261" s="60"/>
      <c r="D1261" s="61"/>
      <c r="E1261" s="117"/>
      <c r="J1261" s="115"/>
      <c r="P1261" s="62"/>
    </row>
    <row r="1262" spans="3:16" ht="15.75" customHeight="1" x14ac:dyDescent="0.35">
      <c r="C1262" s="60"/>
      <c r="D1262" s="61"/>
      <c r="E1262" s="117"/>
      <c r="J1262" s="115"/>
      <c r="P1262" s="62"/>
    </row>
    <row r="1263" spans="3:16" ht="15.75" customHeight="1" x14ac:dyDescent="0.35">
      <c r="C1263" s="60"/>
      <c r="D1263" s="61"/>
      <c r="E1263" s="117"/>
      <c r="J1263" s="115"/>
      <c r="P1263" s="62"/>
    </row>
    <row r="1264" spans="3:16" ht="15.75" customHeight="1" x14ac:dyDescent="0.35">
      <c r="C1264" s="60"/>
      <c r="D1264" s="61"/>
      <c r="E1264" s="117"/>
      <c r="J1264" s="115"/>
      <c r="P1264" s="62"/>
    </row>
    <row r="1265" spans="3:16" ht="15.75" customHeight="1" x14ac:dyDescent="0.35">
      <c r="C1265" s="60"/>
      <c r="D1265" s="61"/>
      <c r="E1265" s="117"/>
      <c r="J1265" s="115"/>
      <c r="P1265" s="62"/>
    </row>
    <row r="1266" spans="3:16" ht="15.75" customHeight="1" x14ac:dyDescent="0.35">
      <c r="C1266" s="60"/>
      <c r="D1266" s="61"/>
      <c r="E1266" s="117"/>
      <c r="J1266" s="115"/>
      <c r="P1266" s="62"/>
    </row>
    <row r="1267" spans="3:16" ht="15.75" customHeight="1" x14ac:dyDescent="0.35">
      <c r="C1267" s="60"/>
      <c r="D1267" s="61"/>
      <c r="E1267" s="117"/>
      <c r="J1267" s="115"/>
      <c r="P1267" s="62"/>
    </row>
    <row r="1268" spans="3:16" ht="15.75" customHeight="1" x14ac:dyDescent="0.35">
      <c r="C1268" s="60"/>
      <c r="D1268" s="61"/>
      <c r="E1268" s="117"/>
      <c r="J1268" s="115"/>
      <c r="P1268" s="62"/>
    </row>
    <row r="1269" spans="3:16" ht="15.75" customHeight="1" x14ac:dyDescent="0.35">
      <c r="C1269" s="60"/>
      <c r="D1269" s="61"/>
      <c r="E1269" s="117"/>
      <c r="J1269" s="115"/>
      <c r="P1269" s="62"/>
    </row>
    <row r="1270" spans="3:16" ht="15.75" customHeight="1" x14ac:dyDescent="0.35">
      <c r="C1270" s="60"/>
      <c r="D1270" s="61"/>
      <c r="E1270" s="117"/>
      <c r="J1270" s="115"/>
      <c r="P1270" s="62"/>
    </row>
    <row r="1271" spans="3:16" ht="15.75" customHeight="1" x14ac:dyDescent="0.35">
      <c r="C1271" s="60"/>
      <c r="D1271" s="61"/>
      <c r="E1271" s="117"/>
      <c r="J1271" s="115"/>
      <c r="P1271" s="62"/>
    </row>
    <row r="1272" spans="3:16" ht="15.75" customHeight="1" x14ac:dyDescent="0.35">
      <c r="C1272" s="60"/>
      <c r="D1272" s="61"/>
      <c r="E1272" s="117"/>
      <c r="J1272" s="115"/>
      <c r="P1272" s="62"/>
    </row>
    <row r="1273" spans="3:16" ht="15.75" customHeight="1" x14ac:dyDescent="0.35">
      <c r="C1273" s="60"/>
      <c r="D1273" s="61"/>
      <c r="E1273" s="117"/>
      <c r="J1273" s="115"/>
      <c r="P1273" s="62"/>
    </row>
    <row r="1274" spans="3:16" ht="15.75" customHeight="1" x14ac:dyDescent="0.35">
      <c r="C1274" s="60"/>
      <c r="D1274" s="61"/>
      <c r="E1274" s="117"/>
      <c r="J1274" s="115"/>
      <c r="P1274" s="62"/>
    </row>
    <row r="1275" spans="3:16" ht="15.75" customHeight="1" x14ac:dyDescent="0.35">
      <c r="C1275" s="60"/>
      <c r="D1275" s="61"/>
      <c r="E1275" s="117"/>
      <c r="J1275" s="115"/>
      <c r="P1275" s="62"/>
    </row>
    <row r="1276" spans="3:16" ht="15.75" customHeight="1" x14ac:dyDescent="0.35">
      <c r="C1276" s="60"/>
      <c r="D1276" s="61"/>
      <c r="E1276" s="117"/>
      <c r="J1276" s="115"/>
      <c r="P1276" s="62"/>
    </row>
    <row r="1277" spans="3:16" ht="15.75" customHeight="1" x14ac:dyDescent="0.35">
      <c r="C1277" s="60"/>
      <c r="D1277" s="61"/>
      <c r="E1277" s="117"/>
      <c r="J1277" s="115"/>
      <c r="P1277" s="62"/>
    </row>
    <row r="1278" spans="3:16" ht="15.75" customHeight="1" x14ac:dyDescent="0.35">
      <c r="C1278" s="60"/>
      <c r="D1278" s="61"/>
      <c r="E1278" s="117"/>
      <c r="J1278" s="115"/>
      <c r="P1278" s="62"/>
    </row>
    <row r="1279" spans="3:16" ht="15.75" customHeight="1" x14ac:dyDescent="0.35">
      <c r="C1279" s="60"/>
      <c r="D1279" s="61"/>
      <c r="E1279" s="117"/>
      <c r="J1279" s="115"/>
      <c r="P1279" s="62"/>
    </row>
    <row r="1280" spans="3:16" ht="15.75" customHeight="1" x14ac:dyDescent="0.35">
      <c r="C1280" s="60"/>
      <c r="D1280" s="61"/>
      <c r="E1280" s="117"/>
      <c r="J1280" s="115"/>
      <c r="P1280" s="62"/>
    </row>
    <row r="1281" spans="3:16" ht="15.75" customHeight="1" x14ac:dyDescent="0.35">
      <c r="C1281" s="60"/>
      <c r="D1281" s="61"/>
      <c r="E1281" s="117"/>
      <c r="J1281" s="115"/>
      <c r="P1281" s="62"/>
    </row>
    <row r="1282" spans="3:16" ht="15.75" customHeight="1" x14ac:dyDescent="0.35">
      <c r="C1282" s="60"/>
      <c r="D1282" s="61"/>
      <c r="E1282" s="117"/>
      <c r="J1282" s="115"/>
      <c r="P1282" s="62"/>
    </row>
    <row r="1283" spans="3:16" ht="15.75" customHeight="1" x14ac:dyDescent="0.35">
      <c r="C1283" s="60"/>
      <c r="D1283" s="61"/>
      <c r="E1283" s="117"/>
      <c r="J1283" s="115"/>
      <c r="P1283" s="62"/>
    </row>
    <row r="1284" spans="3:16" ht="15.75" customHeight="1" x14ac:dyDescent="0.35">
      <c r="C1284" s="60"/>
      <c r="D1284" s="61"/>
      <c r="E1284" s="117"/>
      <c r="J1284" s="115"/>
      <c r="P1284" s="62"/>
    </row>
    <row r="1285" spans="3:16" ht="15.75" customHeight="1" x14ac:dyDescent="0.35">
      <c r="C1285" s="60"/>
      <c r="D1285" s="61"/>
      <c r="E1285" s="117"/>
      <c r="J1285" s="115"/>
      <c r="P1285" s="62"/>
    </row>
    <row r="1286" spans="3:16" ht="15.75" customHeight="1" x14ac:dyDescent="0.35">
      <c r="C1286" s="60"/>
      <c r="D1286" s="61"/>
      <c r="E1286" s="117"/>
      <c r="J1286" s="115"/>
      <c r="P1286" s="62"/>
    </row>
    <row r="1287" spans="3:16" ht="15.75" customHeight="1" x14ac:dyDescent="0.35">
      <c r="C1287" s="60"/>
      <c r="D1287" s="61"/>
      <c r="E1287" s="117"/>
      <c r="J1287" s="115"/>
      <c r="P1287" s="62"/>
    </row>
    <row r="1288" spans="3:16" ht="15.75" customHeight="1" x14ac:dyDescent="0.35">
      <c r="C1288" s="60"/>
      <c r="D1288" s="61"/>
      <c r="E1288" s="117"/>
      <c r="J1288" s="115"/>
      <c r="P1288" s="62"/>
    </row>
    <row r="1289" spans="3:16" ht="15.75" customHeight="1" x14ac:dyDescent="0.35">
      <c r="C1289" s="60"/>
      <c r="D1289" s="61"/>
      <c r="E1289" s="117"/>
      <c r="J1289" s="115"/>
      <c r="P1289" s="62"/>
    </row>
    <row r="1290" spans="3:16" ht="15.75" customHeight="1" x14ac:dyDescent="0.35">
      <c r="C1290" s="60"/>
      <c r="D1290" s="61"/>
      <c r="E1290" s="117"/>
      <c r="J1290" s="115"/>
      <c r="P1290" s="62"/>
    </row>
    <row r="1291" spans="3:16" ht="15.75" customHeight="1" x14ac:dyDescent="0.35">
      <c r="C1291" s="60"/>
      <c r="D1291" s="61"/>
      <c r="E1291" s="117"/>
      <c r="J1291" s="115"/>
      <c r="P1291" s="62"/>
    </row>
    <row r="1292" spans="3:16" ht="15.75" customHeight="1" x14ac:dyDescent="0.35">
      <c r="C1292" s="60"/>
      <c r="D1292" s="61"/>
      <c r="E1292" s="117"/>
      <c r="J1292" s="115"/>
      <c r="P1292" s="62"/>
    </row>
    <row r="1293" spans="3:16" ht="15.75" customHeight="1" x14ac:dyDescent="0.35">
      <c r="C1293" s="60"/>
      <c r="D1293" s="61"/>
      <c r="E1293" s="117"/>
      <c r="J1293" s="115"/>
      <c r="P1293" s="62"/>
    </row>
    <row r="1294" spans="3:16" ht="15.75" customHeight="1" x14ac:dyDescent="0.35">
      <c r="C1294" s="60"/>
      <c r="D1294" s="61"/>
      <c r="E1294" s="117"/>
      <c r="J1294" s="115"/>
      <c r="P1294" s="62"/>
    </row>
    <row r="1295" spans="3:16" ht="15.75" customHeight="1" x14ac:dyDescent="0.35">
      <c r="C1295" s="60"/>
      <c r="D1295" s="61"/>
      <c r="E1295" s="117"/>
      <c r="J1295" s="115"/>
      <c r="P1295" s="62"/>
    </row>
    <row r="1296" spans="3:16" ht="15.75" customHeight="1" x14ac:dyDescent="0.35">
      <c r="C1296" s="60"/>
      <c r="D1296" s="61"/>
      <c r="E1296" s="117"/>
      <c r="J1296" s="115"/>
      <c r="P1296" s="62"/>
    </row>
    <row r="1297" spans="3:16" ht="15.75" customHeight="1" x14ac:dyDescent="0.35">
      <c r="C1297" s="60"/>
      <c r="D1297" s="61"/>
      <c r="E1297" s="117"/>
      <c r="J1297" s="115"/>
      <c r="P1297" s="62"/>
    </row>
    <row r="1298" spans="3:16" ht="15.75" customHeight="1" x14ac:dyDescent="0.35">
      <c r="C1298" s="60"/>
      <c r="D1298" s="61"/>
      <c r="E1298" s="117"/>
      <c r="J1298" s="115"/>
      <c r="P1298" s="62"/>
    </row>
    <row r="1299" spans="3:16" ht="15.75" customHeight="1" x14ac:dyDescent="0.35">
      <c r="C1299" s="60"/>
      <c r="D1299" s="61"/>
      <c r="E1299" s="117"/>
      <c r="J1299" s="115"/>
      <c r="P1299" s="62"/>
    </row>
    <row r="1300" spans="3:16" ht="15.75" customHeight="1" x14ac:dyDescent="0.35">
      <c r="C1300" s="60"/>
      <c r="D1300" s="61"/>
      <c r="E1300" s="117"/>
      <c r="J1300" s="115"/>
      <c r="P1300" s="62"/>
    </row>
    <row r="1301" spans="3:16" ht="15.75" customHeight="1" x14ac:dyDescent="0.35">
      <c r="C1301" s="60"/>
      <c r="D1301" s="61"/>
      <c r="E1301" s="117"/>
      <c r="J1301" s="115"/>
      <c r="P1301" s="62"/>
    </row>
    <row r="1302" spans="3:16" ht="15.75" customHeight="1" x14ac:dyDescent="0.35">
      <c r="C1302" s="60"/>
      <c r="D1302" s="61"/>
      <c r="E1302" s="117"/>
      <c r="J1302" s="115"/>
      <c r="P1302" s="62"/>
    </row>
    <row r="1303" spans="3:16" ht="15.75" customHeight="1" x14ac:dyDescent="0.35">
      <c r="C1303" s="60"/>
      <c r="D1303" s="61"/>
      <c r="E1303" s="117"/>
      <c r="J1303" s="115"/>
      <c r="P1303" s="62"/>
    </row>
    <row r="1304" spans="3:16" ht="15.75" customHeight="1" x14ac:dyDescent="0.35">
      <c r="C1304" s="60"/>
      <c r="D1304" s="61"/>
      <c r="E1304" s="117"/>
      <c r="J1304" s="115"/>
      <c r="P1304" s="62"/>
    </row>
    <row r="1305" spans="3:16" ht="15.75" customHeight="1" x14ac:dyDescent="0.35">
      <c r="C1305" s="60"/>
      <c r="D1305" s="61"/>
      <c r="E1305" s="117"/>
      <c r="J1305" s="115"/>
      <c r="P1305" s="62"/>
    </row>
    <row r="1306" spans="3:16" ht="15.75" customHeight="1" x14ac:dyDescent="0.35">
      <c r="C1306" s="60"/>
      <c r="D1306" s="61"/>
      <c r="E1306" s="117"/>
      <c r="J1306" s="115"/>
      <c r="P1306" s="62"/>
    </row>
    <row r="1307" spans="3:16" ht="15.75" customHeight="1" x14ac:dyDescent="0.35">
      <c r="C1307" s="60"/>
      <c r="D1307" s="61"/>
      <c r="E1307" s="117"/>
      <c r="J1307" s="115"/>
      <c r="P1307" s="62"/>
    </row>
    <row r="1308" spans="3:16" ht="15.75" customHeight="1" x14ac:dyDescent="0.35">
      <c r="C1308" s="60"/>
      <c r="D1308" s="61"/>
      <c r="E1308" s="117"/>
      <c r="J1308" s="115"/>
      <c r="P1308" s="62"/>
    </row>
    <row r="1309" spans="3:16" ht="15.75" customHeight="1" x14ac:dyDescent="0.35">
      <c r="C1309" s="60"/>
      <c r="D1309" s="61"/>
      <c r="E1309" s="117"/>
      <c r="J1309" s="115"/>
      <c r="P1309" s="62"/>
    </row>
    <row r="1310" spans="3:16" ht="15.75" customHeight="1" x14ac:dyDescent="0.35">
      <c r="C1310" s="60"/>
      <c r="D1310" s="61"/>
      <c r="E1310" s="117"/>
      <c r="J1310" s="115"/>
      <c r="P1310" s="62"/>
    </row>
    <row r="1311" spans="3:16" ht="15.75" customHeight="1" x14ac:dyDescent="0.35">
      <c r="C1311" s="60"/>
      <c r="D1311" s="61"/>
      <c r="E1311" s="117"/>
      <c r="J1311" s="115"/>
      <c r="P1311" s="62"/>
    </row>
    <row r="1312" spans="3:16" ht="15.75" customHeight="1" x14ac:dyDescent="0.35">
      <c r="C1312" s="60"/>
      <c r="D1312" s="61"/>
      <c r="E1312" s="117"/>
      <c r="J1312" s="115"/>
      <c r="P1312" s="62"/>
    </row>
    <row r="1313" spans="3:16" ht="15.75" customHeight="1" x14ac:dyDescent="0.35">
      <c r="C1313" s="60"/>
      <c r="D1313" s="61"/>
      <c r="E1313" s="117"/>
      <c r="J1313" s="115"/>
      <c r="P1313" s="62"/>
    </row>
    <row r="1314" spans="3:16" ht="15.75" customHeight="1" x14ac:dyDescent="0.35">
      <c r="C1314" s="60"/>
      <c r="D1314" s="61"/>
      <c r="E1314" s="117"/>
      <c r="J1314" s="115"/>
      <c r="P1314" s="62"/>
    </row>
    <row r="1315" spans="3:16" ht="15.75" customHeight="1" x14ac:dyDescent="0.35">
      <c r="C1315" s="60"/>
      <c r="D1315" s="61"/>
      <c r="E1315" s="117"/>
      <c r="J1315" s="115"/>
      <c r="P1315" s="62"/>
    </row>
    <row r="1316" spans="3:16" ht="15.75" customHeight="1" x14ac:dyDescent="0.35">
      <c r="C1316" s="60"/>
      <c r="D1316" s="61"/>
      <c r="E1316" s="117"/>
      <c r="J1316" s="115"/>
      <c r="P1316" s="62"/>
    </row>
    <row r="1317" spans="3:16" ht="15.75" customHeight="1" x14ac:dyDescent="0.35">
      <c r="C1317" s="60"/>
      <c r="D1317" s="61"/>
      <c r="E1317" s="117"/>
      <c r="J1317" s="115"/>
      <c r="P1317" s="62"/>
    </row>
    <row r="1318" spans="3:16" ht="15.75" customHeight="1" x14ac:dyDescent="0.35">
      <c r="C1318" s="60"/>
      <c r="D1318" s="61"/>
      <c r="E1318" s="117"/>
      <c r="J1318" s="115"/>
      <c r="P1318" s="62"/>
    </row>
    <row r="1319" spans="3:16" ht="15.75" customHeight="1" x14ac:dyDescent="0.35">
      <c r="C1319" s="60"/>
      <c r="D1319" s="61"/>
      <c r="E1319" s="117"/>
      <c r="J1319" s="115"/>
      <c r="P1319" s="62"/>
    </row>
    <row r="1320" spans="3:16" ht="15.75" customHeight="1" x14ac:dyDescent="0.35">
      <c r="C1320" s="60"/>
      <c r="D1320" s="61"/>
      <c r="E1320" s="117"/>
      <c r="J1320" s="115"/>
      <c r="P1320" s="62"/>
    </row>
    <row r="1321" spans="3:16" ht="15.75" customHeight="1" x14ac:dyDescent="0.35">
      <c r="C1321" s="60"/>
      <c r="D1321" s="61"/>
      <c r="E1321" s="117"/>
      <c r="J1321" s="115"/>
      <c r="P1321" s="62"/>
    </row>
    <row r="1322" spans="3:16" ht="15.75" customHeight="1" x14ac:dyDescent="0.35">
      <c r="C1322" s="60"/>
      <c r="D1322" s="61"/>
      <c r="E1322" s="117"/>
      <c r="J1322" s="115"/>
      <c r="P1322" s="62"/>
    </row>
    <row r="1323" spans="3:16" ht="15.75" customHeight="1" x14ac:dyDescent="0.35">
      <c r="C1323" s="60"/>
      <c r="D1323" s="61"/>
      <c r="E1323" s="117"/>
      <c r="J1323" s="115"/>
      <c r="P1323" s="62"/>
    </row>
    <row r="1324" spans="3:16" ht="15.75" customHeight="1" x14ac:dyDescent="0.35">
      <c r="C1324" s="60"/>
      <c r="D1324" s="61"/>
      <c r="E1324" s="117"/>
      <c r="J1324" s="115"/>
      <c r="P1324" s="62"/>
    </row>
    <row r="1325" spans="3:16" ht="15.75" customHeight="1" x14ac:dyDescent="0.35">
      <c r="C1325" s="60"/>
      <c r="D1325" s="61"/>
      <c r="E1325" s="117"/>
      <c r="J1325" s="115"/>
      <c r="P1325" s="62"/>
    </row>
    <row r="1326" spans="3:16" ht="15.75" customHeight="1" x14ac:dyDescent="0.35">
      <c r="C1326" s="60"/>
      <c r="D1326" s="61"/>
      <c r="E1326" s="117"/>
      <c r="J1326" s="115"/>
      <c r="P1326" s="62"/>
    </row>
    <row r="1327" spans="3:16" ht="15.75" customHeight="1" x14ac:dyDescent="0.35">
      <c r="C1327" s="60"/>
      <c r="D1327" s="61"/>
      <c r="E1327" s="117"/>
      <c r="J1327" s="115"/>
      <c r="P1327" s="62"/>
    </row>
    <row r="1328" spans="3:16" ht="15.75" customHeight="1" x14ac:dyDescent="0.35">
      <c r="C1328" s="60"/>
      <c r="D1328" s="61"/>
      <c r="E1328" s="117"/>
      <c r="J1328" s="115"/>
      <c r="P1328" s="62"/>
    </row>
    <row r="1329" spans="3:16" ht="15.75" customHeight="1" x14ac:dyDescent="0.35">
      <c r="C1329" s="60"/>
      <c r="D1329" s="61"/>
      <c r="E1329" s="117"/>
      <c r="J1329" s="115"/>
      <c r="P1329" s="62"/>
    </row>
    <row r="1330" spans="3:16" ht="15.75" customHeight="1" x14ac:dyDescent="0.35">
      <c r="C1330" s="60"/>
      <c r="D1330" s="61"/>
      <c r="E1330" s="117"/>
      <c r="J1330" s="115"/>
      <c r="P1330" s="62"/>
    </row>
    <row r="1331" spans="3:16" ht="15.75" customHeight="1" x14ac:dyDescent="0.35">
      <c r="C1331" s="60"/>
      <c r="D1331" s="61"/>
      <c r="E1331" s="117"/>
      <c r="J1331" s="115"/>
      <c r="P1331" s="62"/>
    </row>
    <row r="1332" spans="3:16" ht="15.75" customHeight="1" x14ac:dyDescent="0.35">
      <c r="C1332" s="60"/>
      <c r="D1332" s="61"/>
      <c r="E1332" s="117"/>
      <c r="J1332" s="115"/>
      <c r="P1332" s="62"/>
    </row>
    <row r="1333" spans="3:16" ht="15.75" customHeight="1" x14ac:dyDescent="0.35">
      <c r="C1333" s="60"/>
      <c r="D1333" s="61"/>
      <c r="E1333" s="117"/>
      <c r="J1333" s="115"/>
      <c r="P1333" s="62"/>
    </row>
    <row r="1334" spans="3:16" ht="15.75" customHeight="1" x14ac:dyDescent="0.35">
      <c r="C1334" s="60"/>
      <c r="D1334" s="61"/>
      <c r="E1334" s="117"/>
      <c r="J1334" s="115"/>
      <c r="P1334" s="62"/>
    </row>
    <row r="1335" spans="3:16" ht="15.75" customHeight="1" x14ac:dyDescent="0.35">
      <c r="C1335" s="60"/>
      <c r="D1335" s="61"/>
      <c r="E1335" s="117"/>
      <c r="J1335" s="115"/>
      <c r="P1335" s="62"/>
    </row>
    <row r="1336" spans="3:16" ht="15.75" customHeight="1" x14ac:dyDescent="0.35">
      <c r="C1336" s="60"/>
      <c r="D1336" s="61"/>
      <c r="E1336" s="117"/>
      <c r="J1336" s="115"/>
      <c r="P1336" s="62"/>
    </row>
    <row r="1337" spans="3:16" ht="15.75" customHeight="1" x14ac:dyDescent="0.35">
      <c r="C1337" s="60"/>
      <c r="D1337" s="61"/>
      <c r="E1337" s="117"/>
      <c r="J1337" s="115"/>
      <c r="P1337" s="62"/>
    </row>
    <row r="1338" spans="3:16" ht="15.75" customHeight="1" x14ac:dyDescent="0.35">
      <c r="C1338" s="60"/>
      <c r="D1338" s="61"/>
      <c r="E1338" s="117"/>
      <c r="J1338" s="115"/>
      <c r="P1338" s="62"/>
    </row>
    <row r="1339" spans="3:16" ht="15.75" customHeight="1" x14ac:dyDescent="0.35">
      <c r="C1339" s="60"/>
      <c r="D1339" s="61"/>
      <c r="E1339" s="117"/>
      <c r="J1339" s="115"/>
      <c r="P1339" s="62"/>
    </row>
    <row r="1340" spans="3:16" ht="15.75" customHeight="1" x14ac:dyDescent="0.35">
      <c r="C1340" s="60"/>
      <c r="D1340" s="61"/>
      <c r="E1340" s="117"/>
      <c r="J1340" s="115"/>
      <c r="P1340" s="62"/>
    </row>
    <row r="1341" spans="3:16" ht="15.75" customHeight="1" x14ac:dyDescent="0.35">
      <c r="C1341" s="60"/>
      <c r="D1341" s="61"/>
      <c r="E1341" s="117"/>
      <c r="J1341" s="115"/>
      <c r="P1341" s="62"/>
    </row>
    <row r="1342" spans="3:16" ht="15.75" customHeight="1" x14ac:dyDescent="0.35">
      <c r="C1342" s="60"/>
      <c r="D1342" s="61"/>
      <c r="E1342" s="117"/>
      <c r="J1342" s="115"/>
      <c r="P1342" s="62"/>
    </row>
    <row r="1343" spans="3:16" ht="15.75" customHeight="1" x14ac:dyDescent="0.35">
      <c r="C1343" s="60"/>
      <c r="D1343" s="61"/>
      <c r="E1343" s="117"/>
      <c r="J1343" s="115"/>
      <c r="P1343" s="62"/>
    </row>
    <row r="1344" spans="3:16" ht="15.75" customHeight="1" x14ac:dyDescent="0.35">
      <c r="C1344" s="60"/>
      <c r="D1344" s="61"/>
      <c r="E1344" s="117"/>
      <c r="J1344" s="115"/>
      <c r="P1344" s="62"/>
    </row>
    <row r="1345" spans="3:16" ht="15.75" customHeight="1" x14ac:dyDescent="0.35">
      <c r="C1345" s="60"/>
      <c r="D1345" s="61"/>
      <c r="E1345" s="117"/>
      <c r="J1345" s="115"/>
      <c r="P1345" s="62"/>
    </row>
    <row r="1346" spans="3:16" ht="15.75" customHeight="1" x14ac:dyDescent="0.35">
      <c r="C1346" s="60"/>
      <c r="D1346" s="61"/>
      <c r="E1346" s="117"/>
      <c r="J1346" s="115"/>
      <c r="P1346" s="62"/>
    </row>
    <row r="1347" spans="3:16" ht="15.75" customHeight="1" x14ac:dyDescent="0.35">
      <c r="C1347" s="60"/>
      <c r="D1347" s="61"/>
      <c r="E1347" s="117"/>
      <c r="J1347" s="115"/>
      <c r="P1347" s="62"/>
    </row>
    <row r="1348" spans="3:16" ht="15.75" customHeight="1" x14ac:dyDescent="0.35">
      <c r="C1348" s="60"/>
      <c r="D1348" s="61"/>
      <c r="E1348" s="117"/>
      <c r="J1348" s="115"/>
      <c r="P1348" s="62"/>
    </row>
    <row r="1349" spans="3:16" ht="15.75" customHeight="1" x14ac:dyDescent="0.35">
      <c r="C1349" s="60"/>
      <c r="D1349" s="61"/>
      <c r="E1349" s="117"/>
      <c r="J1349" s="115"/>
      <c r="P1349" s="62"/>
    </row>
    <row r="1350" spans="3:16" ht="15.75" customHeight="1" x14ac:dyDescent="0.35">
      <c r="C1350" s="60"/>
      <c r="D1350" s="61"/>
      <c r="E1350" s="117"/>
      <c r="J1350" s="115"/>
      <c r="P1350" s="62"/>
    </row>
    <row r="1351" spans="3:16" ht="15.75" customHeight="1" x14ac:dyDescent="0.35">
      <c r="C1351" s="60"/>
      <c r="D1351" s="61"/>
      <c r="E1351" s="117"/>
      <c r="J1351" s="115"/>
      <c r="P1351" s="62"/>
    </row>
    <row r="1352" spans="3:16" ht="15.75" customHeight="1" x14ac:dyDescent="0.35">
      <c r="C1352" s="60"/>
      <c r="D1352" s="61"/>
      <c r="E1352" s="117"/>
      <c r="J1352" s="115"/>
      <c r="P1352" s="62"/>
    </row>
    <row r="1353" spans="3:16" ht="15.75" customHeight="1" x14ac:dyDescent="0.35">
      <c r="C1353" s="60"/>
      <c r="D1353" s="61"/>
      <c r="E1353" s="117"/>
      <c r="J1353" s="115"/>
      <c r="P1353" s="62"/>
    </row>
    <row r="1354" spans="3:16" ht="15.75" customHeight="1" x14ac:dyDescent="0.35">
      <c r="C1354" s="60"/>
      <c r="D1354" s="61"/>
      <c r="E1354" s="117"/>
      <c r="J1354" s="115"/>
      <c r="P1354" s="62"/>
    </row>
    <row r="1355" spans="3:16" ht="15.75" customHeight="1" x14ac:dyDescent="0.35">
      <c r="C1355" s="60"/>
      <c r="D1355" s="61"/>
      <c r="E1355" s="117"/>
      <c r="J1355" s="115"/>
      <c r="P1355" s="62"/>
    </row>
    <row r="1356" spans="3:16" ht="15.75" customHeight="1" x14ac:dyDescent="0.35">
      <c r="C1356" s="60"/>
      <c r="D1356" s="61"/>
      <c r="E1356" s="117"/>
      <c r="J1356" s="115"/>
      <c r="P1356" s="62"/>
    </row>
    <row r="1357" spans="3:16" ht="15.75" customHeight="1" x14ac:dyDescent="0.35">
      <c r="C1357" s="60"/>
      <c r="D1357" s="61"/>
      <c r="E1357" s="117"/>
      <c r="J1357" s="115"/>
      <c r="P1357" s="62"/>
    </row>
    <row r="1358" spans="3:16" ht="15.75" customHeight="1" x14ac:dyDescent="0.35">
      <c r="C1358" s="60"/>
      <c r="D1358" s="61"/>
      <c r="E1358" s="117"/>
      <c r="J1358" s="115"/>
      <c r="P1358" s="62"/>
    </row>
    <row r="1359" spans="3:16" ht="15.75" customHeight="1" x14ac:dyDescent="0.35">
      <c r="C1359" s="60"/>
      <c r="D1359" s="61"/>
      <c r="E1359" s="117"/>
      <c r="J1359" s="115"/>
      <c r="P1359" s="62"/>
    </row>
    <row r="1360" spans="3:16" ht="15.75" customHeight="1" x14ac:dyDescent="0.35">
      <c r="C1360" s="60"/>
      <c r="D1360" s="61"/>
      <c r="E1360" s="117"/>
      <c r="J1360" s="115"/>
      <c r="P1360" s="62"/>
    </row>
    <row r="1361" spans="3:16" ht="15.75" customHeight="1" x14ac:dyDescent="0.35">
      <c r="C1361" s="60"/>
      <c r="D1361" s="61"/>
      <c r="E1361" s="117"/>
      <c r="J1361" s="115"/>
      <c r="P1361" s="62"/>
    </row>
    <row r="1362" spans="3:16" ht="15.75" customHeight="1" x14ac:dyDescent="0.35">
      <c r="C1362" s="60"/>
      <c r="D1362" s="61"/>
      <c r="E1362" s="117"/>
      <c r="J1362" s="115"/>
      <c r="P1362" s="62"/>
    </row>
    <row r="1363" spans="3:16" ht="15.75" customHeight="1" x14ac:dyDescent="0.35">
      <c r="C1363" s="60"/>
      <c r="D1363" s="61"/>
      <c r="E1363" s="117"/>
      <c r="J1363" s="115"/>
      <c r="P1363" s="62"/>
    </row>
    <row r="1364" spans="3:16" ht="15.75" customHeight="1" x14ac:dyDescent="0.35">
      <c r="C1364" s="60"/>
      <c r="D1364" s="61"/>
      <c r="E1364" s="117"/>
      <c r="J1364" s="115"/>
      <c r="P1364" s="62"/>
    </row>
    <row r="1365" spans="3:16" ht="15.75" customHeight="1" x14ac:dyDescent="0.35">
      <c r="C1365" s="60"/>
      <c r="D1365" s="61"/>
      <c r="E1365" s="117"/>
      <c r="J1365" s="115"/>
      <c r="P1365" s="62"/>
    </row>
    <row r="1366" spans="3:16" ht="15.75" customHeight="1" x14ac:dyDescent="0.35">
      <c r="C1366" s="60"/>
      <c r="D1366" s="61"/>
      <c r="E1366" s="117"/>
      <c r="J1366" s="115"/>
      <c r="P1366" s="62"/>
    </row>
    <row r="1367" spans="3:16" ht="15.75" customHeight="1" x14ac:dyDescent="0.35">
      <c r="C1367" s="60"/>
      <c r="D1367" s="61"/>
      <c r="E1367" s="117"/>
      <c r="J1367" s="115"/>
      <c r="P1367" s="62"/>
    </row>
    <row r="1368" spans="3:16" ht="15.75" customHeight="1" x14ac:dyDescent="0.35">
      <c r="C1368" s="60"/>
      <c r="D1368" s="61"/>
      <c r="E1368" s="117"/>
      <c r="J1368" s="115"/>
      <c r="P1368" s="62"/>
    </row>
    <row r="1369" spans="3:16" ht="15.75" customHeight="1" x14ac:dyDescent="0.35">
      <c r="C1369" s="60"/>
      <c r="D1369" s="61"/>
      <c r="E1369" s="117"/>
      <c r="J1369" s="115"/>
      <c r="P1369" s="62"/>
    </row>
    <row r="1370" spans="3:16" ht="15.75" customHeight="1" x14ac:dyDescent="0.35">
      <c r="C1370" s="60"/>
      <c r="D1370" s="61"/>
      <c r="E1370" s="117"/>
      <c r="J1370" s="115"/>
      <c r="P1370" s="62"/>
    </row>
    <row r="1371" spans="3:16" ht="15.75" customHeight="1" x14ac:dyDescent="0.35">
      <c r="C1371" s="60"/>
      <c r="D1371" s="61"/>
      <c r="E1371" s="117"/>
      <c r="J1371" s="115"/>
      <c r="P1371" s="62"/>
    </row>
    <row r="1372" spans="3:16" ht="15.75" customHeight="1" x14ac:dyDescent="0.35">
      <c r="C1372" s="60"/>
      <c r="D1372" s="61"/>
      <c r="E1372" s="117"/>
      <c r="J1372" s="115"/>
      <c r="P1372" s="62"/>
    </row>
    <row r="1373" spans="3:16" ht="15.75" customHeight="1" x14ac:dyDescent="0.35">
      <c r="C1373" s="60"/>
      <c r="D1373" s="61"/>
      <c r="E1373" s="117"/>
      <c r="J1373" s="115"/>
      <c r="P1373" s="62"/>
    </row>
    <row r="1374" spans="3:16" ht="15.75" customHeight="1" x14ac:dyDescent="0.35">
      <c r="C1374" s="60"/>
      <c r="D1374" s="61"/>
      <c r="E1374" s="117"/>
      <c r="J1374" s="115"/>
      <c r="P1374" s="62"/>
    </row>
    <row r="1375" spans="3:16" ht="15.75" customHeight="1" x14ac:dyDescent="0.35">
      <c r="C1375" s="60"/>
      <c r="D1375" s="61"/>
      <c r="E1375" s="117"/>
      <c r="J1375" s="115"/>
      <c r="P1375" s="62"/>
    </row>
    <row r="1376" spans="3:16" ht="15.75" customHeight="1" x14ac:dyDescent="0.35">
      <c r="C1376" s="60"/>
      <c r="D1376" s="61"/>
      <c r="E1376" s="117"/>
      <c r="J1376" s="115"/>
      <c r="P1376" s="62"/>
    </row>
    <row r="1377" spans="3:16" ht="15.75" customHeight="1" x14ac:dyDescent="0.35">
      <c r="C1377" s="60"/>
      <c r="D1377" s="61"/>
      <c r="E1377" s="117"/>
      <c r="J1377" s="115"/>
      <c r="P1377" s="62"/>
    </row>
    <row r="1378" spans="3:16" ht="15.75" customHeight="1" x14ac:dyDescent="0.35">
      <c r="C1378" s="60"/>
      <c r="D1378" s="61"/>
      <c r="E1378" s="117"/>
      <c r="J1378" s="115"/>
      <c r="P1378" s="62"/>
    </row>
    <row r="1379" spans="3:16" ht="15.75" customHeight="1" x14ac:dyDescent="0.35">
      <c r="C1379" s="60"/>
      <c r="D1379" s="61"/>
      <c r="E1379" s="117"/>
      <c r="J1379" s="115"/>
      <c r="P1379" s="62"/>
    </row>
    <row r="1380" spans="3:16" ht="15.75" customHeight="1" x14ac:dyDescent="0.35">
      <c r="C1380" s="60"/>
      <c r="D1380" s="61"/>
      <c r="E1380" s="117"/>
      <c r="J1380" s="115"/>
      <c r="P1380" s="62"/>
    </row>
    <row r="1381" spans="3:16" ht="15.75" customHeight="1" x14ac:dyDescent="0.35">
      <c r="C1381" s="60"/>
      <c r="D1381" s="61"/>
      <c r="E1381" s="117"/>
      <c r="J1381" s="115"/>
      <c r="P1381" s="62"/>
    </row>
    <row r="1382" spans="3:16" ht="15.75" customHeight="1" x14ac:dyDescent="0.35">
      <c r="C1382" s="60"/>
      <c r="D1382" s="61"/>
      <c r="E1382" s="117"/>
      <c r="J1382" s="115"/>
      <c r="P1382" s="62"/>
    </row>
    <row r="1383" spans="3:16" ht="15.75" customHeight="1" x14ac:dyDescent="0.35">
      <c r="C1383" s="60"/>
      <c r="D1383" s="61"/>
      <c r="E1383" s="117"/>
      <c r="J1383" s="115"/>
      <c r="P1383" s="62"/>
    </row>
    <row r="1384" spans="3:16" ht="15.75" customHeight="1" x14ac:dyDescent="0.35">
      <c r="C1384" s="60"/>
      <c r="D1384" s="61"/>
      <c r="E1384" s="117"/>
      <c r="J1384" s="115"/>
      <c r="P1384" s="62"/>
    </row>
    <row r="1385" spans="3:16" ht="15.75" customHeight="1" x14ac:dyDescent="0.35">
      <c r="C1385" s="60"/>
      <c r="D1385" s="61"/>
      <c r="E1385" s="117"/>
      <c r="J1385" s="115"/>
      <c r="P1385" s="62"/>
    </row>
    <row r="1386" spans="3:16" ht="15.75" customHeight="1" x14ac:dyDescent="0.35">
      <c r="C1386" s="60"/>
      <c r="D1386" s="61"/>
      <c r="E1386" s="117"/>
      <c r="J1386" s="115"/>
      <c r="P1386" s="62"/>
    </row>
    <row r="1387" spans="3:16" ht="15.75" customHeight="1" x14ac:dyDescent="0.35">
      <c r="C1387" s="60"/>
      <c r="D1387" s="61"/>
      <c r="E1387" s="117"/>
      <c r="J1387" s="115"/>
      <c r="P1387" s="62"/>
    </row>
    <row r="1388" spans="3:16" ht="15.75" customHeight="1" x14ac:dyDescent="0.35">
      <c r="C1388" s="60"/>
      <c r="D1388" s="61"/>
      <c r="E1388" s="117"/>
      <c r="J1388" s="115"/>
      <c r="P1388" s="62"/>
    </row>
    <row r="1389" spans="3:16" ht="15.75" customHeight="1" x14ac:dyDescent="0.35">
      <c r="C1389" s="60"/>
      <c r="D1389" s="61"/>
      <c r="E1389" s="117"/>
      <c r="J1389" s="115"/>
      <c r="P1389" s="62"/>
    </row>
    <row r="1390" spans="3:16" ht="15.75" customHeight="1" x14ac:dyDescent="0.35">
      <c r="C1390" s="60"/>
      <c r="D1390" s="61"/>
      <c r="E1390" s="117"/>
      <c r="J1390" s="115"/>
      <c r="P1390" s="62"/>
    </row>
    <row r="1391" spans="3:16" ht="15.75" customHeight="1" x14ac:dyDescent="0.35">
      <c r="C1391" s="60"/>
      <c r="D1391" s="61"/>
      <c r="E1391" s="117"/>
      <c r="J1391" s="115"/>
      <c r="P1391" s="62"/>
    </row>
    <row r="1392" spans="3:16" ht="15.75" customHeight="1" x14ac:dyDescent="0.35">
      <c r="C1392" s="60"/>
      <c r="D1392" s="61"/>
      <c r="E1392" s="117"/>
      <c r="J1392" s="115"/>
      <c r="P1392" s="62"/>
    </row>
    <row r="1393" spans="3:16" ht="15.75" customHeight="1" x14ac:dyDescent="0.35">
      <c r="C1393" s="60"/>
      <c r="D1393" s="61"/>
      <c r="E1393" s="117"/>
      <c r="J1393" s="115"/>
      <c r="P1393" s="62"/>
    </row>
    <row r="1394" spans="3:16" ht="15.75" customHeight="1" x14ac:dyDescent="0.35">
      <c r="C1394" s="60"/>
      <c r="D1394" s="61"/>
      <c r="E1394" s="117"/>
      <c r="J1394" s="115"/>
      <c r="P1394" s="62"/>
    </row>
    <row r="1395" spans="3:16" ht="15.75" customHeight="1" x14ac:dyDescent="0.35">
      <c r="C1395" s="60"/>
      <c r="D1395" s="61"/>
      <c r="E1395" s="117"/>
      <c r="J1395" s="115"/>
      <c r="P1395" s="62"/>
    </row>
    <row r="1396" spans="3:16" ht="15.75" customHeight="1" x14ac:dyDescent="0.35">
      <c r="C1396" s="60"/>
      <c r="D1396" s="61"/>
      <c r="E1396" s="117"/>
      <c r="J1396" s="115"/>
      <c r="P1396" s="62"/>
    </row>
    <row r="1397" spans="3:16" ht="15.75" customHeight="1" x14ac:dyDescent="0.35">
      <c r="C1397" s="60"/>
      <c r="D1397" s="61"/>
      <c r="E1397" s="117"/>
      <c r="J1397" s="115"/>
      <c r="P1397" s="62"/>
    </row>
    <row r="1398" spans="3:16" ht="15.75" customHeight="1" x14ac:dyDescent="0.35">
      <c r="C1398" s="60"/>
      <c r="D1398" s="61"/>
      <c r="E1398" s="117"/>
      <c r="J1398" s="115"/>
      <c r="P1398" s="62"/>
    </row>
    <row r="1399" spans="3:16" ht="15.75" customHeight="1" x14ac:dyDescent="0.35">
      <c r="C1399" s="60"/>
      <c r="D1399" s="61"/>
      <c r="E1399" s="117"/>
      <c r="J1399" s="115"/>
      <c r="P1399" s="62"/>
    </row>
    <row r="1400" spans="3:16" ht="15.75" customHeight="1" x14ac:dyDescent="0.35">
      <c r="C1400" s="60"/>
      <c r="D1400" s="61"/>
      <c r="E1400" s="117"/>
      <c r="J1400" s="115"/>
      <c r="P1400" s="62"/>
    </row>
    <row r="1401" spans="3:16" ht="15.75" customHeight="1" x14ac:dyDescent="0.35">
      <c r="C1401" s="60"/>
      <c r="D1401" s="61"/>
      <c r="E1401" s="117"/>
      <c r="J1401" s="115"/>
      <c r="P1401" s="62"/>
    </row>
    <row r="1402" spans="3:16" ht="15.75" customHeight="1" x14ac:dyDescent="0.35">
      <c r="C1402" s="60"/>
      <c r="D1402" s="61"/>
      <c r="E1402" s="117"/>
      <c r="J1402" s="115"/>
      <c r="P1402" s="62"/>
    </row>
    <row r="1403" spans="3:16" ht="15.75" customHeight="1" x14ac:dyDescent="0.35">
      <c r="C1403" s="60"/>
      <c r="D1403" s="61"/>
      <c r="E1403" s="117"/>
      <c r="J1403" s="115"/>
      <c r="P1403" s="62"/>
    </row>
    <row r="1404" spans="3:16" ht="15.75" customHeight="1" x14ac:dyDescent="0.35">
      <c r="C1404" s="60"/>
      <c r="D1404" s="61"/>
      <c r="E1404" s="117"/>
      <c r="J1404" s="115"/>
      <c r="P1404" s="62"/>
    </row>
    <row r="1405" spans="3:16" ht="15.75" customHeight="1" x14ac:dyDescent="0.35">
      <c r="C1405" s="60"/>
      <c r="D1405" s="61"/>
      <c r="E1405" s="117"/>
      <c r="J1405" s="115"/>
      <c r="P1405" s="62"/>
    </row>
    <row r="1406" spans="3:16" ht="15.75" customHeight="1" x14ac:dyDescent="0.35">
      <c r="C1406" s="60"/>
      <c r="D1406" s="61"/>
      <c r="E1406" s="117"/>
      <c r="J1406" s="115"/>
      <c r="P1406" s="62"/>
    </row>
    <row r="1407" spans="3:16" ht="15.75" customHeight="1" x14ac:dyDescent="0.35">
      <c r="C1407" s="60"/>
      <c r="D1407" s="61"/>
      <c r="E1407" s="117"/>
      <c r="J1407" s="115"/>
      <c r="P1407" s="62"/>
    </row>
    <row r="1408" spans="3:16" ht="15.75" customHeight="1" x14ac:dyDescent="0.35">
      <c r="C1408" s="60"/>
      <c r="D1408" s="61"/>
      <c r="E1408" s="117"/>
      <c r="J1408" s="115"/>
      <c r="P1408" s="62"/>
    </row>
    <row r="1409" spans="3:16" ht="15.75" customHeight="1" x14ac:dyDescent="0.35">
      <c r="C1409" s="60"/>
      <c r="D1409" s="61"/>
      <c r="E1409" s="117"/>
      <c r="J1409" s="115"/>
      <c r="P1409" s="62"/>
    </row>
    <row r="1410" spans="3:16" ht="15.75" customHeight="1" x14ac:dyDescent="0.35">
      <c r="C1410" s="60"/>
      <c r="D1410" s="61"/>
      <c r="E1410" s="117"/>
      <c r="J1410" s="115"/>
      <c r="P1410" s="62"/>
    </row>
    <row r="1411" spans="3:16" ht="15.75" customHeight="1" x14ac:dyDescent="0.35">
      <c r="C1411" s="60"/>
      <c r="D1411" s="61"/>
      <c r="E1411" s="117"/>
      <c r="J1411" s="115"/>
      <c r="P1411" s="62"/>
    </row>
    <row r="1412" spans="3:16" ht="15.75" customHeight="1" x14ac:dyDescent="0.35">
      <c r="C1412" s="60"/>
      <c r="D1412" s="61"/>
      <c r="E1412" s="117"/>
      <c r="J1412" s="115"/>
      <c r="P1412" s="62"/>
    </row>
    <row r="1413" spans="3:16" ht="15.75" customHeight="1" x14ac:dyDescent="0.35">
      <c r="C1413" s="60"/>
      <c r="D1413" s="61"/>
      <c r="E1413" s="117"/>
      <c r="J1413" s="115"/>
      <c r="P1413" s="62"/>
    </row>
    <row r="1414" spans="3:16" ht="15.75" customHeight="1" x14ac:dyDescent="0.35">
      <c r="C1414" s="60"/>
      <c r="D1414" s="61"/>
      <c r="E1414" s="117"/>
      <c r="J1414" s="115"/>
      <c r="P1414" s="62"/>
    </row>
    <row r="1415" spans="3:16" ht="15.75" customHeight="1" x14ac:dyDescent="0.35">
      <c r="C1415" s="60"/>
      <c r="D1415" s="61"/>
      <c r="E1415" s="117"/>
      <c r="J1415" s="115"/>
      <c r="P1415" s="62"/>
    </row>
    <row r="1416" spans="3:16" ht="15.75" customHeight="1" x14ac:dyDescent="0.35">
      <c r="C1416" s="60"/>
      <c r="D1416" s="61"/>
      <c r="E1416" s="117"/>
      <c r="J1416" s="115"/>
      <c r="P1416" s="62"/>
    </row>
    <row r="1417" spans="3:16" ht="15.75" customHeight="1" x14ac:dyDescent="0.35">
      <c r="C1417" s="60"/>
      <c r="D1417" s="61"/>
      <c r="E1417" s="117"/>
      <c r="J1417" s="115"/>
      <c r="P1417" s="62"/>
    </row>
    <row r="1418" spans="3:16" ht="15.75" customHeight="1" x14ac:dyDescent="0.35">
      <c r="C1418" s="60"/>
      <c r="D1418" s="61"/>
      <c r="E1418" s="117"/>
      <c r="J1418" s="115"/>
      <c r="P1418" s="62"/>
    </row>
    <row r="1419" spans="3:16" ht="15.75" customHeight="1" x14ac:dyDescent="0.35">
      <c r="C1419" s="60"/>
      <c r="D1419" s="61"/>
      <c r="E1419" s="117"/>
      <c r="J1419" s="115"/>
      <c r="P1419" s="62"/>
    </row>
    <row r="1420" spans="3:16" ht="15.75" customHeight="1" x14ac:dyDescent="0.35">
      <c r="C1420" s="60"/>
      <c r="D1420" s="61"/>
      <c r="E1420" s="117"/>
      <c r="J1420" s="115"/>
      <c r="P1420" s="62"/>
    </row>
    <row r="1421" spans="3:16" ht="15.75" customHeight="1" x14ac:dyDescent="0.35">
      <c r="C1421" s="60"/>
      <c r="D1421" s="61"/>
      <c r="E1421" s="117"/>
      <c r="J1421" s="115"/>
      <c r="P1421" s="62"/>
    </row>
    <row r="1422" spans="3:16" ht="15.75" customHeight="1" x14ac:dyDescent="0.35">
      <c r="C1422" s="60"/>
      <c r="D1422" s="61"/>
      <c r="E1422" s="117"/>
      <c r="J1422" s="115"/>
      <c r="P1422" s="62"/>
    </row>
    <row r="1423" spans="3:16" ht="15.75" customHeight="1" x14ac:dyDescent="0.35">
      <c r="C1423" s="60"/>
      <c r="D1423" s="61"/>
      <c r="E1423" s="117"/>
      <c r="J1423" s="115"/>
      <c r="P1423" s="62"/>
    </row>
    <row r="1424" spans="3:16" ht="15.75" customHeight="1" x14ac:dyDescent="0.35">
      <c r="C1424" s="60"/>
      <c r="D1424" s="61"/>
      <c r="E1424" s="117"/>
      <c r="J1424" s="115"/>
      <c r="P1424" s="62"/>
    </row>
    <row r="1425" spans="3:16" ht="15.75" customHeight="1" x14ac:dyDescent="0.35">
      <c r="C1425" s="60"/>
      <c r="D1425" s="61"/>
      <c r="E1425" s="117"/>
      <c r="J1425" s="115"/>
      <c r="P1425" s="62"/>
    </row>
    <row r="1426" spans="3:16" ht="15.75" customHeight="1" x14ac:dyDescent="0.35">
      <c r="C1426" s="60"/>
      <c r="D1426" s="61"/>
      <c r="E1426" s="117"/>
      <c r="J1426" s="115"/>
      <c r="P1426" s="62"/>
    </row>
    <row r="1427" spans="3:16" ht="15.75" customHeight="1" x14ac:dyDescent="0.35">
      <c r="C1427" s="60"/>
      <c r="D1427" s="61"/>
      <c r="E1427" s="117"/>
      <c r="J1427" s="115"/>
      <c r="P1427" s="62"/>
    </row>
    <row r="1428" spans="3:16" ht="15.75" customHeight="1" x14ac:dyDescent="0.35">
      <c r="C1428" s="60"/>
      <c r="D1428" s="61"/>
      <c r="E1428" s="117"/>
      <c r="J1428" s="115"/>
      <c r="P1428" s="62"/>
    </row>
    <row r="1429" spans="3:16" ht="15.75" customHeight="1" x14ac:dyDescent="0.35">
      <c r="C1429" s="60"/>
      <c r="D1429" s="61"/>
      <c r="E1429" s="117"/>
      <c r="J1429" s="115"/>
      <c r="P1429" s="62"/>
    </row>
    <row r="1430" spans="3:16" ht="15.75" customHeight="1" x14ac:dyDescent="0.35">
      <c r="C1430" s="60"/>
      <c r="D1430" s="61"/>
      <c r="E1430" s="117"/>
      <c r="J1430" s="115"/>
      <c r="P1430" s="62"/>
    </row>
    <row r="1431" spans="3:16" ht="15.75" customHeight="1" x14ac:dyDescent="0.35">
      <c r="C1431" s="60"/>
      <c r="D1431" s="61"/>
      <c r="E1431" s="117"/>
      <c r="J1431" s="115"/>
      <c r="P1431" s="62"/>
    </row>
    <row r="1432" spans="3:16" ht="15.75" customHeight="1" x14ac:dyDescent="0.35">
      <c r="C1432" s="60"/>
      <c r="D1432" s="61"/>
      <c r="E1432" s="117"/>
      <c r="J1432" s="115"/>
      <c r="P1432" s="62"/>
    </row>
    <row r="1433" spans="3:16" ht="15.75" customHeight="1" x14ac:dyDescent="0.35">
      <c r="C1433" s="60"/>
      <c r="D1433" s="61"/>
      <c r="E1433" s="117"/>
      <c r="J1433" s="115"/>
      <c r="P1433" s="62"/>
    </row>
    <row r="1434" spans="3:16" ht="15.75" customHeight="1" x14ac:dyDescent="0.35">
      <c r="C1434" s="60"/>
      <c r="D1434" s="61"/>
      <c r="E1434" s="117"/>
      <c r="J1434" s="115"/>
      <c r="P1434" s="62"/>
    </row>
    <row r="1435" spans="3:16" ht="15.75" customHeight="1" x14ac:dyDescent="0.35">
      <c r="C1435" s="60"/>
      <c r="D1435" s="61"/>
      <c r="E1435" s="117"/>
      <c r="J1435" s="115"/>
      <c r="P1435" s="62"/>
    </row>
    <row r="1436" spans="3:16" ht="15.75" customHeight="1" x14ac:dyDescent="0.35">
      <c r="C1436" s="60"/>
      <c r="D1436" s="61"/>
      <c r="E1436" s="117"/>
      <c r="J1436" s="115"/>
      <c r="P1436" s="62"/>
    </row>
    <row r="1437" spans="3:16" ht="15.75" customHeight="1" x14ac:dyDescent="0.35">
      <c r="C1437" s="60"/>
      <c r="D1437" s="61"/>
      <c r="E1437" s="117"/>
      <c r="J1437" s="115"/>
      <c r="P1437" s="62"/>
    </row>
    <row r="1438" spans="3:16" ht="15.75" customHeight="1" x14ac:dyDescent="0.35">
      <c r="C1438" s="60"/>
      <c r="D1438" s="61"/>
      <c r="E1438" s="117"/>
      <c r="J1438" s="115"/>
      <c r="P1438" s="62"/>
    </row>
    <row r="1439" spans="3:16" ht="15.75" customHeight="1" x14ac:dyDescent="0.35">
      <c r="C1439" s="60"/>
      <c r="D1439" s="61"/>
      <c r="E1439" s="117"/>
      <c r="J1439" s="115"/>
      <c r="P1439" s="62"/>
    </row>
    <row r="1440" spans="3:16" ht="15.75" customHeight="1" x14ac:dyDescent="0.35">
      <c r="C1440" s="60"/>
      <c r="D1440" s="61"/>
      <c r="E1440" s="117"/>
      <c r="J1440" s="115"/>
      <c r="P1440" s="62"/>
    </row>
    <row r="1441" spans="3:16" ht="15.75" customHeight="1" x14ac:dyDescent="0.35">
      <c r="C1441" s="60"/>
      <c r="D1441" s="61"/>
      <c r="E1441" s="117"/>
      <c r="J1441" s="115"/>
      <c r="P1441" s="62"/>
    </row>
    <row r="1442" spans="3:16" ht="15.75" customHeight="1" x14ac:dyDescent="0.35">
      <c r="C1442" s="60"/>
      <c r="D1442" s="61"/>
      <c r="E1442" s="117"/>
      <c r="J1442" s="115"/>
      <c r="P1442" s="62"/>
    </row>
    <row r="1443" spans="3:16" ht="15.75" customHeight="1" x14ac:dyDescent="0.35">
      <c r="C1443" s="60"/>
      <c r="D1443" s="61"/>
      <c r="E1443" s="117"/>
      <c r="J1443" s="115"/>
      <c r="P1443" s="62"/>
    </row>
    <row r="1444" spans="3:16" ht="15.75" customHeight="1" x14ac:dyDescent="0.35">
      <c r="C1444" s="60"/>
      <c r="D1444" s="61"/>
      <c r="E1444" s="117"/>
      <c r="J1444" s="115"/>
      <c r="P1444" s="62"/>
    </row>
    <row r="1445" spans="3:16" ht="15.75" customHeight="1" x14ac:dyDescent="0.35">
      <c r="C1445" s="60"/>
      <c r="D1445" s="61"/>
      <c r="E1445" s="117"/>
      <c r="J1445" s="115"/>
      <c r="P1445" s="62"/>
    </row>
    <row r="1446" spans="3:16" ht="15.75" customHeight="1" x14ac:dyDescent="0.35">
      <c r="C1446" s="60"/>
      <c r="D1446" s="61"/>
      <c r="E1446" s="117"/>
      <c r="J1446" s="115"/>
      <c r="P1446" s="62"/>
    </row>
    <row r="1447" spans="3:16" ht="15.75" customHeight="1" x14ac:dyDescent="0.35">
      <c r="C1447" s="60"/>
      <c r="D1447" s="61"/>
      <c r="E1447" s="117"/>
      <c r="J1447" s="115"/>
      <c r="P1447" s="62"/>
    </row>
    <row r="1448" spans="3:16" ht="15.75" customHeight="1" x14ac:dyDescent="0.35">
      <c r="C1448" s="60"/>
      <c r="D1448" s="61"/>
      <c r="E1448" s="117"/>
      <c r="J1448" s="115"/>
      <c r="P1448" s="62"/>
    </row>
    <row r="1449" spans="3:16" ht="15.75" customHeight="1" x14ac:dyDescent="0.35">
      <c r="C1449" s="60"/>
      <c r="D1449" s="61"/>
      <c r="E1449" s="117"/>
      <c r="J1449" s="115"/>
      <c r="P1449" s="62"/>
    </row>
    <row r="1450" spans="3:16" ht="15.75" customHeight="1" x14ac:dyDescent="0.35">
      <c r="C1450" s="60"/>
      <c r="D1450" s="61"/>
      <c r="E1450" s="117"/>
      <c r="J1450" s="115"/>
      <c r="P1450" s="62"/>
    </row>
    <row r="1451" spans="3:16" ht="15.75" customHeight="1" x14ac:dyDescent="0.35">
      <c r="C1451" s="60"/>
      <c r="D1451" s="61"/>
      <c r="E1451" s="117"/>
      <c r="J1451" s="115"/>
      <c r="P1451" s="62"/>
    </row>
    <row r="1452" spans="3:16" ht="15.75" customHeight="1" x14ac:dyDescent="0.35">
      <c r="C1452" s="60"/>
      <c r="D1452" s="61"/>
      <c r="E1452" s="117"/>
      <c r="J1452" s="115"/>
      <c r="P1452" s="62"/>
    </row>
    <row r="1453" spans="3:16" ht="15.75" customHeight="1" x14ac:dyDescent="0.35">
      <c r="C1453" s="60"/>
      <c r="D1453" s="61"/>
      <c r="E1453" s="117"/>
      <c r="J1453" s="115"/>
      <c r="P1453" s="62"/>
    </row>
    <row r="1454" spans="3:16" ht="15.75" customHeight="1" x14ac:dyDescent="0.35">
      <c r="C1454" s="60"/>
      <c r="D1454" s="61"/>
      <c r="E1454" s="117"/>
      <c r="J1454" s="115"/>
      <c r="P1454" s="62"/>
    </row>
    <row r="1455" spans="3:16" ht="15.75" customHeight="1" x14ac:dyDescent="0.35">
      <c r="C1455" s="60"/>
      <c r="D1455" s="61"/>
      <c r="E1455" s="117"/>
      <c r="J1455" s="115"/>
      <c r="P1455" s="62"/>
    </row>
    <row r="1456" spans="3:16" ht="15.75" customHeight="1" x14ac:dyDescent="0.35">
      <c r="C1456" s="60"/>
      <c r="D1456" s="61"/>
      <c r="E1456" s="117"/>
      <c r="J1456" s="115"/>
      <c r="P1456" s="62"/>
    </row>
    <row r="1457" spans="3:16" ht="15.75" customHeight="1" x14ac:dyDescent="0.35">
      <c r="C1457" s="60"/>
      <c r="D1457" s="61"/>
      <c r="E1457" s="117"/>
      <c r="J1457" s="115"/>
      <c r="P1457" s="62"/>
    </row>
    <row r="1458" spans="3:16" ht="15.75" customHeight="1" x14ac:dyDescent="0.35">
      <c r="C1458" s="60"/>
      <c r="D1458" s="61"/>
      <c r="E1458" s="117"/>
      <c r="J1458" s="115"/>
      <c r="P1458" s="62"/>
    </row>
    <row r="1459" spans="3:16" ht="15.75" customHeight="1" x14ac:dyDescent="0.35">
      <c r="C1459" s="60"/>
      <c r="D1459" s="61"/>
      <c r="E1459" s="117"/>
      <c r="J1459" s="115"/>
      <c r="P1459" s="62"/>
    </row>
    <row r="1460" spans="3:16" ht="15.75" customHeight="1" x14ac:dyDescent="0.35">
      <c r="C1460" s="60"/>
      <c r="D1460" s="61"/>
      <c r="E1460" s="117"/>
      <c r="J1460" s="115"/>
      <c r="P1460" s="62"/>
    </row>
    <row r="1461" spans="3:16" ht="15.75" customHeight="1" x14ac:dyDescent="0.35">
      <c r="C1461" s="60"/>
      <c r="D1461" s="61"/>
      <c r="E1461" s="117"/>
      <c r="J1461" s="115"/>
      <c r="P1461" s="62"/>
    </row>
    <row r="1462" spans="3:16" ht="15.75" customHeight="1" x14ac:dyDescent="0.35">
      <c r="C1462" s="60"/>
      <c r="D1462" s="61"/>
      <c r="E1462" s="117"/>
      <c r="J1462" s="115"/>
      <c r="P1462" s="62"/>
    </row>
    <row r="1463" spans="3:16" ht="15.75" customHeight="1" x14ac:dyDescent="0.35">
      <c r="C1463" s="60"/>
      <c r="D1463" s="61"/>
      <c r="E1463" s="117"/>
      <c r="J1463" s="115"/>
      <c r="P1463" s="62"/>
    </row>
    <row r="1464" spans="3:16" ht="15.75" customHeight="1" x14ac:dyDescent="0.35">
      <c r="C1464" s="60"/>
      <c r="D1464" s="61"/>
      <c r="E1464" s="117"/>
      <c r="J1464" s="115"/>
      <c r="P1464" s="62"/>
    </row>
    <row r="1465" spans="3:16" ht="15.75" customHeight="1" x14ac:dyDescent="0.35">
      <c r="C1465" s="60"/>
      <c r="D1465" s="61"/>
      <c r="E1465" s="117"/>
      <c r="J1465" s="115"/>
      <c r="P1465" s="62"/>
    </row>
    <row r="1466" spans="3:16" ht="15.75" customHeight="1" x14ac:dyDescent="0.35">
      <c r="C1466" s="60"/>
      <c r="D1466" s="61"/>
      <c r="E1466" s="117"/>
      <c r="J1466" s="115"/>
      <c r="P1466" s="62"/>
    </row>
    <row r="1467" spans="3:16" ht="15.75" customHeight="1" x14ac:dyDescent="0.35">
      <c r="C1467" s="60"/>
      <c r="D1467" s="61"/>
      <c r="E1467" s="117"/>
      <c r="J1467" s="115"/>
      <c r="P1467" s="62"/>
    </row>
    <row r="1468" spans="3:16" ht="15.75" customHeight="1" x14ac:dyDescent="0.35">
      <c r="C1468" s="60"/>
      <c r="D1468" s="61"/>
      <c r="E1468" s="117"/>
      <c r="J1468" s="115"/>
      <c r="P1468" s="62"/>
    </row>
    <row r="1469" spans="3:16" ht="15.75" customHeight="1" x14ac:dyDescent="0.35">
      <c r="C1469" s="60"/>
      <c r="D1469" s="61"/>
      <c r="E1469" s="117"/>
      <c r="J1469" s="115"/>
      <c r="P1469" s="62"/>
    </row>
    <row r="1470" spans="3:16" ht="15.75" customHeight="1" x14ac:dyDescent="0.35">
      <c r="C1470" s="60"/>
      <c r="D1470" s="61"/>
      <c r="E1470" s="117"/>
      <c r="J1470" s="115"/>
      <c r="P1470" s="62"/>
    </row>
    <row r="1471" spans="3:16" ht="15.75" customHeight="1" x14ac:dyDescent="0.35">
      <c r="C1471" s="60"/>
      <c r="D1471" s="61"/>
      <c r="E1471" s="117"/>
      <c r="J1471" s="115"/>
      <c r="P1471" s="62"/>
    </row>
    <row r="1472" spans="3:16" ht="15.75" customHeight="1" x14ac:dyDescent="0.35">
      <c r="C1472" s="60"/>
      <c r="D1472" s="61"/>
      <c r="E1472" s="117"/>
      <c r="J1472" s="115"/>
      <c r="P1472" s="62"/>
    </row>
    <row r="1473" spans="3:16" ht="15.75" customHeight="1" x14ac:dyDescent="0.35">
      <c r="C1473" s="60"/>
      <c r="D1473" s="61"/>
      <c r="E1473" s="117"/>
      <c r="J1473" s="115"/>
      <c r="P1473" s="62"/>
    </row>
    <row r="1474" spans="3:16" ht="15.75" customHeight="1" x14ac:dyDescent="0.35">
      <c r="C1474" s="60"/>
      <c r="D1474" s="61"/>
      <c r="E1474" s="117"/>
      <c r="J1474" s="115"/>
      <c r="P1474" s="62"/>
    </row>
    <row r="1475" spans="3:16" ht="15.75" customHeight="1" x14ac:dyDescent="0.35">
      <c r="C1475" s="60"/>
      <c r="D1475" s="61"/>
      <c r="E1475" s="117"/>
      <c r="J1475" s="115"/>
      <c r="P1475" s="62"/>
    </row>
    <row r="1476" spans="3:16" ht="15.75" customHeight="1" x14ac:dyDescent="0.35">
      <c r="C1476" s="60"/>
      <c r="D1476" s="61"/>
      <c r="E1476" s="117"/>
      <c r="J1476" s="115"/>
      <c r="P1476" s="62"/>
    </row>
    <row r="1477" spans="3:16" ht="15.75" customHeight="1" x14ac:dyDescent="0.35">
      <c r="C1477" s="60"/>
      <c r="D1477" s="61"/>
      <c r="E1477" s="117"/>
      <c r="J1477" s="115"/>
      <c r="P1477" s="62"/>
    </row>
    <row r="1478" spans="3:16" ht="15.75" customHeight="1" x14ac:dyDescent="0.35">
      <c r="C1478" s="60"/>
      <c r="D1478" s="61"/>
      <c r="E1478" s="117"/>
      <c r="J1478" s="115"/>
      <c r="P1478" s="62"/>
    </row>
    <row r="1479" spans="3:16" ht="15.75" customHeight="1" x14ac:dyDescent="0.35">
      <c r="C1479" s="60"/>
      <c r="D1479" s="61"/>
      <c r="E1479" s="117"/>
      <c r="J1479" s="115"/>
      <c r="P1479" s="62"/>
    </row>
    <row r="1480" spans="3:16" ht="15.75" customHeight="1" x14ac:dyDescent="0.35">
      <c r="C1480" s="60"/>
      <c r="D1480" s="61"/>
      <c r="E1480" s="117"/>
      <c r="J1480" s="115"/>
      <c r="P1480" s="62"/>
    </row>
    <row r="1481" spans="3:16" ht="15.75" customHeight="1" x14ac:dyDescent="0.35">
      <c r="C1481" s="60"/>
      <c r="D1481" s="61"/>
      <c r="E1481" s="117"/>
      <c r="J1481" s="115"/>
      <c r="P1481" s="62"/>
    </row>
    <row r="1482" spans="3:16" ht="15.75" customHeight="1" x14ac:dyDescent="0.35">
      <c r="C1482" s="60"/>
      <c r="D1482" s="61"/>
      <c r="E1482" s="117"/>
      <c r="J1482" s="115"/>
      <c r="P1482" s="62"/>
    </row>
    <row r="1483" spans="3:16" ht="15.75" customHeight="1" x14ac:dyDescent="0.35">
      <c r="C1483" s="60"/>
      <c r="D1483" s="61"/>
      <c r="E1483" s="117"/>
      <c r="J1483" s="115"/>
      <c r="P1483" s="62"/>
    </row>
    <row r="1484" spans="3:16" ht="15.75" customHeight="1" x14ac:dyDescent="0.35">
      <c r="C1484" s="60"/>
      <c r="D1484" s="61"/>
      <c r="E1484" s="117"/>
      <c r="J1484" s="115"/>
      <c r="P1484" s="62"/>
    </row>
    <row r="1485" spans="3:16" ht="15.75" customHeight="1" x14ac:dyDescent="0.35">
      <c r="C1485" s="60"/>
      <c r="D1485" s="61"/>
      <c r="E1485" s="117"/>
      <c r="J1485" s="115"/>
      <c r="P1485" s="62"/>
    </row>
    <row r="1486" spans="3:16" ht="15.75" customHeight="1" x14ac:dyDescent="0.35">
      <c r="C1486" s="60"/>
      <c r="D1486" s="61"/>
      <c r="E1486" s="117"/>
      <c r="J1486" s="115"/>
      <c r="P1486" s="62"/>
    </row>
    <row r="1487" spans="3:16" ht="15.75" customHeight="1" x14ac:dyDescent="0.35">
      <c r="C1487" s="60"/>
      <c r="D1487" s="61"/>
      <c r="E1487" s="117"/>
      <c r="J1487" s="115"/>
      <c r="P1487" s="62"/>
    </row>
    <row r="1488" spans="3:16" ht="15.75" customHeight="1" x14ac:dyDescent="0.35">
      <c r="C1488" s="60"/>
      <c r="D1488" s="61"/>
      <c r="E1488" s="117"/>
      <c r="J1488" s="115"/>
      <c r="P1488" s="62"/>
    </row>
    <row r="1489" spans="3:16" ht="15.75" customHeight="1" x14ac:dyDescent="0.35">
      <c r="C1489" s="60"/>
      <c r="D1489" s="61"/>
      <c r="E1489" s="117"/>
      <c r="J1489" s="115"/>
      <c r="P1489" s="62"/>
    </row>
    <row r="1490" spans="3:16" ht="15.75" customHeight="1" x14ac:dyDescent="0.35">
      <c r="C1490" s="60"/>
      <c r="D1490" s="61"/>
      <c r="E1490" s="117"/>
      <c r="J1490" s="115"/>
      <c r="P1490" s="62"/>
    </row>
    <row r="1491" spans="3:16" ht="15.75" customHeight="1" x14ac:dyDescent="0.35">
      <c r="C1491" s="60"/>
      <c r="D1491" s="61"/>
      <c r="E1491" s="117"/>
      <c r="J1491" s="115"/>
      <c r="P1491" s="62"/>
    </row>
    <row r="1492" spans="3:16" ht="15.75" customHeight="1" x14ac:dyDescent="0.35">
      <c r="C1492" s="60"/>
      <c r="D1492" s="61"/>
      <c r="E1492" s="117"/>
      <c r="J1492" s="115"/>
      <c r="P1492" s="62"/>
    </row>
    <row r="1493" spans="3:16" ht="15.75" customHeight="1" x14ac:dyDescent="0.35">
      <c r="C1493" s="60"/>
      <c r="D1493" s="61"/>
      <c r="E1493" s="117"/>
      <c r="J1493" s="115"/>
      <c r="P1493" s="62"/>
    </row>
    <row r="1494" spans="3:16" ht="15.75" customHeight="1" x14ac:dyDescent="0.35">
      <c r="C1494" s="60"/>
      <c r="D1494" s="61"/>
      <c r="E1494" s="117"/>
      <c r="J1494" s="115"/>
      <c r="P1494" s="62"/>
    </row>
    <row r="1495" spans="3:16" ht="15.75" customHeight="1" x14ac:dyDescent="0.35">
      <c r="C1495" s="60"/>
      <c r="D1495" s="61"/>
      <c r="E1495" s="117"/>
      <c r="J1495" s="115"/>
      <c r="P1495" s="62"/>
    </row>
    <row r="1496" spans="3:16" ht="15.75" customHeight="1" x14ac:dyDescent="0.35">
      <c r="C1496" s="60"/>
      <c r="D1496" s="61"/>
      <c r="E1496" s="117"/>
      <c r="J1496" s="115"/>
      <c r="P1496" s="62"/>
    </row>
    <row r="1497" spans="3:16" ht="15.75" customHeight="1" x14ac:dyDescent="0.35">
      <c r="C1497" s="60"/>
      <c r="D1497" s="61"/>
      <c r="E1497" s="117"/>
      <c r="J1497" s="115"/>
      <c r="P1497" s="62"/>
    </row>
    <row r="1498" spans="3:16" ht="15.75" customHeight="1" x14ac:dyDescent="0.35">
      <c r="C1498" s="60"/>
      <c r="D1498" s="61"/>
      <c r="E1498" s="117"/>
      <c r="J1498" s="115"/>
      <c r="P1498" s="62"/>
    </row>
    <row r="1499" spans="3:16" ht="15.75" customHeight="1" x14ac:dyDescent="0.35">
      <c r="C1499" s="60"/>
      <c r="D1499" s="61"/>
      <c r="E1499" s="117"/>
      <c r="J1499" s="115"/>
      <c r="P1499" s="62"/>
    </row>
    <row r="1500" spans="3:16" ht="15.75" customHeight="1" x14ac:dyDescent="0.35">
      <c r="C1500" s="60"/>
      <c r="D1500" s="61"/>
      <c r="E1500" s="117"/>
      <c r="J1500" s="115"/>
      <c r="P1500" s="62"/>
    </row>
    <row r="1501" spans="3:16" ht="15.75" customHeight="1" x14ac:dyDescent="0.35">
      <c r="C1501" s="60"/>
      <c r="D1501" s="61"/>
      <c r="E1501" s="117"/>
      <c r="J1501" s="115"/>
      <c r="P1501" s="62"/>
    </row>
    <row r="1502" spans="3:16" ht="15.75" customHeight="1" x14ac:dyDescent="0.35">
      <c r="C1502" s="60"/>
      <c r="D1502" s="61"/>
      <c r="E1502" s="117"/>
      <c r="J1502" s="115"/>
      <c r="P1502" s="62"/>
    </row>
    <row r="1503" spans="3:16" ht="15.75" customHeight="1" x14ac:dyDescent="0.35">
      <c r="C1503" s="60"/>
      <c r="D1503" s="61"/>
      <c r="E1503" s="117"/>
      <c r="J1503" s="115"/>
      <c r="P1503" s="62"/>
    </row>
    <row r="1504" spans="3:16" ht="15.75" customHeight="1" x14ac:dyDescent="0.35">
      <c r="C1504" s="60"/>
      <c r="D1504" s="61"/>
      <c r="E1504" s="117"/>
      <c r="J1504" s="115"/>
      <c r="P1504" s="62"/>
    </row>
    <row r="1505" spans="3:16" ht="15.75" customHeight="1" x14ac:dyDescent="0.35">
      <c r="C1505" s="60"/>
      <c r="D1505" s="61"/>
      <c r="E1505" s="117"/>
      <c r="J1505" s="115"/>
      <c r="P1505" s="62"/>
    </row>
    <row r="1506" spans="3:16" ht="15.75" customHeight="1" x14ac:dyDescent="0.35">
      <c r="C1506" s="60"/>
      <c r="D1506" s="61"/>
      <c r="E1506" s="117"/>
      <c r="J1506" s="115"/>
      <c r="P1506" s="62"/>
    </row>
    <row r="1507" spans="3:16" ht="15.75" customHeight="1" x14ac:dyDescent="0.35">
      <c r="C1507" s="60"/>
      <c r="D1507" s="61"/>
      <c r="E1507" s="117"/>
      <c r="J1507" s="115"/>
      <c r="P1507" s="62"/>
    </row>
    <row r="1508" spans="3:16" ht="15.75" customHeight="1" x14ac:dyDescent="0.35">
      <c r="C1508" s="60"/>
      <c r="D1508" s="61"/>
      <c r="E1508" s="117"/>
      <c r="J1508" s="115"/>
      <c r="P1508" s="62"/>
    </row>
    <row r="1509" spans="3:16" ht="15.75" customHeight="1" x14ac:dyDescent="0.35">
      <c r="C1509" s="60"/>
      <c r="D1509" s="61"/>
      <c r="E1509" s="117"/>
      <c r="J1509" s="115"/>
      <c r="P1509" s="62"/>
    </row>
    <row r="1510" spans="3:16" ht="15.75" customHeight="1" x14ac:dyDescent="0.35">
      <c r="C1510" s="60"/>
      <c r="D1510" s="61"/>
      <c r="E1510" s="117"/>
      <c r="J1510" s="115"/>
      <c r="P1510" s="62"/>
    </row>
    <row r="1511" spans="3:16" ht="15.75" customHeight="1" x14ac:dyDescent="0.35">
      <c r="C1511" s="60"/>
      <c r="D1511" s="61"/>
      <c r="E1511" s="117"/>
      <c r="J1511" s="115"/>
      <c r="P1511" s="62"/>
    </row>
    <row r="1512" spans="3:16" ht="15.75" customHeight="1" x14ac:dyDescent="0.35">
      <c r="C1512" s="60"/>
      <c r="D1512" s="61"/>
      <c r="E1512" s="117"/>
      <c r="J1512" s="115"/>
      <c r="P1512" s="62"/>
    </row>
    <row r="1513" spans="3:16" ht="15.75" customHeight="1" x14ac:dyDescent="0.35">
      <c r="C1513" s="60"/>
      <c r="D1513" s="61"/>
      <c r="E1513" s="117"/>
      <c r="J1513" s="115"/>
      <c r="P1513" s="62"/>
    </row>
    <row r="1514" spans="3:16" ht="15.75" customHeight="1" x14ac:dyDescent="0.35">
      <c r="C1514" s="60"/>
      <c r="D1514" s="61"/>
      <c r="E1514" s="117"/>
      <c r="J1514" s="115"/>
      <c r="P1514" s="62"/>
    </row>
    <row r="1515" spans="3:16" ht="15.75" customHeight="1" x14ac:dyDescent="0.35">
      <c r="C1515" s="60"/>
      <c r="D1515" s="61"/>
      <c r="E1515" s="117"/>
      <c r="J1515" s="115"/>
      <c r="P1515" s="62"/>
    </row>
    <row r="1516" spans="3:16" ht="15.75" customHeight="1" x14ac:dyDescent="0.35">
      <c r="C1516" s="60"/>
      <c r="D1516" s="61"/>
      <c r="E1516" s="117"/>
      <c r="J1516" s="115"/>
      <c r="P1516" s="62"/>
    </row>
    <row r="1517" spans="3:16" ht="15.75" customHeight="1" x14ac:dyDescent="0.35">
      <c r="C1517" s="60"/>
      <c r="D1517" s="61"/>
      <c r="E1517" s="117"/>
      <c r="J1517" s="115"/>
      <c r="P1517" s="62"/>
    </row>
    <row r="1518" spans="3:16" ht="15.75" customHeight="1" x14ac:dyDescent="0.35">
      <c r="C1518" s="60"/>
      <c r="D1518" s="61"/>
      <c r="E1518" s="117"/>
      <c r="J1518" s="115"/>
      <c r="P1518" s="62"/>
    </row>
    <row r="1519" spans="3:16" ht="15.75" customHeight="1" x14ac:dyDescent="0.35">
      <c r="C1519" s="60"/>
      <c r="D1519" s="61"/>
      <c r="E1519" s="117"/>
      <c r="J1519" s="115"/>
      <c r="P1519" s="62"/>
    </row>
    <row r="1520" spans="3:16" ht="15.75" customHeight="1" x14ac:dyDescent="0.35">
      <c r="C1520" s="60"/>
      <c r="D1520" s="61"/>
      <c r="E1520" s="117"/>
      <c r="J1520" s="115"/>
      <c r="P1520" s="62"/>
    </row>
    <row r="1521" spans="3:16" ht="15.75" customHeight="1" x14ac:dyDescent="0.35">
      <c r="C1521" s="60"/>
      <c r="D1521" s="61"/>
      <c r="E1521" s="117"/>
      <c r="J1521" s="115"/>
      <c r="P1521" s="62"/>
    </row>
    <row r="1522" spans="3:16" ht="15.75" customHeight="1" x14ac:dyDescent="0.35">
      <c r="C1522" s="60"/>
      <c r="D1522" s="61"/>
      <c r="E1522" s="117"/>
      <c r="J1522" s="115"/>
      <c r="P1522" s="62"/>
    </row>
    <row r="1523" spans="3:16" ht="15.75" customHeight="1" x14ac:dyDescent="0.35">
      <c r="C1523" s="60"/>
      <c r="D1523" s="61"/>
      <c r="E1523" s="117"/>
      <c r="J1523" s="115"/>
      <c r="P1523" s="62"/>
    </row>
    <row r="1524" spans="3:16" ht="15.75" customHeight="1" x14ac:dyDescent="0.35">
      <c r="C1524" s="60"/>
      <c r="D1524" s="61"/>
      <c r="E1524" s="117"/>
      <c r="J1524" s="115"/>
      <c r="P1524" s="62"/>
    </row>
    <row r="1525" spans="3:16" ht="15.75" customHeight="1" x14ac:dyDescent="0.35">
      <c r="C1525" s="60"/>
      <c r="D1525" s="61"/>
      <c r="E1525" s="117"/>
      <c r="J1525" s="115"/>
      <c r="P1525" s="62"/>
    </row>
    <row r="1526" spans="3:16" ht="15.75" customHeight="1" x14ac:dyDescent="0.35">
      <c r="C1526" s="60"/>
      <c r="D1526" s="61"/>
      <c r="E1526" s="117"/>
      <c r="J1526" s="115"/>
      <c r="P1526" s="62"/>
    </row>
    <row r="1527" spans="3:16" ht="15.75" customHeight="1" x14ac:dyDescent="0.35">
      <c r="C1527" s="60"/>
      <c r="D1527" s="61"/>
      <c r="E1527" s="117"/>
      <c r="J1527" s="115"/>
      <c r="P1527" s="62"/>
    </row>
    <row r="1528" spans="3:16" ht="15.75" customHeight="1" x14ac:dyDescent="0.35">
      <c r="C1528" s="60"/>
      <c r="D1528" s="61"/>
      <c r="E1528" s="117"/>
      <c r="J1528" s="115"/>
      <c r="P1528" s="62"/>
    </row>
    <row r="1529" spans="3:16" ht="15.75" customHeight="1" x14ac:dyDescent="0.35">
      <c r="C1529" s="60"/>
      <c r="D1529" s="61"/>
      <c r="E1529" s="117"/>
      <c r="J1529" s="115"/>
      <c r="P1529" s="62"/>
    </row>
    <row r="1530" spans="3:16" ht="15.75" customHeight="1" x14ac:dyDescent="0.35">
      <c r="C1530" s="60"/>
      <c r="D1530" s="61"/>
      <c r="E1530" s="117"/>
      <c r="J1530" s="115"/>
      <c r="P1530" s="62"/>
    </row>
    <row r="1531" spans="3:16" ht="15.75" customHeight="1" x14ac:dyDescent="0.35">
      <c r="C1531" s="60"/>
      <c r="D1531" s="61"/>
      <c r="E1531" s="117"/>
      <c r="J1531" s="115"/>
      <c r="P1531" s="62"/>
    </row>
    <row r="1532" spans="3:16" ht="15.75" customHeight="1" x14ac:dyDescent="0.35">
      <c r="C1532" s="60"/>
      <c r="D1532" s="61"/>
      <c r="E1532" s="117"/>
      <c r="J1532" s="115"/>
      <c r="P1532" s="62"/>
    </row>
    <row r="1533" spans="3:16" ht="15.75" customHeight="1" x14ac:dyDescent="0.35">
      <c r="C1533" s="60"/>
      <c r="D1533" s="61"/>
      <c r="E1533" s="117"/>
      <c r="J1533" s="115"/>
      <c r="P1533" s="62"/>
    </row>
    <row r="1534" spans="3:16" ht="15.75" customHeight="1" x14ac:dyDescent="0.35">
      <c r="C1534" s="60"/>
      <c r="D1534" s="61"/>
      <c r="E1534" s="117"/>
      <c r="J1534" s="115"/>
      <c r="P1534" s="62"/>
    </row>
    <row r="1535" spans="3:16" ht="15.75" customHeight="1" x14ac:dyDescent="0.35">
      <c r="C1535" s="60"/>
      <c r="D1535" s="61"/>
      <c r="E1535" s="117"/>
      <c r="J1535" s="115"/>
      <c r="P1535" s="62"/>
    </row>
    <row r="1536" spans="3:16" ht="15.75" customHeight="1" x14ac:dyDescent="0.35">
      <c r="C1536" s="60"/>
      <c r="D1536" s="61"/>
      <c r="E1536" s="117"/>
      <c r="J1536" s="115"/>
      <c r="P1536" s="62"/>
    </row>
    <row r="1537" spans="3:16" ht="15.75" customHeight="1" x14ac:dyDescent="0.35">
      <c r="C1537" s="60"/>
      <c r="D1537" s="61"/>
      <c r="E1537" s="117"/>
      <c r="J1537" s="115"/>
      <c r="P1537" s="62"/>
    </row>
    <row r="1538" spans="3:16" ht="15.75" customHeight="1" x14ac:dyDescent="0.35">
      <c r="C1538" s="60"/>
      <c r="D1538" s="61"/>
      <c r="E1538" s="117"/>
      <c r="J1538" s="115"/>
      <c r="P1538" s="62"/>
    </row>
    <row r="1539" spans="3:16" ht="15.75" customHeight="1" x14ac:dyDescent="0.35">
      <c r="C1539" s="60"/>
      <c r="D1539" s="61"/>
      <c r="E1539" s="117"/>
      <c r="J1539" s="115"/>
      <c r="P1539" s="62"/>
    </row>
    <row r="1540" spans="3:16" ht="15.75" customHeight="1" x14ac:dyDescent="0.35">
      <c r="C1540" s="60"/>
      <c r="D1540" s="61"/>
      <c r="E1540" s="117"/>
      <c r="J1540" s="115"/>
      <c r="P1540" s="62"/>
    </row>
    <row r="1541" spans="3:16" ht="15.75" customHeight="1" x14ac:dyDescent="0.35">
      <c r="C1541" s="60"/>
      <c r="D1541" s="61"/>
      <c r="E1541" s="117"/>
      <c r="J1541" s="115"/>
      <c r="P1541" s="62"/>
    </row>
    <row r="1542" spans="3:16" ht="15.75" customHeight="1" x14ac:dyDescent="0.35">
      <c r="C1542" s="60"/>
      <c r="D1542" s="61"/>
      <c r="E1542" s="117"/>
      <c r="J1542" s="115"/>
      <c r="P1542" s="62"/>
    </row>
    <row r="1543" spans="3:16" ht="15.75" customHeight="1" x14ac:dyDescent="0.35">
      <c r="C1543" s="60"/>
      <c r="D1543" s="61"/>
      <c r="E1543" s="117"/>
      <c r="J1543" s="115"/>
      <c r="P1543" s="62"/>
    </row>
    <row r="1544" spans="3:16" ht="15.75" customHeight="1" x14ac:dyDescent="0.35">
      <c r="C1544" s="60"/>
      <c r="D1544" s="61"/>
      <c r="E1544" s="117"/>
      <c r="J1544" s="115"/>
      <c r="P1544" s="62"/>
    </row>
    <row r="1545" spans="3:16" ht="15.75" customHeight="1" x14ac:dyDescent="0.35">
      <c r="C1545" s="60"/>
      <c r="D1545" s="61"/>
      <c r="E1545" s="117"/>
      <c r="J1545" s="115"/>
      <c r="P1545" s="62"/>
    </row>
    <row r="1546" spans="3:16" ht="15.75" customHeight="1" x14ac:dyDescent="0.35">
      <c r="C1546" s="60"/>
      <c r="D1546" s="61"/>
      <c r="E1546" s="117"/>
      <c r="J1546" s="115"/>
      <c r="P1546" s="62"/>
    </row>
    <row r="1547" spans="3:16" ht="15.75" customHeight="1" x14ac:dyDescent="0.35">
      <c r="C1547" s="60"/>
      <c r="D1547" s="61"/>
      <c r="E1547" s="117"/>
      <c r="J1547" s="115"/>
      <c r="P1547" s="62"/>
    </row>
    <row r="1548" spans="3:16" ht="15.75" customHeight="1" x14ac:dyDescent="0.35">
      <c r="C1548" s="60"/>
      <c r="D1548" s="61"/>
      <c r="E1548" s="117"/>
      <c r="J1548" s="115"/>
      <c r="P1548" s="62"/>
    </row>
    <row r="1549" spans="3:16" ht="15.75" customHeight="1" x14ac:dyDescent="0.35">
      <c r="C1549" s="60"/>
      <c r="D1549" s="61"/>
      <c r="E1549" s="117"/>
      <c r="J1549" s="115"/>
      <c r="P1549" s="62"/>
    </row>
    <row r="1550" spans="3:16" ht="15.75" customHeight="1" x14ac:dyDescent="0.35">
      <c r="C1550" s="60"/>
      <c r="D1550" s="61"/>
      <c r="E1550" s="117"/>
      <c r="J1550" s="115"/>
      <c r="P1550" s="62"/>
    </row>
    <row r="1551" spans="3:16" ht="15.75" customHeight="1" x14ac:dyDescent="0.35">
      <c r="C1551" s="60"/>
      <c r="D1551" s="61"/>
      <c r="E1551" s="117"/>
      <c r="J1551" s="115"/>
      <c r="P1551" s="62"/>
    </row>
    <row r="1552" spans="3:16" ht="15.75" customHeight="1" x14ac:dyDescent="0.35">
      <c r="C1552" s="60"/>
      <c r="D1552" s="61"/>
      <c r="E1552" s="117"/>
      <c r="J1552" s="115"/>
      <c r="P1552" s="62"/>
    </row>
    <row r="1553" spans="3:16" ht="15.75" customHeight="1" x14ac:dyDescent="0.35">
      <c r="C1553" s="60"/>
      <c r="D1553" s="61"/>
      <c r="E1553" s="117"/>
      <c r="J1553" s="115"/>
      <c r="P1553" s="62"/>
    </row>
    <row r="1554" spans="3:16" ht="15.75" customHeight="1" x14ac:dyDescent="0.35">
      <c r="C1554" s="60"/>
      <c r="D1554" s="61"/>
      <c r="E1554" s="117"/>
      <c r="J1554" s="115"/>
      <c r="P1554" s="62"/>
    </row>
    <row r="1555" spans="3:16" ht="15.75" customHeight="1" x14ac:dyDescent="0.35">
      <c r="C1555" s="60"/>
      <c r="D1555" s="61"/>
      <c r="E1555" s="117"/>
      <c r="J1555" s="115"/>
      <c r="P1555" s="62"/>
    </row>
    <row r="1556" spans="3:16" ht="15.75" customHeight="1" x14ac:dyDescent="0.35">
      <c r="C1556" s="60"/>
      <c r="D1556" s="61"/>
      <c r="E1556" s="117"/>
      <c r="J1556" s="115"/>
      <c r="P1556" s="62"/>
    </row>
    <row r="1557" spans="3:16" ht="15.75" customHeight="1" x14ac:dyDescent="0.35">
      <c r="C1557" s="60"/>
      <c r="D1557" s="61"/>
      <c r="E1557" s="117"/>
      <c r="J1557" s="115"/>
      <c r="P1557" s="62"/>
    </row>
    <row r="1558" spans="3:16" ht="15.75" customHeight="1" x14ac:dyDescent="0.35">
      <c r="C1558" s="60"/>
      <c r="D1558" s="61"/>
      <c r="E1558" s="117"/>
      <c r="J1558" s="115"/>
      <c r="P1558" s="62"/>
    </row>
    <row r="1559" spans="3:16" ht="15.75" customHeight="1" x14ac:dyDescent="0.35">
      <c r="C1559" s="60"/>
      <c r="D1559" s="61"/>
      <c r="E1559" s="117"/>
      <c r="J1559" s="115"/>
      <c r="P1559" s="62"/>
    </row>
    <row r="1560" spans="3:16" ht="15.75" customHeight="1" x14ac:dyDescent="0.35">
      <c r="C1560" s="60"/>
      <c r="D1560" s="61"/>
      <c r="E1560" s="117"/>
      <c r="J1560" s="115"/>
      <c r="P1560" s="62"/>
    </row>
    <row r="1561" spans="3:16" ht="15.75" customHeight="1" x14ac:dyDescent="0.35">
      <c r="C1561" s="60"/>
      <c r="D1561" s="61"/>
      <c r="E1561" s="117"/>
      <c r="J1561" s="115"/>
      <c r="P1561" s="62"/>
    </row>
    <row r="1562" spans="3:16" ht="15.75" customHeight="1" x14ac:dyDescent="0.35">
      <c r="C1562" s="60"/>
      <c r="D1562" s="61"/>
      <c r="E1562" s="117"/>
      <c r="J1562" s="115"/>
      <c r="P1562" s="62"/>
    </row>
    <row r="1563" spans="3:16" ht="15.75" customHeight="1" x14ac:dyDescent="0.35">
      <c r="C1563" s="60"/>
      <c r="D1563" s="61"/>
      <c r="E1563" s="117"/>
      <c r="J1563" s="115"/>
      <c r="P1563" s="62"/>
    </row>
    <row r="1564" spans="3:16" ht="15.75" customHeight="1" x14ac:dyDescent="0.35">
      <c r="C1564" s="60"/>
      <c r="D1564" s="61"/>
      <c r="E1564" s="117"/>
      <c r="J1564" s="115"/>
      <c r="P1564" s="62"/>
    </row>
    <row r="1565" spans="3:16" ht="15.75" customHeight="1" x14ac:dyDescent="0.35">
      <c r="C1565" s="60"/>
      <c r="D1565" s="61"/>
      <c r="E1565" s="117"/>
      <c r="J1565" s="115"/>
      <c r="P1565" s="62"/>
    </row>
    <row r="1566" spans="3:16" ht="15.75" customHeight="1" x14ac:dyDescent="0.35">
      <c r="C1566" s="60"/>
      <c r="D1566" s="61"/>
      <c r="E1566" s="117"/>
      <c r="J1566" s="115"/>
      <c r="P1566" s="62"/>
    </row>
    <row r="1567" spans="3:16" ht="15.75" customHeight="1" x14ac:dyDescent="0.35">
      <c r="C1567" s="60"/>
      <c r="D1567" s="61"/>
      <c r="E1567" s="117"/>
      <c r="J1567" s="115"/>
      <c r="P1567" s="62"/>
    </row>
    <row r="1568" spans="3:16" ht="15.75" customHeight="1" x14ac:dyDescent="0.35">
      <c r="C1568" s="60"/>
      <c r="D1568" s="61"/>
      <c r="E1568" s="117"/>
      <c r="J1568" s="115"/>
      <c r="P1568" s="62"/>
    </row>
    <row r="1569" spans="3:16" ht="15.75" customHeight="1" x14ac:dyDescent="0.35">
      <c r="C1569" s="60"/>
      <c r="D1569" s="61"/>
      <c r="E1569" s="117"/>
      <c r="J1569" s="115"/>
      <c r="P1569" s="62"/>
    </row>
    <row r="1570" spans="3:16" ht="15.75" customHeight="1" x14ac:dyDescent="0.35">
      <c r="C1570" s="60"/>
      <c r="D1570" s="61"/>
      <c r="E1570" s="117"/>
      <c r="J1570" s="115"/>
      <c r="P1570" s="62"/>
    </row>
    <row r="1571" spans="3:16" ht="15.75" customHeight="1" x14ac:dyDescent="0.35">
      <c r="C1571" s="60"/>
      <c r="D1571" s="61"/>
      <c r="E1571" s="117"/>
      <c r="J1571" s="115"/>
      <c r="P1571" s="62"/>
    </row>
    <row r="1572" spans="3:16" ht="15.75" customHeight="1" x14ac:dyDescent="0.35">
      <c r="C1572" s="60"/>
      <c r="D1572" s="61"/>
      <c r="E1572" s="117"/>
      <c r="J1572" s="115"/>
      <c r="P1572" s="62"/>
    </row>
    <row r="1573" spans="3:16" ht="15.75" customHeight="1" x14ac:dyDescent="0.35">
      <c r="C1573" s="60"/>
      <c r="D1573" s="61"/>
      <c r="E1573" s="117"/>
      <c r="J1573" s="115"/>
      <c r="P1573" s="62"/>
    </row>
    <row r="1574" spans="3:16" ht="15.75" customHeight="1" x14ac:dyDescent="0.35">
      <c r="C1574" s="60"/>
      <c r="D1574" s="61"/>
      <c r="E1574" s="117"/>
      <c r="J1574" s="115"/>
      <c r="P1574" s="62"/>
    </row>
    <row r="1575" spans="3:16" ht="15.75" customHeight="1" x14ac:dyDescent="0.35">
      <c r="C1575" s="60"/>
      <c r="D1575" s="61"/>
      <c r="E1575" s="117"/>
      <c r="J1575" s="115"/>
      <c r="P1575" s="62"/>
    </row>
    <row r="1576" spans="3:16" ht="15.75" customHeight="1" x14ac:dyDescent="0.35">
      <c r="C1576" s="60"/>
      <c r="D1576" s="61"/>
      <c r="E1576" s="117"/>
      <c r="J1576" s="115"/>
      <c r="P1576" s="62"/>
    </row>
    <row r="1577" spans="3:16" ht="15.75" customHeight="1" x14ac:dyDescent="0.35">
      <c r="C1577" s="60"/>
      <c r="D1577" s="61"/>
      <c r="E1577" s="117"/>
      <c r="J1577" s="115"/>
      <c r="P1577" s="62"/>
    </row>
    <row r="1578" spans="3:16" ht="15.75" customHeight="1" x14ac:dyDescent="0.35">
      <c r="C1578" s="60"/>
      <c r="D1578" s="61"/>
      <c r="E1578" s="117"/>
      <c r="J1578" s="115"/>
      <c r="P1578" s="62"/>
    </row>
    <row r="1579" spans="3:16" ht="15.75" customHeight="1" x14ac:dyDescent="0.35">
      <c r="C1579" s="60"/>
      <c r="D1579" s="61"/>
      <c r="E1579" s="117"/>
      <c r="J1579" s="115"/>
      <c r="P1579" s="62"/>
    </row>
    <row r="1580" spans="3:16" ht="15.75" customHeight="1" x14ac:dyDescent="0.35">
      <c r="C1580" s="60"/>
      <c r="D1580" s="61"/>
      <c r="E1580" s="117"/>
      <c r="J1580" s="115"/>
      <c r="P1580" s="62"/>
    </row>
    <row r="1581" spans="3:16" ht="15.75" customHeight="1" x14ac:dyDescent="0.35">
      <c r="C1581" s="60"/>
      <c r="D1581" s="61"/>
      <c r="E1581" s="117"/>
      <c r="J1581" s="115"/>
      <c r="P1581" s="62"/>
    </row>
    <row r="1582" spans="3:16" ht="15.75" customHeight="1" x14ac:dyDescent="0.35">
      <c r="C1582" s="60"/>
      <c r="D1582" s="61"/>
      <c r="E1582" s="117"/>
      <c r="J1582" s="115"/>
      <c r="P1582" s="62"/>
    </row>
    <row r="1583" spans="3:16" ht="15.75" customHeight="1" x14ac:dyDescent="0.35">
      <c r="C1583" s="60"/>
      <c r="D1583" s="61"/>
      <c r="E1583" s="117"/>
      <c r="J1583" s="115"/>
      <c r="P1583" s="62"/>
    </row>
    <row r="1584" spans="3:16" ht="15.75" customHeight="1" x14ac:dyDescent="0.35">
      <c r="C1584" s="60"/>
      <c r="D1584" s="61"/>
      <c r="E1584" s="117"/>
      <c r="J1584" s="115"/>
      <c r="P1584" s="62"/>
    </row>
    <row r="1585" spans="3:16" ht="15.75" customHeight="1" x14ac:dyDescent="0.35">
      <c r="C1585" s="60"/>
      <c r="D1585" s="61"/>
      <c r="E1585" s="117"/>
      <c r="J1585" s="115"/>
      <c r="P1585" s="62"/>
    </row>
    <row r="1586" spans="3:16" ht="15.75" customHeight="1" x14ac:dyDescent="0.35">
      <c r="C1586" s="60"/>
      <c r="D1586" s="61"/>
      <c r="E1586" s="117"/>
      <c r="J1586" s="115"/>
      <c r="P1586" s="62"/>
    </row>
    <row r="1587" spans="3:16" ht="15.75" customHeight="1" x14ac:dyDescent="0.35">
      <c r="C1587" s="60"/>
      <c r="D1587" s="61"/>
      <c r="E1587" s="117"/>
      <c r="J1587" s="115"/>
      <c r="P1587" s="62"/>
    </row>
    <row r="1588" spans="3:16" ht="15.75" customHeight="1" x14ac:dyDescent="0.35">
      <c r="C1588" s="60"/>
      <c r="D1588" s="61"/>
      <c r="E1588" s="117"/>
      <c r="J1588" s="115"/>
      <c r="P1588" s="62"/>
    </row>
    <row r="1589" spans="3:16" ht="15.75" customHeight="1" x14ac:dyDescent="0.35">
      <c r="C1589" s="60"/>
      <c r="D1589" s="61"/>
      <c r="E1589" s="117"/>
      <c r="J1589" s="115"/>
      <c r="P1589" s="62"/>
    </row>
    <row r="1590" spans="3:16" ht="15.75" customHeight="1" x14ac:dyDescent="0.35">
      <c r="C1590" s="60"/>
      <c r="D1590" s="61"/>
      <c r="E1590" s="117"/>
      <c r="J1590" s="115"/>
      <c r="P1590" s="62"/>
    </row>
    <row r="1591" spans="3:16" ht="15.75" customHeight="1" x14ac:dyDescent="0.35">
      <c r="C1591" s="60"/>
      <c r="D1591" s="61"/>
      <c r="E1591" s="117"/>
      <c r="J1591" s="115"/>
      <c r="P1591" s="62"/>
    </row>
    <row r="1592" spans="3:16" ht="15.75" customHeight="1" x14ac:dyDescent="0.35">
      <c r="C1592" s="60"/>
      <c r="D1592" s="61"/>
      <c r="E1592" s="117"/>
      <c r="J1592" s="115"/>
      <c r="P1592" s="62"/>
    </row>
    <row r="1593" spans="3:16" ht="15.75" customHeight="1" x14ac:dyDescent="0.35">
      <c r="C1593" s="60"/>
      <c r="D1593" s="61"/>
      <c r="E1593" s="117"/>
      <c r="J1593" s="115"/>
      <c r="P1593" s="62"/>
    </row>
    <row r="1594" spans="3:16" ht="15.75" customHeight="1" x14ac:dyDescent="0.35">
      <c r="C1594" s="60"/>
      <c r="D1594" s="61"/>
      <c r="E1594" s="117"/>
      <c r="J1594" s="115"/>
      <c r="P1594" s="62"/>
    </row>
    <row r="1595" spans="3:16" ht="15.75" customHeight="1" x14ac:dyDescent="0.35">
      <c r="C1595" s="60"/>
      <c r="D1595" s="61"/>
      <c r="E1595" s="117"/>
      <c r="J1595" s="115"/>
      <c r="P1595" s="62"/>
    </row>
    <row r="1596" spans="3:16" ht="15.75" customHeight="1" x14ac:dyDescent="0.35">
      <c r="C1596" s="60"/>
      <c r="D1596" s="61"/>
      <c r="E1596" s="117"/>
      <c r="J1596" s="115"/>
      <c r="P1596" s="62"/>
    </row>
    <row r="1597" spans="3:16" ht="15.75" customHeight="1" x14ac:dyDescent="0.35">
      <c r="C1597" s="60"/>
      <c r="D1597" s="61"/>
      <c r="E1597" s="117"/>
      <c r="J1597" s="115"/>
      <c r="P1597" s="62"/>
    </row>
    <row r="1598" spans="3:16" ht="15.75" customHeight="1" x14ac:dyDescent="0.35">
      <c r="C1598" s="60"/>
      <c r="D1598" s="61"/>
      <c r="E1598" s="117"/>
      <c r="J1598" s="115"/>
      <c r="P1598" s="62"/>
    </row>
    <row r="1599" spans="3:16" ht="15.75" customHeight="1" x14ac:dyDescent="0.35">
      <c r="C1599" s="60"/>
      <c r="D1599" s="61"/>
      <c r="E1599" s="117"/>
      <c r="J1599" s="115"/>
      <c r="P1599" s="62"/>
    </row>
    <row r="1600" spans="3:16" ht="15.75" customHeight="1" x14ac:dyDescent="0.35">
      <c r="C1600" s="60"/>
      <c r="D1600" s="61"/>
      <c r="E1600" s="117"/>
      <c r="J1600" s="115"/>
      <c r="P1600" s="62"/>
    </row>
    <row r="1601" spans="3:16" ht="15.75" customHeight="1" x14ac:dyDescent="0.35">
      <c r="C1601" s="60"/>
      <c r="D1601" s="61"/>
      <c r="E1601" s="117"/>
      <c r="J1601" s="115"/>
      <c r="P1601" s="62"/>
    </row>
    <row r="1602" spans="3:16" ht="15.75" customHeight="1" x14ac:dyDescent="0.35">
      <c r="C1602" s="60"/>
      <c r="D1602" s="61"/>
      <c r="E1602" s="117"/>
      <c r="J1602" s="115"/>
      <c r="P1602" s="62"/>
    </row>
    <row r="1603" spans="3:16" ht="15.75" customHeight="1" x14ac:dyDescent="0.35">
      <c r="C1603" s="60"/>
      <c r="D1603" s="61"/>
      <c r="E1603" s="117"/>
      <c r="J1603" s="115"/>
      <c r="P1603" s="62"/>
    </row>
    <row r="1604" spans="3:16" ht="15.75" customHeight="1" x14ac:dyDescent="0.35">
      <c r="C1604" s="60"/>
      <c r="D1604" s="61"/>
      <c r="E1604" s="117"/>
      <c r="J1604" s="115"/>
      <c r="P1604" s="62"/>
    </row>
    <row r="1605" spans="3:16" ht="15.75" customHeight="1" x14ac:dyDescent="0.35">
      <c r="C1605" s="60"/>
      <c r="D1605" s="61"/>
      <c r="E1605" s="117"/>
      <c r="J1605" s="115"/>
      <c r="P1605" s="62"/>
    </row>
    <row r="1606" spans="3:16" ht="15.75" customHeight="1" x14ac:dyDescent="0.35">
      <c r="C1606" s="60"/>
      <c r="D1606" s="61"/>
      <c r="E1606" s="117"/>
      <c r="J1606" s="115"/>
      <c r="P1606" s="62"/>
    </row>
    <row r="1607" spans="3:16" ht="15.75" customHeight="1" x14ac:dyDescent="0.35">
      <c r="C1607" s="60"/>
      <c r="D1607" s="61"/>
      <c r="E1607" s="117"/>
      <c r="J1607" s="115"/>
      <c r="P1607" s="62"/>
    </row>
    <row r="1608" spans="3:16" ht="15.75" customHeight="1" x14ac:dyDescent="0.35">
      <c r="C1608" s="60"/>
      <c r="D1608" s="61"/>
      <c r="E1608" s="117"/>
      <c r="J1608" s="115"/>
      <c r="P1608" s="62"/>
    </row>
    <row r="1609" spans="3:16" ht="15.75" customHeight="1" x14ac:dyDescent="0.35">
      <c r="C1609" s="60"/>
      <c r="D1609" s="61"/>
      <c r="E1609" s="117"/>
      <c r="J1609" s="115"/>
      <c r="P1609" s="62"/>
    </row>
    <row r="1610" spans="3:16" ht="15.75" customHeight="1" x14ac:dyDescent="0.35">
      <c r="C1610" s="60"/>
      <c r="D1610" s="61"/>
      <c r="E1610" s="117"/>
      <c r="J1610" s="115"/>
      <c r="P1610" s="62"/>
    </row>
    <row r="1611" spans="3:16" ht="15.75" customHeight="1" x14ac:dyDescent="0.35">
      <c r="C1611" s="60"/>
      <c r="D1611" s="61"/>
      <c r="E1611" s="117"/>
      <c r="J1611" s="115"/>
      <c r="P1611" s="62"/>
    </row>
    <row r="1612" spans="3:16" ht="15.75" customHeight="1" x14ac:dyDescent="0.35">
      <c r="C1612" s="60"/>
      <c r="D1612" s="61"/>
      <c r="E1612" s="117"/>
      <c r="J1612" s="115"/>
      <c r="P1612" s="62"/>
    </row>
    <row r="1613" spans="3:16" ht="15.75" customHeight="1" x14ac:dyDescent="0.35">
      <c r="C1613" s="60"/>
      <c r="D1613" s="61"/>
      <c r="E1613" s="117"/>
      <c r="J1613" s="115"/>
      <c r="P1613" s="62"/>
    </row>
    <row r="1614" spans="3:16" ht="15.75" customHeight="1" x14ac:dyDescent="0.35">
      <c r="C1614" s="60"/>
      <c r="D1614" s="61"/>
      <c r="E1614" s="117"/>
      <c r="J1614" s="115"/>
      <c r="P1614" s="62"/>
    </row>
    <row r="1615" spans="3:16" ht="15.75" customHeight="1" x14ac:dyDescent="0.35">
      <c r="C1615" s="60"/>
      <c r="D1615" s="61"/>
      <c r="E1615" s="117"/>
      <c r="J1615" s="115"/>
      <c r="P1615" s="62"/>
    </row>
    <row r="1616" spans="3:16" ht="15.75" customHeight="1" x14ac:dyDescent="0.35">
      <c r="C1616" s="60"/>
      <c r="D1616" s="61"/>
      <c r="E1616" s="117"/>
      <c r="J1616" s="115"/>
      <c r="P1616" s="62"/>
    </row>
    <row r="1617" spans="3:16" ht="15.75" customHeight="1" x14ac:dyDescent="0.35">
      <c r="C1617" s="60"/>
      <c r="D1617" s="61"/>
      <c r="E1617" s="117"/>
      <c r="J1617" s="115"/>
      <c r="P1617" s="62"/>
    </row>
    <row r="1618" spans="3:16" ht="15.75" customHeight="1" x14ac:dyDescent="0.35">
      <c r="C1618" s="60"/>
      <c r="D1618" s="61"/>
      <c r="E1618" s="117"/>
      <c r="J1618" s="115"/>
      <c r="P1618" s="62"/>
    </row>
    <row r="1619" spans="3:16" ht="15.75" customHeight="1" x14ac:dyDescent="0.35">
      <c r="C1619" s="60"/>
      <c r="D1619" s="61"/>
      <c r="E1619" s="117"/>
      <c r="J1619" s="115"/>
      <c r="P1619" s="62"/>
    </row>
    <row r="1620" spans="3:16" ht="15.75" customHeight="1" x14ac:dyDescent="0.35">
      <c r="C1620" s="60"/>
      <c r="D1620" s="61"/>
      <c r="E1620" s="117"/>
      <c r="J1620" s="115"/>
      <c r="P1620" s="62"/>
    </row>
    <row r="1621" spans="3:16" ht="15.75" customHeight="1" x14ac:dyDescent="0.35">
      <c r="C1621" s="60"/>
      <c r="D1621" s="61"/>
      <c r="E1621" s="117"/>
      <c r="J1621" s="115"/>
      <c r="P1621" s="62"/>
    </row>
    <row r="1622" spans="3:16" ht="15.75" customHeight="1" x14ac:dyDescent="0.35">
      <c r="C1622" s="60"/>
      <c r="D1622" s="61"/>
      <c r="E1622" s="117"/>
      <c r="J1622" s="115"/>
      <c r="P1622" s="62"/>
    </row>
    <row r="1623" spans="3:16" ht="15.75" customHeight="1" x14ac:dyDescent="0.35">
      <c r="C1623" s="60"/>
      <c r="D1623" s="61"/>
      <c r="E1623" s="117"/>
      <c r="J1623" s="115"/>
      <c r="P1623" s="62"/>
    </row>
    <row r="1624" spans="3:16" ht="15.75" customHeight="1" x14ac:dyDescent="0.35">
      <c r="C1624" s="60"/>
      <c r="D1624" s="61"/>
      <c r="E1624" s="117"/>
      <c r="J1624" s="115"/>
      <c r="P1624" s="62"/>
    </row>
    <row r="1625" spans="3:16" ht="15.75" customHeight="1" x14ac:dyDescent="0.35">
      <c r="C1625" s="60"/>
      <c r="D1625" s="61"/>
      <c r="E1625" s="117"/>
      <c r="J1625" s="115"/>
      <c r="P1625" s="62"/>
    </row>
    <row r="1626" spans="3:16" ht="15.75" customHeight="1" x14ac:dyDescent="0.35">
      <c r="C1626" s="60"/>
      <c r="D1626" s="61"/>
      <c r="E1626" s="117"/>
      <c r="J1626" s="115"/>
      <c r="P1626" s="62"/>
    </row>
    <row r="1627" spans="3:16" ht="15.75" customHeight="1" x14ac:dyDescent="0.35">
      <c r="C1627" s="60"/>
      <c r="D1627" s="61"/>
      <c r="E1627" s="117"/>
      <c r="J1627" s="115"/>
      <c r="P1627" s="62"/>
    </row>
    <row r="1628" spans="3:16" ht="15.75" customHeight="1" x14ac:dyDescent="0.35">
      <c r="C1628" s="60"/>
      <c r="D1628" s="61"/>
      <c r="E1628" s="117"/>
      <c r="J1628" s="115"/>
      <c r="P1628" s="62"/>
    </row>
    <row r="1629" spans="3:16" ht="15.75" customHeight="1" x14ac:dyDescent="0.35">
      <c r="C1629" s="60"/>
      <c r="D1629" s="61"/>
      <c r="E1629" s="117"/>
      <c r="J1629" s="115"/>
      <c r="P1629" s="62"/>
    </row>
    <row r="1630" spans="3:16" ht="15.75" customHeight="1" x14ac:dyDescent="0.35">
      <c r="C1630" s="60"/>
      <c r="D1630" s="61"/>
      <c r="E1630" s="117"/>
      <c r="J1630" s="115"/>
      <c r="P1630" s="62"/>
    </row>
    <row r="1631" spans="3:16" ht="15.75" customHeight="1" x14ac:dyDescent="0.35">
      <c r="C1631" s="60"/>
      <c r="D1631" s="61"/>
      <c r="E1631" s="117"/>
      <c r="J1631" s="115"/>
      <c r="P1631" s="62"/>
    </row>
    <row r="1632" spans="3:16" ht="15.75" customHeight="1" x14ac:dyDescent="0.35">
      <c r="C1632" s="60"/>
      <c r="D1632" s="61"/>
      <c r="E1632" s="117"/>
      <c r="J1632" s="115"/>
      <c r="P1632" s="62"/>
    </row>
    <row r="1633" spans="3:16" ht="15.75" customHeight="1" x14ac:dyDescent="0.35">
      <c r="C1633" s="60"/>
      <c r="D1633" s="61"/>
      <c r="E1633" s="117"/>
      <c r="J1633" s="115"/>
      <c r="P1633" s="62"/>
    </row>
    <row r="1634" spans="3:16" ht="15.75" customHeight="1" x14ac:dyDescent="0.35">
      <c r="C1634" s="60"/>
      <c r="D1634" s="61"/>
      <c r="E1634" s="117"/>
      <c r="J1634" s="115"/>
      <c r="P1634" s="62"/>
    </row>
  </sheetData>
  <autoFilter ref="A1:P1" xr:uid="{00000000-0001-0000-0000-000000000000}"/>
  <conditionalFormatting sqref="K2:K45 K47:K60 K62 K64:K67 K70 K73:K74 K76:K79 K82:K87 K89 K91:K95 K97:K99 K101:K103 K105:K107 K109:K111 K113:K119 K121:K127 K129:K135 K137:K143 K145:K151 K273:K275 K277 K460 K476:K1634">
    <cfRule type="cellIs" dxfId="356" priority="1" operator="greaterThan">
      <formula>0.01</formula>
    </cfRule>
  </conditionalFormatting>
  <conditionalFormatting sqref="K46">
    <cfRule type="cellIs" dxfId="355" priority="2" operator="greaterThan">
      <formula>0.01</formula>
    </cfRule>
  </conditionalFormatting>
  <conditionalFormatting sqref="K68">
    <cfRule type="cellIs" dxfId="354" priority="3" operator="greaterThan">
      <formula>0.01</formula>
    </cfRule>
  </conditionalFormatting>
  <conditionalFormatting sqref="K69">
    <cfRule type="cellIs" dxfId="353" priority="4" operator="greaterThan">
      <formula>0.01</formula>
    </cfRule>
  </conditionalFormatting>
  <conditionalFormatting sqref="K71">
    <cfRule type="cellIs" dxfId="352" priority="5" operator="greaterThan">
      <formula>0.01</formula>
    </cfRule>
  </conditionalFormatting>
  <conditionalFormatting sqref="K75">
    <cfRule type="cellIs" dxfId="351" priority="6" operator="greaterThan">
      <formula>0.01</formula>
    </cfRule>
  </conditionalFormatting>
  <conditionalFormatting sqref="K81">
    <cfRule type="cellIs" dxfId="350" priority="7" operator="greaterThan">
      <formula>0.01</formula>
    </cfRule>
  </conditionalFormatting>
  <conditionalFormatting sqref="K63">
    <cfRule type="cellIs" dxfId="349" priority="8" operator="greaterThan">
      <formula>0.01</formula>
    </cfRule>
  </conditionalFormatting>
  <conditionalFormatting sqref="K61">
    <cfRule type="cellIs" dxfId="348" priority="9" operator="greaterThan">
      <formula>0.01</formula>
    </cfRule>
  </conditionalFormatting>
  <conditionalFormatting sqref="J73:J79 J81:J87 J89 J91:J95 J97:J99 J101:J103 J105:J107 J109:J111 J113:J119 J121:J127 J129:J135 J137:J143 J145:J151 J273:J275 J277 J460 J476:J1634">
    <cfRule type="cellIs" dxfId="347" priority="10" operator="equal">
      <formula>150</formula>
    </cfRule>
  </conditionalFormatting>
  <conditionalFormatting sqref="J2:J71 J73:J79 J81:J87 J89 J91:J95 J97:J99 J101:J103 J105:J107 J109:J111 J113:J119 J121:J127 J129:J135 J137:J143 J145:J151 J273:J275 J277 J460 J476:J1634">
    <cfRule type="cellIs" dxfId="346" priority="11" operator="equal">
      <formula>130</formula>
    </cfRule>
  </conditionalFormatting>
  <conditionalFormatting sqref="J2:J71 J73:J79 J81:J87 J89 J91:J95 J97:J99 J101:J103 J105:J107 J109:J111 J113:J119 J121:J127 J129:J135 J137:J143 J145:J151 J273:J275 J277 J460 J476:J1634">
    <cfRule type="cellIs" dxfId="345" priority="12" operator="equal">
      <formula>150</formula>
    </cfRule>
  </conditionalFormatting>
  <conditionalFormatting sqref="K90">
    <cfRule type="cellIs" dxfId="344" priority="13" operator="greaterThan">
      <formula>0.01</formula>
    </cfRule>
  </conditionalFormatting>
  <conditionalFormatting sqref="J90">
    <cfRule type="cellIs" dxfId="343" priority="14" operator="equal">
      <formula>150</formula>
    </cfRule>
  </conditionalFormatting>
  <conditionalFormatting sqref="J90">
    <cfRule type="cellIs" dxfId="342" priority="15" operator="equal">
      <formula>130</formula>
    </cfRule>
  </conditionalFormatting>
  <conditionalFormatting sqref="J90">
    <cfRule type="cellIs" dxfId="341" priority="16" operator="equal">
      <formula>150</formula>
    </cfRule>
  </conditionalFormatting>
  <conditionalFormatting sqref="K100">
    <cfRule type="cellIs" dxfId="340" priority="17" operator="greaterThan">
      <formula>0.01</formula>
    </cfRule>
  </conditionalFormatting>
  <conditionalFormatting sqref="J100">
    <cfRule type="cellIs" dxfId="339" priority="18" operator="equal">
      <formula>150</formula>
    </cfRule>
  </conditionalFormatting>
  <conditionalFormatting sqref="J100">
    <cfRule type="cellIs" dxfId="338" priority="19" operator="equal">
      <formula>130</formula>
    </cfRule>
  </conditionalFormatting>
  <conditionalFormatting sqref="J100">
    <cfRule type="cellIs" dxfId="337" priority="20" operator="equal">
      <formula>150</formula>
    </cfRule>
  </conditionalFormatting>
  <conditionalFormatting sqref="K88:N88">
    <cfRule type="cellIs" dxfId="336" priority="21" operator="greaterThan">
      <formula>0.01</formula>
    </cfRule>
  </conditionalFormatting>
  <conditionalFormatting sqref="J88">
    <cfRule type="cellIs" dxfId="335" priority="22" operator="equal">
      <formula>130</formula>
    </cfRule>
  </conditionalFormatting>
  <conditionalFormatting sqref="J88">
    <cfRule type="cellIs" dxfId="334" priority="23" operator="equal">
      <formula>150</formula>
    </cfRule>
  </conditionalFormatting>
  <conditionalFormatting sqref="K80:N80">
    <cfRule type="cellIs" dxfId="333" priority="24" operator="greaterThan">
      <formula>0.01</formula>
    </cfRule>
  </conditionalFormatting>
  <conditionalFormatting sqref="J80">
    <cfRule type="cellIs" dxfId="332" priority="25" operator="equal">
      <formula>130</formula>
    </cfRule>
  </conditionalFormatting>
  <conditionalFormatting sqref="J80">
    <cfRule type="cellIs" dxfId="331" priority="26" operator="equal">
      <formula>150</formula>
    </cfRule>
  </conditionalFormatting>
  <conditionalFormatting sqref="K72:N72">
    <cfRule type="cellIs" dxfId="330" priority="27" operator="greaterThan">
      <formula>0.01</formula>
    </cfRule>
  </conditionalFormatting>
  <conditionalFormatting sqref="J72">
    <cfRule type="cellIs" dxfId="329" priority="28" operator="equal">
      <formula>130</formula>
    </cfRule>
  </conditionalFormatting>
  <conditionalFormatting sqref="J72">
    <cfRule type="cellIs" dxfId="328" priority="29" operator="equal">
      <formula>150</formula>
    </cfRule>
  </conditionalFormatting>
  <conditionalFormatting sqref="K108">
    <cfRule type="cellIs" dxfId="327" priority="30" operator="greaterThan">
      <formula>0.01</formula>
    </cfRule>
  </conditionalFormatting>
  <conditionalFormatting sqref="J108">
    <cfRule type="cellIs" dxfId="326" priority="31" operator="equal">
      <formula>150</formula>
    </cfRule>
  </conditionalFormatting>
  <conditionalFormatting sqref="J108">
    <cfRule type="cellIs" dxfId="325" priority="32" operator="equal">
      <formula>130</formula>
    </cfRule>
  </conditionalFormatting>
  <conditionalFormatting sqref="J108">
    <cfRule type="cellIs" dxfId="324" priority="33" operator="equal">
      <formula>150</formula>
    </cfRule>
  </conditionalFormatting>
  <conditionalFormatting sqref="K96:O96">
    <cfRule type="cellIs" dxfId="323" priority="34" operator="greaterThan">
      <formula>0.01</formula>
    </cfRule>
  </conditionalFormatting>
  <conditionalFormatting sqref="J96">
    <cfRule type="cellIs" dxfId="322" priority="35" operator="equal">
      <formula>130</formula>
    </cfRule>
  </conditionalFormatting>
  <conditionalFormatting sqref="J96">
    <cfRule type="cellIs" dxfId="321" priority="36" operator="equal">
      <formula>150</formula>
    </cfRule>
  </conditionalFormatting>
  <conditionalFormatting sqref="K104:O104">
    <cfRule type="cellIs" dxfId="320" priority="37" operator="greaterThan">
      <formula>0.01</formula>
    </cfRule>
  </conditionalFormatting>
  <conditionalFormatting sqref="J104">
    <cfRule type="cellIs" dxfId="319" priority="38" operator="equal">
      <formula>130</formula>
    </cfRule>
  </conditionalFormatting>
  <conditionalFormatting sqref="J104">
    <cfRule type="cellIs" dxfId="318" priority="39" operator="equal">
      <formula>150</formula>
    </cfRule>
  </conditionalFormatting>
  <conditionalFormatting sqref="K112:O112">
    <cfRule type="cellIs" dxfId="317" priority="40" operator="greaterThan">
      <formula>0.01</formula>
    </cfRule>
  </conditionalFormatting>
  <conditionalFormatting sqref="J112">
    <cfRule type="cellIs" dxfId="316" priority="41" operator="equal">
      <formula>130</formula>
    </cfRule>
  </conditionalFormatting>
  <conditionalFormatting sqref="J112">
    <cfRule type="cellIs" dxfId="315" priority="42" operator="equal">
      <formula>150</formula>
    </cfRule>
  </conditionalFormatting>
  <conditionalFormatting sqref="K120:O120">
    <cfRule type="cellIs" dxfId="314" priority="43" operator="greaterThan">
      <formula>0.01</formula>
    </cfRule>
  </conditionalFormatting>
  <conditionalFormatting sqref="J120">
    <cfRule type="cellIs" dxfId="313" priority="44" operator="equal">
      <formula>130</formula>
    </cfRule>
  </conditionalFormatting>
  <conditionalFormatting sqref="J120">
    <cfRule type="cellIs" dxfId="312" priority="45" operator="equal">
      <formula>150</formula>
    </cfRule>
  </conditionalFormatting>
  <conditionalFormatting sqref="K128:O128">
    <cfRule type="cellIs" dxfId="311" priority="46" operator="greaterThan">
      <formula>0.01</formula>
    </cfRule>
  </conditionalFormatting>
  <conditionalFormatting sqref="J128">
    <cfRule type="cellIs" dxfId="310" priority="47" operator="equal">
      <formula>130</formula>
    </cfRule>
  </conditionalFormatting>
  <conditionalFormatting sqref="J128">
    <cfRule type="cellIs" dxfId="309" priority="48" operator="equal">
      <formula>150</formula>
    </cfRule>
  </conditionalFormatting>
  <conditionalFormatting sqref="K136:O136">
    <cfRule type="cellIs" dxfId="308" priority="49" operator="greaterThan">
      <formula>0.01</formula>
    </cfRule>
  </conditionalFormatting>
  <conditionalFormatting sqref="J136">
    <cfRule type="cellIs" dxfId="307" priority="50" operator="equal">
      <formula>130</formula>
    </cfRule>
  </conditionalFormatting>
  <conditionalFormatting sqref="J136">
    <cfRule type="cellIs" dxfId="306" priority="51" operator="equal">
      <formula>150</formula>
    </cfRule>
  </conditionalFormatting>
  <conditionalFormatting sqref="K144:O144">
    <cfRule type="cellIs" dxfId="305" priority="52" operator="greaterThan">
      <formula>0.01</formula>
    </cfRule>
  </conditionalFormatting>
  <conditionalFormatting sqref="J144">
    <cfRule type="cellIs" dxfId="304" priority="53" operator="equal">
      <formula>130</formula>
    </cfRule>
  </conditionalFormatting>
  <conditionalFormatting sqref="J144">
    <cfRule type="cellIs" dxfId="303" priority="54" operator="equal">
      <formula>150</formula>
    </cfRule>
  </conditionalFormatting>
  <conditionalFormatting sqref="K152:O152">
    <cfRule type="cellIs" dxfId="302" priority="55" operator="greaterThan">
      <formula>0.01</formula>
    </cfRule>
  </conditionalFormatting>
  <conditionalFormatting sqref="J152">
    <cfRule type="cellIs" dxfId="301" priority="56" operator="equal">
      <formula>130</formula>
    </cfRule>
  </conditionalFormatting>
  <conditionalFormatting sqref="J152">
    <cfRule type="cellIs" dxfId="300" priority="57" operator="equal">
      <formula>150</formula>
    </cfRule>
  </conditionalFormatting>
  <conditionalFormatting sqref="K160:O160">
    <cfRule type="cellIs" dxfId="299" priority="58" operator="greaterThan">
      <formula>0.01</formula>
    </cfRule>
  </conditionalFormatting>
  <conditionalFormatting sqref="J160">
    <cfRule type="cellIs" dxfId="298" priority="59" operator="equal">
      <formula>130</formula>
    </cfRule>
  </conditionalFormatting>
  <conditionalFormatting sqref="J160">
    <cfRule type="cellIs" dxfId="297" priority="60" operator="equal">
      <formula>150</formula>
    </cfRule>
  </conditionalFormatting>
  <conditionalFormatting sqref="K153:K159">
    <cfRule type="cellIs" dxfId="296" priority="61" operator="greaterThan">
      <formula>0.01</formula>
    </cfRule>
  </conditionalFormatting>
  <conditionalFormatting sqref="J153:J159">
    <cfRule type="cellIs" dxfId="295" priority="62" operator="equal">
      <formula>150</formula>
    </cfRule>
  </conditionalFormatting>
  <conditionalFormatting sqref="J153:J159">
    <cfRule type="cellIs" dxfId="294" priority="63" operator="equal">
      <formula>130</formula>
    </cfRule>
  </conditionalFormatting>
  <conditionalFormatting sqref="J153:J159">
    <cfRule type="cellIs" dxfId="293" priority="64" operator="equal">
      <formula>150</formula>
    </cfRule>
  </conditionalFormatting>
  <conditionalFormatting sqref="K168:O168">
    <cfRule type="cellIs" dxfId="292" priority="65" operator="greaterThan">
      <formula>0.01</formula>
    </cfRule>
  </conditionalFormatting>
  <conditionalFormatting sqref="J168">
    <cfRule type="cellIs" dxfId="291" priority="66" operator="equal">
      <formula>130</formula>
    </cfRule>
  </conditionalFormatting>
  <conditionalFormatting sqref="J168">
    <cfRule type="cellIs" dxfId="290" priority="67" operator="equal">
      <formula>150</formula>
    </cfRule>
  </conditionalFormatting>
  <conditionalFormatting sqref="K176:O176">
    <cfRule type="cellIs" dxfId="289" priority="68" operator="greaterThan">
      <formula>0.01</formula>
    </cfRule>
  </conditionalFormatting>
  <conditionalFormatting sqref="J176">
    <cfRule type="cellIs" dxfId="288" priority="69" operator="equal">
      <formula>130</formula>
    </cfRule>
  </conditionalFormatting>
  <conditionalFormatting sqref="J176">
    <cfRule type="cellIs" dxfId="287" priority="70" operator="equal">
      <formula>150</formula>
    </cfRule>
  </conditionalFormatting>
  <conditionalFormatting sqref="K184:O184">
    <cfRule type="cellIs" dxfId="286" priority="71" operator="greaterThan">
      <formula>0.01</formula>
    </cfRule>
  </conditionalFormatting>
  <conditionalFormatting sqref="J184">
    <cfRule type="cellIs" dxfId="285" priority="72" operator="equal">
      <formula>130</formula>
    </cfRule>
  </conditionalFormatting>
  <conditionalFormatting sqref="J184">
    <cfRule type="cellIs" dxfId="284" priority="73" operator="equal">
      <formula>150</formula>
    </cfRule>
  </conditionalFormatting>
  <conditionalFormatting sqref="K248:O248 K240:O240 K232:O232 K224:O224 K216:O216 K208:O208 K200:O200 K192:O192">
    <cfRule type="cellIs" dxfId="283" priority="74" operator="greaterThan">
      <formula>0.01</formula>
    </cfRule>
  </conditionalFormatting>
  <conditionalFormatting sqref="J248 J240 J232 J224 J216 J208 J200 J192">
    <cfRule type="cellIs" dxfId="282" priority="75" operator="equal">
      <formula>130</formula>
    </cfRule>
  </conditionalFormatting>
  <conditionalFormatting sqref="J248 J240 J232 J224 J216 J208 J200 J192">
    <cfRule type="cellIs" dxfId="281" priority="76" operator="equal">
      <formula>150</formula>
    </cfRule>
  </conditionalFormatting>
  <conditionalFormatting sqref="K161:K167">
    <cfRule type="cellIs" dxfId="280" priority="77" operator="greaterThan">
      <formula>0.01</formula>
    </cfRule>
  </conditionalFormatting>
  <conditionalFormatting sqref="J161:J167">
    <cfRule type="cellIs" dxfId="279" priority="78" operator="equal">
      <formula>150</formula>
    </cfRule>
  </conditionalFormatting>
  <conditionalFormatting sqref="J161:J167">
    <cfRule type="cellIs" dxfId="278" priority="79" operator="equal">
      <formula>130</formula>
    </cfRule>
  </conditionalFormatting>
  <conditionalFormatting sqref="J161:J167">
    <cfRule type="cellIs" dxfId="277" priority="80" operator="equal">
      <formula>150</formula>
    </cfRule>
  </conditionalFormatting>
  <conditionalFormatting sqref="K169:K175">
    <cfRule type="cellIs" dxfId="276" priority="81" operator="greaterThan">
      <formula>0.01</formula>
    </cfRule>
  </conditionalFormatting>
  <conditionalFormatting sqref="J169:J175">
    <cfRule type="cellIs" dxfId="275" priority="82" operator="equal">
      <formula>150</formula>
    </cfRule>
  </conditionalFormatting>
  <conditionalFormatting sqref="J169:J175">
    <cfRule type="cellIs" dxfId="274" priority="83" operator="equal">
      <formula>130</formula>
    </cfRule>
  </conditionalFormatting>
  <conditionalFormatting sqref="J169:J175">
    <cfRule type="cellIs" dxfId="273" priority="84" operator="equal">
      <formula>150</formula>
    </cfRule>
  </conditionalFormatting>
  <conditionalFormatting sqref="K186:K191">
    <cfRule type="cellIs" dxfId="272" priority="85" operator="greaterThan">
      <formula>0.01</formula>
    </cfRule>
  </conditionalFormatting>
  <conditionalFormatting sqref="J186:J191">
    <cfRule type="cellIs" dxfId="271" priority="86" operator="equal">
      <formula>150</formula>
    </cfRule>
  </conditionalFormatting>
  <conditionalFormatting sqref="J186:J191">
    <cfRule type="cellIs" dxfId="270" priority="87" operator="equal">
      <formula>130</formula>
    </cfRule>
  </conditionalFormatting>
  <conditionalFormatting sqref="J186:J191">
    <cfRule type="cellIs" dxfId="269" priority="88" operator="equal">
      <formula>150</formula>
    </cfRule>
  </conditionalFormatting>
  <conditionalFormatting sqref="K185">
    <cfRule type="cellIs" dxfId="268" priority="89" operator="greaterThan">
      <formula>0.01</formula>
    </cfRule>
  </conditionalFormatting>
  <conditionalFormatting sqref="J185">
    <cfRule type="cellIs" dxfId="267" priority="90" operator="equal">
      <formula>150</formula>
    </cfRule>
  </conditionalFormatting>
  <conditionalFormatting sqref="J185">
    <cfRule type="cellIs" dxfId="266" priority="91" operator="equal">
      <formula>130</formula>
    </cfRule>
  </conditionalFormatting>
  <conditionalFormatting sqref="J185">
    <cfRule type="cellIs" dxfId="265" priority="92" operator="equal">
      <formula>150</formula>
    </cfRule>
  </conditionalFormatting>
  <conditionalFormatting sqref="K202:K207">
    <cfRule type="cellIs" dxfId="264" priority="93" operator="greaterThan">
      <formula>0.01</formula>
    </cfRule>
  </conditionalFormatting>
  <conditionalFormatting sqref="J202:J207">
    <cfRule type="cellIs" dxfId="263" priority="94" operator="equal">
      <formula>150</formula>
    </cfRule>
  </conditionalFormatting>
  <conditionalFormatting sqref="J202:J207">
    <cfRule type="cellIs" dxfId="262" priority="95" operator="equal">
      <formula>130</formula>
    </cfRule>
  </conditionalFormatting>
  <conditionalFormatting sqref="J202:J207">
    <cfRule type="cellIs" dxfId="261" priority="96" operator="equal">
      <formula>150</formula>
    </cfRule>
  </conditionalFormatting>
  <conditionalFormatting sqref="K201">
    <cfRule type="cellIs" dxfId="260" priority="97" operator="greaterThan">
      <formula>0.01</formula>
    </cfRule>
  </conditionalFormatting>
  <conditionalFormatting sqref="J201">
    <cfRule type="cellIs" dxfId="259" priority="98" operator="equal">
      <formula>150</formula>
    </cfRule>
  </conditionalFormatting>
  <conditionalFormatting sqref="J201">
    <cfRule type="cellIs" dxfId="258" priority="99" operator="equal">
      <formula>130</formula>
    </cfRule>
  </conditionalFormatting>
  <conditionalFormatting sqref="J201">
    <cfRule type="cellIs" dxfId="257" priority="100" operator="equal">
      <formula>150</formula>
    </cfRule>
  </conditionalFormatting>
  <conditionalFormatting sqref="K218:K223">
    <cfRule type="cellIs" dxfId="256" priority="101" operator="greaterThan">
      <formula>0.01</formula>
    </cfRule>
  </conditionalFormatting>
  <conditionalFormatting sqref="J218:J223">
    <cfRule type="cellIs" dxfId="255" priority="102" operator="equal">
      <formula>150</formula>
    </cfRule>
  </conditionalFormatting>
  <conditionalFormatting sqref="J218:J223">
    <cfRule type="cellIs" dxfId="254" priority="103" operator="equal">
      <formula>130</formula>
    </cfRule>
  </conditionalFormatting>
  <conditionalFormatting sqref="J218:J223">
    <cfRule type="cellIs" dxfId="253" priority="104" operator="equal">
      <formula>150</formula>
    </cfRule>
  </conditionalFormatting>
  <conditionalFormatting sqref="K217">
    <cfRule type="cellIs" dxfId="252" priority="105" operator="greaterThan">
      <formula>0.01</formula>
    </cfRule>
  </conditionalFormatting>
  <conditionalFormatting sqref="J217">
    <cfRule type="cellIs" dxfId="251" priority="106" operator="equal">
      <formula>150</formula>
    </cfRule>
  </conditionalFormatting>
  <conditionalFormatting sqref="J217">
    <cfRule type="cellIs" dxfId="250" priority="107" operator="equal">
      <formula>130</formula>
    </cfRule>
  </conditionalFormatting>
  <conditionalFormatting sqref="J217">
    <cfRule type="cellIs" dxfId="249" priority="108" operator="equal">
      <formula>150</formula>
    </cfRule>
  </conditionalFormatting>
  <conditionalFormatting sqref="K234:K239">
    <cfRule type="cellIs" dxfId="248" priority="109" operator="greaterThan">
      <formula>0.01</formula>
    </cfRule>
  </conditionalFormatting>
  <conditionalFormatting sqref="J234:J239">
    <cfRule type="cellIs" dxfId="247" priority="110" operator="equal">
      <formula>150</formula>
    </cfRule>
  </conditionalFormatting>
  <conditionalFormatting sqref="J234:J239">
    <cfRule type="cellIs" dxfId="246" priority="111" operator="equal">
      <formula>130</formula>
    </cfRule>
  </conditionalFormatting>
  <conditionalFormatting sqref="J234:J239">
    <cfRule type="cellIs" dxfId="245" priority="112" operator="equal">
      <formula>150</formula>
    </cfRule>
  </conditionalFormatting>
  <conditionalFormatting sqref="K233">
    <cfRule type="cellIs" dxfId="244" priority="113" operator="greaterThan">
      <formula>0.01</formula>
    </cfRule>
  </conditionalFormatting>
  <conditionalFormatting sqref="J233">
    <cfRule type="cellIs" dxfId="243" priority="114" operator="equal">
      <formula>150</formula>
    </cfRule>
  </conditionalFormatting>
  <conditionalFormatting sqref="J233">
    <cfRule type="cellIs" dxfId="242" priority="115" operator="equal">
      <formula>130</formula>
    </cfRule>
  </conditionalFormatting>
  <conditionalFormatting sqref="J233">
    <cfRule type="cellIs" dxfId="241" priority="116" operator="equal">
      <formula>150</formula>
    </cfRule>
  </conditionalFormatting>
  <conditionalFormatting sqref="K250:K255">
    <cfRule type="cellIs" dxfId="240" priority="117" operator="greaterThan">
      <formula>0.01</formula>
    </cfRule>
  </conditionalFormatting>
  <conditionalFormatting sqref="J250:J255">
    <cfRule type="cellIs" dxfId="239" priority="118" operator="equal">
      <formula>150</formula>
    </cfRule>
  </conditionalFormatting>
  <conditionalFormatting sqref="J250:J255">
    <cfRule type="cellIs" dxfId="238" priority="119" operator="equal">
      <formula>130</formula>
    </cfRule>
  </conditionalFormatting>
  <conditionalFormatting sqref="J250:J255">
    <cfRule type="cellIs" dxfId="237" priority="120" operator="equal">
      <formula>150</formula>
    </cfRule>
  </conditionalFormatting>
  <conditionalFormatting sqref="K249">
    <cfRule type="cellIs" dxfId="236" priority="121" operator="greaterThan">
      <formula>0.01</formula>
    </cfRule>
  </conditionalFormatting>
  <conditionalFormatting sqref="J249">
    <cfRule type="cellIs" dxfId="235" priority="122" operator="equal">
      <formula>150</formula>
    </cfRule>
  </conditionalFormatting>
  <conditionalFormatting sqref="J249">
    <cfRule type="cellIs" dxfId="234" priority="123" operator="equal">
      <formula>130</formula>
    </cfRule>
  </conditionalFormatting>
  <conditionalFormatting sqref="J249">
    <cfRule type="cellIs" dxfId="233" priority="124" operator="equal">
      <formula>150</formula>
    </cfRule>
  </conditionalFormatting>
  <conditionalFormatting sqref="K177:K183">
    <cfRule type="cellIs" dxfId="232" priority="125" operator="greaterThan">
      <formula>0.01</formula>
    </cfRule>
  </conditionalFormatting>
  <conditionalFormatting sqref="J177:J183">
    <cfRule type="cellIs" dxfId="231" priority="126" operator="equal">
      <formula>150</formula>
    </cfRule>
  </conditionalFormatting>
  <conditionalFormatting sqref="J177:J183">
    <cfRule type="cellIs" dxfId="230" priority="127" operator="equal">
      <formula>130</formula>
    </cfRule>
  </conditionalFormatting>
  <conditionalFormatting sqref="J177:J183">
    <cfRule type="cellIs" dxfId="229" priority="128" operator="equal">
      <formula>150</formula>
    </cfRule>
  </conditionalFormatting>
  <conditionalFormatting sqref="K193:K199">
    <cfRule type="cellIs" dxfId="228" priority="129" operator="greaterThan">
      <formula>0.01</formula>
    </cfRule>
  </conditionalFormatting>
  <conditionalFormatting sqref="J193:J199">
    <cfRule type="cellIs" dxfId="227" priority="130" operator="equal">
      <formula>150</formula>
    </cfRule>
  </conditionalFormatting>
  <conditionalFormatting sqref="J193:J199">
    <cfRule type="cellIs" dxfId="226" priority="131" operator="equal">
      <formula>130</formula>
    </cfRule>
  </conditionalFormatting>
  <conditionalFormatting sqref="J193:J199">
    <cfRule type="cellIs" dxfId="225" priority="132" operator="equal">
      <formula>150</formula>
    </cfRule>
  </conditionalFormatting>
  <conditionalFormatting sqref="K209:K215">
    <cfRule type="cellIs" dxfId="224" priority="133" operator="greaterThan">
      <formula>0.01</formula>
    </cfRule>
  </conditionalFormatting>
  <conditionalFormatting sqref="J209:J215">
    <cfRule type="cellIs" dxfId="223" priority="134" operator="equal">
      <formula>150</formula>
    </cfRule>
  </conditionalFormatting>
  <conditionalFormatting sqref="J209:J215">
    <cfRule type="cellIs" dxfId="222" priority="135" operator="equal">
      <formula>130</formula>
    </cfRule>
  </conditionalFormatting>
  <conditionalFormatting sqref="J209:J215">
    <cfRule type="cellIs" dxfId="221" priority="136" operator="equal">
      <formula>150</formula>
    </cfRule>
  </conditionalFormatting>
  <conditionalFormatting sqref="K225:K231">
    <cfRule type="cellIs" dxfId="220" priority="137" operator="greaterThan">
      <formula>0.01</formula>
    </cfRule>
  </conditionalFormatting>
  <conditionalFormatting sqref="J225:J231">
    <cfRule type="cellIs" dxfId="219" priority="138" operator="equal">
      <formula>150</formula>
    </cfRule>
  </conditionalFormatting>
  <conditionalFormatting sqref="J225:J231">
    <cfRule type="cellIs" dxfId="218" priority="139" operator="equal">
      <formula>130</formula>
    </cfRule>
  </conditionalFormatting>
  <conditionalFormatting sqref="J225:J231">
    <cfRule type="cellIs" dxfId="217" priority="140" operator="equal">
      <formula>150</formula>
    </cfRule>
  </conditionalFormatting>
  <conditionalFormatting sqref="K241:K247">
    <cfRule type="cellIs" dxfId="216" priority="141" operator="greaterThan">
      <formula>0.01</formula>
    </cfRule>
  </conditionalFormatting>
  <conditionalFormatting sqref="J241:J247">
    <cfRule type="cellIs" dxfId="215" priority="142" operator="equal">
      <formula>150</formula>
    </cfRule>
  </conditionalFormatting>
  <conditionalFormatting sqref="J241:J247">
    <cfRule type="cellIs" dxfId="214" priority="143" operator="equal">
      <formula>130</formula>
    </cfRule>
  </conditionalFormatting>
  <conditionalFormatting sqref="J241:J247">
    <cfRule type="cellIs" dxfId="213" priority="144" operator="equal">
      <formula>150</formula>
    </cfRule>
  </conditionalFormatting>
  <conditionalFormatting sqref="K257:K263">
    <cfRule type="cellIs" dxfId="212" priority="145" operator="greaterThan">
      <formula>0.01</formula>
    </cfRule>
  </conditionalFormatting>
  <conditionalFormatting sqref="J257:J263">
    <cfRule type="cellIs" dxfId="211" priority="146" operator="equal">
      <formula>150</formula>
    </cfRule>
  </conditionalFormatting>
  <conditionalFormatting sqref="J257:J263">
    <cfRule type="cellIs" dxfId="210" priority="147" operator="equal">
      <formula>130</formula>
    </cfRule>
  </conditionalFormatting>
  <conditionalFormatting sqref="J257:J263">
    <cfRule type="cellIs" dxfId="209" priority="148" operator="equal">
      <formula>150</formula>
    </cfRule>
  </conditionalFormatting>
  <conditionalFormatting sqref="K256:O256">
    <cfRule type="cellIs" dxfId="208" priority="149" operator="greaterThan">
      <formula>0.01</formula>
    </cfRule>
  </conditionalFormatting>
  <conditionalFormatting sqref="J256">
    <cfRule type="cellIs" dxfId="207" priority="150" operator="equal">
      <formula>130</formula>
    </cfRule>
  </conditionalFormatting>
  <conditionalFormatting sqref="J256">
    <cfRule type="cellIs" dxfId="206" priority="151" operator="equal">
      <formula>150</formula>
    </cfRule>
  </conditionalFormatting>
  <conditionalFormatting sqref="K264:O264">
    <cfRule type="cellIs" dxfId="205" priority="152" operator="greaterThan">
      <formula>0.01</formula>
    </cfRule>
  </conditionalFormatting>
  <conditionalFormatting sqref="J264">
    <cfRule type="cellIs" dxfId="204" priority="153" operator="equal">
      <formula>130</formula>
    </cfRule>
  </conditionalFormatting>
  <conditionalFormatting sqref="J264">
    <cfRule type="cellIs" dxfId="203" priority="154" operator="equal">
      <formula>150</formula>
    </cfRule>
  </conditionalFormatting>
  <conditionalFormatting sqref="K272:O272">
    <cfRule type="cellIs" dxfId="202" priority="155" operator="greaterThan">
      <formula>0.01</formula>
    </cfRule>
  </conditionalFormatting>
  <conditionalFormatting sqref="J272">
    <cfRule type="cellIs" dxfId="201" priority="156" operator="equal">
      <formula>130</formula>
    </cfRule>
  </conditionalFormatting>
  <conditionalFormatting sqref="J272">
    <cfRule type="cellIs" dxfId="200" priority="157" operator="equal">
      <formula>150</formula>
    </cfRule>
  </conditionalFormatting>
  <conditionalFormatting sqref="K265:K271">
    <cfRule type="cellIs" dxfId="199" priority="158" operator="greaterThan">
      <formula>0.01</formula>
    </cfRule>
  </conditionalFormatting>
  <conditionalFormatting sqref="J265:J271">
    <cfRule type="cellIs" dxfId="198" priority="159" operator="equal">
      <formula>150</formula>
    </cfRule>
  </conditionalFormatting>
  <conditionalFormatting sqref="J265:J271">
    <cfRule type="cellIs" dxfId="197" priority="160" operator="equal">
      <formula>130</formula>
    </cfRule>
  </conditionalFormatting>
  <conditionalFormatting sqref="J265:J271">
    <cfRule type="cellIs" dxfId="196" priority="161" operator="equal">
      <formula>150</formula>
    </cfRule>
  </conditionalFormatting>
  <conditionalFormatting sqref="K278:K279">
    <cfRule type="cellIs" dxfId="195" priority="162" operator="greaterThan">
      <formula>0.01</formula>
    </cfRule>
  </conditionalFormatting>
  <conditionalFormatting sqref="J278:J279">
    <cfRule type="cellIs" dxfId="194" priority="163" operator="equal">
      <formula>150</formula>
    </cfRule>
  </conditionalFormatting>
  <conditionalFormatting sqref="J278:J279">
    <cfRule type="cellIs" dxfId="193" priority="164" operator="equal">
      <formula>130</formula>
    </cfRule>
  </conditionalFormatting>
  <conditionalFormatting sqref="J278:J279">
    <cfRule type="cellIs" dxfId="192" priority="165" operator="equal">
      <formula>150</formula>
    </cfRule>
  </conditionalFormatting>
  <conditionalFormatting sqref="K281:K287">
    <cfRule type="cellIs" dxfId="191" priority="166" operator="greaterThan">
      <formula>0.01</formula>
    </cfRule>
  </conditionalFormatting>
  <conditionalFormatting sqref="J281:J287">
    <cfRule type="cellIs" dxfId="190" priority="167" operator="equal">
      <formula>150</formula>
    </cfRule>
  </conditionalFormatting>
  <conditionalFormatting sqref="J281:J287">
    <cfRule type="cellIs" dxfId="189" priority="168" operator="equal">
      <formula>130</formula>
    </cfRule>
  </conditionalFormatting>
  <conditionalFormatting sqref="J281:J287">
    <cfRule type="cellIs" dxfId="188" priority="169" operator="equal">
      <formula>150</formula>
    </cfRule>
  </conditionalFormatting>
  <conditionalFormatting sqref="K289:K295">
    <cfRule type="cellIs" dxfId="187" priority="170" operator="greaterThan">
      <formula>0.01</formula>
    </cfRule>
  </conditionalFormatting>
  <conditionalFormatting sqref="J289:J295">
    <cfRule type="cellIs" dxfId="186" priority="171" operator="equal">
      <formula>150</formula>
    </cfRule>
  </conditionalFormatting>
  <conditionalFormatting sqref="J289:J295">
    <cfRule type="cellIs" dxfId="185" priority="172" operator="equal">
      <formula>130</formula>
    </cfRule>
  </conditionalFormatting>
  <conditionalFormatting sqref="J289:J295">
    <cfRule type="cellIs" dxfId="184" priority="173" operator="equal">
      <formula>150</formula>
    </cfRule>
  </conditionalFormatting>
  <conditionalFormatting sqref="K297:K303">
    <cfRule type="cellIs" dxfId="183" priority="174" operator="greaterThan">
      <formula>0.01</formula>
    </cfRule>
  </conditionalFormatting>
  <conditionalFormatting sqref="J297:J303">
    <cfRule type="cellIs" dxfId="182" priority="175" operator="equal">
      <formula>150</formula>
    </cfRule>
  </conditionalFormatting>
  <conditionalFormatting sqref="J297:J303">
    <cfRule type="cellIs" dxfId="181" priority="176" operator="equal">
      <formula>130</formula>
    </cfRule>
  </conditionalFormatting>
  <conditionalFormatting sqref="J297:J303">
    <cfRule type="cellIs" dxfId="180" priority="177" operator="equal">
      <formula>150</formula>
    </cfRule>
  </conditionalFormatting>
  <conditionalFormatting sqref="K280:O280">
    <cfRule type="cellIs" dxfId="179" priority="178" operator="greaterThan">
      <formula>0.01</formula>
    </cfRule>
  </conditionalFormatting>
  <conditionalFormatting sqref="J280">
    <cfRule type="cellIs" dxfId="178" priority="179" operator="equal">
      <formula>130</formula>
    </cfRule>
  </conditionalFormatting>
  <conditionalFormatting sqref="J280">
    <cfRule type="cellIs" dxfId="177" priority="180" operator="equal">
      <formula>150</formula>
    </cfRule>
  </conditionalFormatting>
  <conditionalFormatting sqref="K288:O288">
    <cfRule type="cellIs" dxfId="176" priority="181" operator="greaterThan">
      <formula>0.01</formula>
    </cfRule>
  </conditionalFormatting>
  <conditionalFormatting sqref="J288">
    <cfRule type="cellIs" dxfId="175" priority="182" operator="equal">
      <formula>130</formula>
    </cfRule>
  </conditionalFormatting>
  <conditionalFormatting sqref="J288">
    <cfRule type="cellIs" dxfId="174" priority="183" operator="equal">
      <formula>150</formula>
    </cfRule>
  </conditionalFormatting>
  <conditionalFormatting sqref="K296:O296">
    <cfRule type="cellIs" dxfId="173" priority="184" operator="greaterThan">
      <formula>0.01</formula>
    </cfRule>
  </conditionalFormatting>
  <conditionalFormatting sqref="J296">
    <cfRule type="cellIs" dxfId="172" priority="185" operator="equal">
      <formula>130</formula>
    </cfRule>
  </conditionalFormatting>
  <conditionalFormatting sqref="J296">
    <cfRule type="cellIs" dxfId="171" priority="186" operator="equal">
      <formula>150</formula>
    </cfRule>
  </conditionalFormatting>
  <conditionalFormatting sqref="K384:O384 K376:O376 K368:O368 K360:O360 K352:O352 K344:O344 K336:O336 K328:O328 K320:O320 K312:O312">
    <cfRule type="cellIs" dxfId="170" priority="187" operator="greaterThan">
      <formula>0.01</formula>
    </cfRule>
  </conditionalFormatting>
  <conditionalFormatting sqref="J384 J376 J368 J360 J352 J344 J336 J328 J320 J312">
    <cfRule type="cellIs" dxfId="169" priority="188" operator="equal">
      <formula>130</formula>
    </cfRule>
  </conditionalFormatting>
  <conditionalFormatting sqref="J384 J376 J368 J360 J352 J344 J336 J328 J320 J312">
    <cfRule type="cellIs" dxfId="168" priority="189" operator="equal">
      <formula>150</formula>
    </cfRule>
  </conditionalFormatting>
  <conditionalFormatting sqref="K305:K311">
    <cfRule type="cellIs" dxfId="167" priority="190" operator="greaterThan">
      <formula>0.01</formula>
    </cfRule>
  </conditionalFormatting>
  <conditionalFormatting sqref="J305:J311">
    <cfRule type="cellIs" dxfId="166" priority="191" operator="equal">
      <formula>150</formula>
    </cfRule>
  </conditionalFormatting>
  <conditionalFormatting sqref="J305:J311">
    <cfRule type="cellIs" dxfId="165" priority="192" operator="equal">
      <formula>130</formula>
    </cfRule>
  </conditionalFormatting>
  <conditionalFormatting sqref="J305:J311">
    <cfRule type="cellIs" dxfId="164" priority="193" operator="equal">
      <formula>150</formula>
    </cfRule>
  </conditionalFormatting>
  <conditionalFormatting sqref="K304:O304">
    <cfRule type="cellIs" dxfId="163" priority="194" operator="greaterThan">
      <formula>0.01</formula>
    </cfRule>
  </conditionalFormatting>
  <conditionalFormatting sqref="J304">
    <cfRule type="cellIs" dxfId="162" priority="195" operator="equal">
      <formula>130</formula>
    </cfRule>
  </conditionalFormatting>
  <conditionalFormatting sqref="J304">
    <cfRule type="cellIs" dxfId="161" priority="196" operator="equal">
      <formula>150</formula>
    </cfRule>
  </conditionalFormatting>
  <conditionalFormatting sqref="K313:K319">
    <cfRule type="cellIs" dxfId="160" priority="197" operator="greaterThan">
      <formula>0.01</formula>
    </cfRule>
  </conditionalFormatting>
  <conditionalFormatting sqref="J313:J319">
    <cfRule type="cellIs" dxfId="159" priority="198" operator="equal">
      <formula>150</formula>
    </cfRule>
  </conditionalFormatting>
  <conditionalFormatting sqref="J313:J319">
    <cfRule type="cellIs" dxfId="158" priority="199" operator="equal">
      <formula>130</formula>
    </cfRule>
  </conditionalFormatting>
  <conditionalFormatting sqref="J313:J319">
    <cfRule type="cellIs" dxfId="157" priority="200" operator="equal">
      <formula>150</formula>
    </cfRule>
  </conditionalFormatting>
  <conditionalFormatting sqref="K329:K335">
    <cfRule type="cellIs" dxfId="156" priority="201" operator="greaterThan">
      <formula>0.01</formula>
    </cfRule>
  </conditionalFormatting>
  <conditionalFormatting sqref="J329:J335">
    <cfRule type="cellIs" dxfId="155" priority="202" operator="equal">
      <formula>150</formula>
    </cfRule>
  </conditionalFormatting>
  <conditionalFormatting sqref="J329:J335">
    <cfRule type="cellIs" dxfId="154" priority="203" operator="equal">
      <formula>130</formula>
    </cfRule>
  </conditionalFormatting>
  <conditionalFormatting sqref="J329:J335">
    <cfRule type="cellIs" dxfId="153" priority="204" operator="equal">
      <formula>150</formula>
    </cfRule>
  </conditionalFormatting>
  <conditionalFormatting sqref="K345:K351">
    <cfRule type="cellIs" dxfId="152" priority="205" operator="greaterThan">
      <formula>0.01</formula>
    </cfRule>
  </conditionalFormatting>
  <conditionalFormatting sqref="J345:J351">
    <cfRule type="cellIs" dxfId="151" priority="206" operator="equal">
      <formula>150</formula>
    </cfRule>
  </conditionalFormatting>
  <conditionalFormatting sqref="J345:J351">
    <cfRule type="cellIs" dxfId="150" priority="207" operator="equal">
      <formula>130</formula>
    </cfRule>
  </conditionalFormatting>
  <conditionalFormatting sqref="J345:J351">
    <cfRule type="cellIs" dxfId="149" priority="208" operator="equal">
      <formula>150</formula>
    </cfRule>
  </conditionalFormatting>
  <conditionalFormatting sqref="K361:K367">
    <cfRule type="cellIs" dxfId="148" priority="209" operator="greaterThan">
      <formula>0.01</formula>
    </cfRule>
  </conditionalFormatting>
  <conditionalFormatting sqref="J361:J367">
    <cfRule type="cellIs" dxfId="147" priority="210" operator="equal">
      <formula>150</formula>
    </cfRule>
  </conditionalFormatting>
  <conditionalFormatting sqref="J361:J367">
    <cfRule type="cellIs" dxfId="146" priority="211" operator="equal">
      <formula>130</formula>
    </cfRule>
  </conditionalFormatting>
  <conditionalFormatting sqref="J361:J367">
    <cfRule type="cellIs" dxfId="145" priority="212" operator="equal">
      <formula>150</formula>
    </cfRule>
  </conditionalFormatting>
  <conditionalFormatting sqref="K377:K383">
    <cfRule type="cellIs" dxfId="144" priority="213" operator="greaterThan">
      <formula>0.01</formula>
    </cfRule>
  </conditionalFormatting>
  <conditionalFormatting sqref="J377">
    <cfRule type="cellIs" dxfId="143" priority="214" operator="equal">
      <formula>150</formula>
    </cfRule>
  </conditionalFormatting>
  <conditionalFormatting sqref="J377">
    <cfRule type="cellIs" dxfId="142" priority="215" operator="equal">
      <formula>130</formula>
    </cfRule>
  </conditionalFormatting>
  <conditionalFormatting sqref="J377">
    <cfRule type="cellIs" dxfId="141" priority="216" operator="equal">
      <formula>150</formula>
    </cfRule>
  </conditionalFormatting>
  <conditionalFormatting sqref="K321:K327">
    <cfRule type="cellIs" dxfId="140" priority="217" operator="greaterThan">
      <formula>0.01</formula>
    </cfRule>
  </conditionalFormatting>
  <conditionalFormatting sqref="J321:J327">
    <cfRule type="cellIs" dxfId="139" priority="218" operator="equal">
      <formula>150</formula>
    </cfRule>
  </conditionalFormatting>
  <conditionalFormatting sqref="J321:J327">
    <cfRule type="cellIs" dxfId="138" priority="219" operator="equal">
      <formula>130</formula>
    </cfRule>
  </conditionalFormatting>
  <conditionalFormatting sqref="J321:J327">
    <cfRule type="cellIs" dxfId="137" priority="220" operator="equal">
      <formula>150</formula>
    </cfRule>
  </conditionalFormatting>
  <conditionalFormatting sqref="K337:K343">
    <cfRule type="cellIs" dxfId="136" priority="221" operator="greaterThan">
      <formula>0.01</formula>
    </cfRule>
  </conditionalFormatting>
  <conditionalFormatting sqref="J337:J343">
    <cfRule type="cellIs" dxfId="135" priority="222" operator="equal">
      <formula>150</formula>
    </cfRule>
  </conditionalFormatting>
  <conditionalFormatting sqref="J337:J343">
    <cfRule type="cellIs" dxfId="134" priority="223" operator="equal">
      <formula>130</formula>
    </cfRule>
  </conditionalFormatting>
  <conditionalFormatting sqref="J337:J343">
    <cfRule type="cellIs" dxfId="133" priority="224" operator="equal">
      <formula>150</formula>
    </cfRule>
  </conditionalFormatting>
  <conditionalFormatting sqref="K353:K359">
    <cfRule type="cellIs" dxfId="132" priority="225" operator="greaterThan">
      <formula>0.01</formula>
    </cfRule>
  </conditionalFormatting>
  <conditionalFormatting sqref="J353:J359">
    <cfRule type="cellIs" dxfId="131" priority="226" operator="equal">
      <formula>150</formula>
    </cfRule>
  </conditionalFormatting>
  <conditionalFormatting sqref="J353:J359">
    <cfRule type="cellIs" dxfId="130" priority="227" operator="equal">
      <formula>130</formula>
    </cfRule>
  </conditionalFormatting>
  <conditionalFormatting sqref="J353:J359">
    <cfRule type="cellIs" dxfId="129" priority="228" operator="equal">
      <formula>150</formula>
    </cfRule>
  </conditionalFormatting>
  <conditionalFormatting sqref="K369:K375">
    <cfRule type="cellIs" dxfId="128" priority="229" operator="greaterThan">
      <formula>0.01</formula>
    </cfRule>
  </conditionalFormatting>
  <conditionalFormatting sqref="J369:J375">
    <cfRule type="cellIs" dxfId="127" priority="230" operator="equal">
      <formula>150</formula>
    </cfRule>
  </conditionalFormatting>
  <conditionalFormatting sqref="J369:J375">
    <cfRule type="cellIs" dxfId="126" priority="231" operator="equal">
      <formula>130</formula>
    </cfRule>
  </conditionalFormatting>
  <conditionalFormatting sqref="J369:J375">
    <cfRule type="cellIs" dxfId="125" priority="232" operator="equal">
      <formula>150</formula>
    </cfRule>
  </conditionalFormatting>
  <conditionalFormatting sqref="K385:K391">
    <cfRule type="cellIs" dxfId="124" priority="233" operator="greaterThan">
      <formula>0.01</formula>
    </cfRule>
  </conditionalFormatting>
  <conditionalFormatting sqref="J385">
    <cfRule type="cellIs" dxfId="123" priority="234" operator="equal">
      <formula>150</formula>
    </cfRule>
  </conditionalFormatting>
  <conditionalFormatting sqref="J385">
    <cfRule type="cellIs" dxfId="122" priority="235" operator="equal">
      <formula>130</formula>
    </cfRule>
  </conditionalFormatting>
  <conditionalFormatting sqref="J385">
    <cfRule type="cellIs" dxfId="121" priority="236" operator="equal">
      <formula>150</formula>
    </cfRule>
  </conditionalFormatting>
  <conditionalFormatting sqref="J378">
    <cfRule type="cellIs" dxfId="120" priority="237" operator="equal">
      <formula>150</formula>
    </cfRule>
  </conditionalFormatting>
  <conditionalFormatting sqref="J378">
    <cfRule type="cellIs" dxfId="119" priority="238" operator="equal">
      <formula>130</formula>
    </cfRule>
  </conditionalFormatting>
  <conditionalFormatting sqref="J378">
    <cfRule type="cellIs" dxfId="118" priority="239" operator="equal">
      <formula>150</formula>
    </cfRule>
  </conditionalFormatting>
  <conditionalFormatting sqref="J383">
    <cfRule type="cellIs" dxfId="117" priority="240" operator="equal">
      <formula>150</formula>
    </cfRule>
  </conditionalFormatting>
  <conditionalFormatting sqref="J383">
    <cfRule type="cellIs" dxfId="116" priority="241" operator="equal">
      <formula>130</formula>
    </cfRule>
  </conditionalFormatting>
  <conditionalFormatting sqref="J383">
    <cfRule type="cellIs" dxfId="115" priority="242" operator="equal">
      <formula>150</formula>
    </cfRule>
  </conditionalFormatting>
  <conditionalFormatting sqref="J387 J390">
    <cfRule type="cellIs" dxfId="114" priority="243" operator="equal">
      <formula>150</formula>
    </cfRule>
  </conditionalFormatting>
  <conditionalFormatting sqref="J387 J390">
    <cfRule type="cellIs" dxfId="113" priority="244" operator="equal">
      <formula>130</formula>
    </cfRule>
  </conditionalFormatting>
  <conditionalFormatting sqref="J387 J390">
    <cfRule type="cellIs" dxfId="112" priority="245" operator="equal">
      <formula>150</formula>
    </cfRule>
  </conditionalFormatting>
  <conditionalFormatting sqref="J379:J382">
    <cfRule type="cellIs" dxfId="111" priority="246" operator="equal">
      <formula>150</formula>
    </cfRule>
  </conditionalFormatting>
  <conditionalFormatting sqref="J379:J382">
    <cfRule type="cellIs" dxfId="110" priority="247" operator="equal">
      <formula>130</formula>
    </cfRule>
  </conditionalFormatting>
  <conditionalFormatting sqref="J379:J382">
    <cfRule type="cellIs" dxfId="109" priority="248" operator="equal">
      <formula>150</formula>
    </cfRule>
  </conditionalFormatting>
  <conditionalFormatting sqref="J391 J388:J389 J386">
    <cfRule type="cellIs" dxfId="108" priority="249" operator="equal">
      <formula>150</formula>
    </cfRule>
  </conditionalFormatting>
  <conditionalFormatting sqref="J391 J388:J389 J386">
    <cfRule type="cellIs" dxfId="107" priority="250" operator="equal">
      <formula>130</formula>
    </cfRule>
  </conditionalFormatting>
  <conditionalFormatting sqref="J391 J388:J389 J386">
    <cfRule type="cellIs" dxfId="106" priority="251" operator="equal">
      <formula>150</formula>
    </cfRule>
  </conditionalFormatting>
  <conditionalFormatting sqref="K433:O433 K425:O425 K417:O417 K408:O408 K400:O400 K392:O392">
    <cfRule type="cellIs" dxfId="105" priority="252" operator="greaterThan">
      <formula>0.01</formula>
    </cfRule>
  </conditionalFormatting>
  <conditionalFormatting sqref="J433 J425 J417 J408 J400 J392">
    <cfRule type="cellIs" dxfId="104" priority="253" operator="equal">
      <formula>130</formula>
    </cfRule>
  </conditionalFormatting>
  <conditionalFormatting sqref="J433 J425 J417 J408 J400 J392">
    <cfRule type="cellIs" dxfId="103" priority="254" operator="equal">
      <formula>150</formula>
    </cfRule>
  </conditionalFormatting>
  <conditionalFormatting sqref="K467:O467 K459:O459 K451:O451 K443:O443">
    <cfRule type="cellIs" dxfId="102" priority="255" operator="greaterThan">
      <formula>0.01</formula>
    </cfRule>
  </conditionalFormatting>
  <conditionalFormatting sqref="J467 J459 J451 J443">
    <cfRule type="cellIs" dxfId="101" priority="256" operator="equal">
      <formula>130</formula>
    </cfRule>
  </conditionalFormatting>
  <conditionalFormatting sqref="J467 J459 J451 J443">
    <cfRule type="cellIs" dxfId="100" priority="257" operator="equal">
      <formula>150</formula>
    </cfRule>
  </conditionalFormatting>
  <conditionalFormatting sqref="K393:K399">
    <cfRule type="cellIs" dxfId="99" priority="258" operator="greaterThan">
      <formula>0.01</formula>
    </cfRule>
  </conditionalFormatting>
  <conditionalFormatting sqref="J393">
    <cfRule type="cellIs" dxfId="98" priority="259" operator="equal">
      <formula>150</formula>
    </cfRule>
  </conditionalFormatting>
  <conditionalFormatting sqref="J393">
    <cfRule type="cellIs" dxfId="97" priority="260" operator="equal">
      <formula>130</formula>
    </cfRule>
  </conditionalFormatting>
  <conditionalFormatting sqref="J393">
    <cfRule type="cellIs" dxfId="96" priority="261" operator="equal">
      <formula>150</formula>
    </cfRule>
  </conditionalFormatting>
  <conditionalFormatting sqref="K409:K416">
    <cfRule type="cellIs" dxfId="95" priority="262" operator="greaterThan">
      <formula>0.01</formula>
    </cfRule>
  </conditionalFormatting>
  <conditionalFormatting sqref="J409">
    <cfRule type="cellIs" dxfId="94" priority="263" operator="equal">
      <formula>150</formula>
    </cfRule>
  </conditionalFormatting>
  <conditionalFormatting sqref="J409">
    <cfRule type="cellIs" dxfId="93" priority="264" operator="equal">
      <formula>130</formula>
    </cfRule>
  </conditionalFormatting>
  <conditionalFormatting sqref="J409">
    <cfRule type="cellIs" dxfId="92" priority="265" operator="equal">
      <formula>150</formula>
    </cfRule>
  </conditionalFormatting>
  <conditionalFormatting sqref="J410">
    <cfRule type="cellIs" dxfId="91" priority="266" operator="equal">
      <formula>150</formula>
    </cfRule>
  </conditionalFormatting>
  <conditionalFormatting sqref="J410">
    <cfRule type="cellIs" dxfId="90" priority="267" operator="equal">
      <formula>130</formula>
    </cfRule>
  </conditionalFormatting>
  <conditionalFormatting sqref="J410">
    <cfRule type="cellIs" dxfId="89" priority="268" operator="equal">
      <formula>150</formula>
    </cfRule>
  </conditionalFormatting>
  <conditionalFormatting sqref="J415:J416">
    <cfRule type="cellIs" dxfId="88" priority="269" operator="equal">
      <formula>150</formula>
    </cfRule>
  </conditionalFormatting>
  <conditionalFormatting sqref="J415:J416">
    <cfRule type="cellIs" dxfId="87" priority="270" operator="equal">
      <formula>130</formula>
    </cfRule>
  </conditionalFormatting>
  <conditionalFormatting sqref="J415:J416">
    <cfRule type="cellIs" dxfId="86" priority="271" operator="equal">
      <formula>150</formula>
    </cfRule>
  </conditionalFormatting>
  <conditionalFormatting sqref="J411:J414">
    <cfRule type="cellIs" dxfId="85" priority="272" operator="equal">
      <formula>150</formula>
    </cfRule>
  </conditionalFormatting>
  <conditionalFormatting sqref="J411:J414">
    <cfRule type="cellIs" dxfId="84" priority="273" operator="equal">
      <formula>130</formula>
    </cfRule>
  </conditionalFormatting>
  <conditionalFormatting sqref="J411:J414">
    <cfRule type="cellIs" dxfId="83" priority="274" operator="equal">
      <formula>150</formula>
    </cfRule>
  </conditionalFormatting>
  <conditionalFormatting sqref="K426:K432">
    <cfRule type="cellIs" dxfId="82" priority="275" operator="greaterThan">
      <formula>0.01</formula>
    </cfRule>
  </conditionalFormatting>
  <conditionalFormatting sqref="J426">
    <cfRule type="cellIs" dxfId="81" priority="276" operator="equal">
      <formula>150</formula>
    </cfRule>
  </conditionalFormatting>
  <conditionalFormatting sqref="J426">
    <cfRule type="cellIs" dxfId="80" priority="277" operator="equal">
      <formula>130</formula>
    </cfRule>
  </conditionalFormatting>
  <conditionalFormatting sqref="J426">
    <cfRule type="cellIs" dxfId="79" priority="278" operator="equal">
      <formula>150</formula>
    </cfRule>
  </conditionalFormatting>
  <conditionalFormatting sqref="K444:K450">
    <cfRule type="cellIs" dxfId="78" priority="279" operator="greaterThan">
      <formula>0.01</formula>
    </cfRule>
  </conditionalFormatting>
  <conditionalFormatting sqref="J444">
    <cfRule type="cellIs" dxfId="77" priority="280" operator="equal">
      <formula>150</formula>
    </cfRule>
  </conditionalFormatting>
  <conditionalFormatting sqref="J444">
    <cfRule type="cellIs" dxfId="76" priority="281" operator="equal">
      <formula>130</formula>
    </cfRule>
  </conditionalFormatting>
  <conditionalFormatting sqref="J444">
    <cfRule type="cellIs" dxfId="75" priority="282" operator="equal">
      <formula>150</formula>
    </cfRule>
  </conditionalFormatting>
  <conditionalFormatting sqref="J445">
    <cfRule type="cellIs" dxfId="74" priority="283" operator="equal">
      <formula>150</formula>
    </cfRule>
  </conditionalFormatting>
  <conditionalFormatting sqref="J445">
    <cfRule type="cellIs" dxfId="73" priority="284" operator="equal">
      <formula>130</formula>
    </cfRule>
  </conditionalFormatting>
  <conditionalFormatting sqref="J445">
    <cfRule type="cellIs" dxfId="72" priority="285" operator="equal">
      <formula>150</formula>
    </cfRule>
  </conditionalFormatting>
  <conditionalFormatting sqref="J446">
    <cfRule type="cellIs" dxfId="71" priority="286" operator="equal">
      <formula>150</formula>
    </cfRule>
  </conditionalFormatting>
  <conditionalFormatting sqref="J446">
    <cfRule type="cellIs" dxfId="70" priority="287" operator="equal">
      <formula>130</formula>
    </cfRule>
  </conditionalFormatting>
  <conditionalFormatting sqref="J446">
    <cfRule type="cellIs" dxfId="69" priority="288" operator="equal">
      <formula>150</formula>
    </cfRule>
  </conditionalFormatting>
  <conditionalFormatting sqref="K461:K466 K476:K482 K492:K498 K508:K514 K524:K530 K540:K546 K556:K562 K572:K578 K589:K594 K604:K610 K619:K627 K635:K643 K651:K659 K667:K675 K683:K691 K699:K707 K715:K723 K731:K739 K747:K755 K763:K771 K779:K787 K795:K803">
    <cfRule type="cellIs" dxfId="68" priority="289" operator="greaterThan">
      <formula>0.01</formula>
    </cfRule>
  </conditionalFormatting>
  <conditionalFormatting sqref="J461 J476:J482 J492:J498 J508:J514 J524:J530 J540:J546 J556:J562 J572:J578 J588:J594 J604:J610 J619:J627 J635:J643 J651:J659 J667:J675 J683:J691 J699:J707 J715:J723 J731:J739 J747:J755 J763:J771 J779:J787 J795:J803">
    <cfRule type="cellIs" dxfId="67" priority="290" operator="equal">
      <formula>150</formula>
    </cfRule>
  </conditionalFormatting>
  <conditionalFormatting sqref="J461 J476:J482 J492:J498 J508:J514 J524:J530 J540:J546 J556:J562 J572:J578 J588:J594 J604:J610 J619:J627 J635:J643 J651:J659 J667:J675 J683:J691 J699:J707 J715:J723 J731:J739 J747:J755 J763:J771 J779:J787 J795:J803">
    <cfRule type="cellIs" dxfId="66" priority="291" operator="equal">
      <formula>130</formula>
    </cfRule>
  </conditionalFormatting>
  <conditionalFormatting sqref="J461 J476:J482 J492:J498 J508:J514 J524:J530 J540:J546 J556:J562 J572:J578 J588:J594 J604:J610 J619:J627 J635:J643 J651:J659 J667:J675 J683:J691 J699:J707 J715:J723 J731:J739 J747:J755 J763:J771 J779:J787 J795:J803">
    <cfRule type="cellIs" dxfId="65" priority="292" operator="equal">
      <formula>150</formula>
    </cfRule>
  </conditionalFormatting>
  <conditionalFormatting sqref="K401:K402">
    <cfRule type="cellIs" dxfId="64" priority="293" operator="greaterThan">
      <formula>0.01</formula>
    </cfRule>
  </conditionalFormatting>
  <conditionalFormatting sqref="J401">
    <cfRule type="cellIs" dxfId="63" priority="294" operator="equal">
      <formula>150</formula>
    </cfRule>
  </conditionalFormatting>
  <conditionalFormatting sqref="J401">
    <cfRule type="cellIs" dxfId="62" priority="295" operator="equal">
      <formula>130</formula>
    </cfRule>
  </conditionalFormatting>
  <conditionalFormatting sqref="J401">
    <cfRule type="cellIs" dxfId="61" priority="296" operator="equal">
      <formula>150</formula>
    </cfRule>
  </conditionalFormatting>
  <conditionalFormatting sqref="J402">
    <cfRule type="cellIs" dxfId="60" priority="297" operator="equal">
      <formula>150</formula>
    </cfRule>
  </conditionalFormatting>
  <conditionalFormatting sqref="J402">
    <cfRule type="cellIs" dxfId="59" priority="298" operator="equal">
      <formula>130</formula>
    </cfRule>
  </conditionalFormatting>
  <conditionalFormatting sqref="J402">
    <cfRule type="cellIs" dxfId="58" priority="299" operator="equal">
      <formula>150</formula>
    </cfRule>
  </conditionalFormatting>
  <conditionalFormatting sqref="K418:K424">
    <cfRule type="cellIs" dxfId="57" priority="300" operator="greaterThan">
      <formula>0.01</formula>
    </cfRule>
  </conditionalFormatting>
  <conditionalFormatting sqref="J418">
    <cfRule type="cellIs" dxfId="56" priority="301" operator="equal">
      <formula>150</formula>
    </cfRule>
  </conditionalFormatting>
  <conditionalFormatting sqref="J418">
    <cfRule type="cellIs" dxfId="55" priority="302" operator="equal">
      <formula>130</formula>
    </cfRule>
  </conditionalFormatting>
  <conditionalFormatting sqref="J418">
    <cfRule type="cellIs" dxfId="54" priority="303" operator="equal">
      <formula>150</formula>
    </cfRule>
  </conditionalFormatting>
  <conditionalFormatting sqref="K434:K437 K439:K441">
    <cfRule type="cellIs" dxfId="53" priority="304" operator="greaterThan">
      <formula>0.01</formula>
    </cfRule>
  </conditionalFormatting>
  <conditionalFormatting sqref="J434">
    <cfRule type="cellIs" dxfId="52" priority="305" operator="equal">
      <formula>150</formula>
    </cfRule>
  </conditionalFormatting>
  <conditionalFormatting sqref="J434">
    <cfRule type="cellIs" dxfId="51" priority="306" operator="equal">
      <formula>130</formula>
    </cfRule>
  </conditionalFormatting>
  <conditionalFormatting sqref="J434">
    <cfRule type="cellIs" dxfId="50" priority="307" operator="equal">
      <formula>150</formula>
    </cfRule>
  </conditionalFormatting>
  <conditionalFormatting sqref="K452:K458">
    <cfRule type="cellIs" dxfId="49" priority="308" operator="greaterThan">
      <formula>0.01</formula>
    </cfRule>
  </conditionalFormatting>
  <conditionalFormatting sqref="J452">
    <cfRule type="cellIs" dxfId="48" priority="309" operator="equal">
      <formula>150</formula>
    </cfRule>
  </conditionalFormatting>
  <conditionalFormatting sqref="J452">
    <cfRule type="cellIs" dxfId="47" priority="310" operator="equal">
      <formula>130</formula>
    </cfRule>
  </conditionalFormatting>
  <conditionalFormatting sqref="J452">
    <cfRule type="cellIs" dxfId="46" priority="311" operator="equal">
      <formula>150</formula>
    </cfRule>
  </conditionalFormatting>
  <conditionalFormatting sqref="K468:K474 K484:K490 K500:K506 K516:K522 K532:K538 K548:K554 K564:K570 K580:K586 K596:K602 K611:K619 K627:K635 K643:K651 K659:K667 K675:K683 K691:K699 K707:K715 K723:K731 K739:K747 K755:K763 K771:K779 K787:K795 K803:K810 K818:K824 K832:K838 K846:K852">
    <cfRule type="cellIs" dxfId="45" priority="312" operator="greaterThan">
      <formula>0.01</formula>
    </cfRule>
  </conditionalFormatting>
  <conditionalFormatting sqref="J468:J474 J478 J484:J490 J500:J506 J516:J522 J532:J538 J548:J554 J564:J570 J580:J586 J596:J602 J611:J619 J627:J635 J643:J651 J659:J667 J675:J683 J691:J699 J707:J715 J723:J731 J739:J747 J755:J763 J771:J779 J787:J795 J803:J810 J818:J824 J832:J838 J846:J852">
    <cfRule type="cellIs" dxfId="44" priority="313" operator="equal">
      <formula>150</formula>
    </cfRule>
  </conditionalFormatting>
  <conditionalFormatting sqref="J468:J474 J478 J484:J490 J500:J506 J516:J522 J532:J538 J548:J554 J564:J570 J580:J586 J596:J602 J611:J619 J627:J635 J643:J651 J659:J667 J675:J683 J691:J699 J707:J715 J723:J731 J739:J747 J755:J763 J771:J779 J787:J795 J803:J810 J818:J824 J832:J838 J846:J852">
    <cfRule type="cellIs" dxfId="43" priority="314" operator="equal">
      <formula>130</formula>
    </cfRule>
  </conditionalFormatting>
  <conditionalFormatting sqref="J468:J474 J478 J484:J490 J500:J506 J516:J522 J532:J538 J548:J554 J564:J570 J580:J586 J596:J602 J611:J619 J627:J635 J643:J651 J659:J667 J675:J683 J691:J699 J707:J715 J723:J731 J739:J747 J755:J763 J771:J779 J787:J795 J803:J810 J818:J824 J832:J838 J846:J852">
    <cfRule type="cellIs" dxfId="42" priority="315" operator="equal">
      <formula>150</formula>
    </cfRule>
  </conditionalFormatting>
  <conditionalFormatting sqref="J470 J473 J478 J486 J489">
    <cfRule type="cellIs" dxfId="41" priority="316" operator="equal">
      <formula>150</formula>
    </cfRule>
  </conditionalFormatting>
  <conditionalFormatting sqref="J470 J473 J478 J486 J489">
    <cfRule type="cellIs" dxfId="40" priority="317" operator="equal">
      <formula>130</formula>
    </cfRule>
  </conditionalFormatting>
  <conditionalFormatting sqref="J470 J473 J478 J486 J489">
    <cfRule type="cellIs" dxfId="39" priority="318" operator="equal">
      <formula>150</formula>
    </cfRule>
  </conditionalFormatting>
  <conditionalFormatting sqref="J469 J471:J472 J474 J485:J488 J490 J500:J506 J516:J522 J532:J538 J548:J554 J564:J570 J580:J586 J596:J602 J611:J619 J627:J635 J643:J651 J659:J667 J675:J683 J691:J699 J707:J715 J723:J731 J739:J747 J755:J763 J771:J779 J787:J795 J803:J810 J818:J824 J832:J838 J846:J852">
    <cfRule type="cellIs" dxfId="38" priority="319" operator="equal">
      <formula>150</formula>
    </cfRule>
  </conditionalFormatting>
  <conditionalFormatting sqref="J469 J471:J472 J474 J485:J488 J490 J500:J506 J516:J522 J532:J538 J548:J554 J564:J570 J580:J586 J596:J602 J611:J619 J627:J635 J643:J651 J659:J667 J675:J683 J691:J699 J707:J715 J723:J731 J739:J747 J755:J763 J771:J779 J787:J795 J803:J810 J818:J824 J832:J838 J846:J852">
    <cfRule type="cellIs" dxfId="37" priority="320" operator="equal">
      <formula>130</formula>
    </cfRule>
  </conditionalFormatting>
  <conditionalFormatting sqref="J469 J471:J472 J474 J485:J488 J490 J500:J506 J516:J522 J532:J538 J548:J554 J564:J570 J580:J586 J596:J602 J611:J619 J627:J635 J643:J651 J659:J667 J675:J683 J691:J699 J707:J715 J723:J731 J739:J747 J755:J763 J771:J779 J787:J795 J803:J810 J818:J824 J832:J838 J846:J852">
    <cfRule type="cellIs" dxfId="36" priority="321" operator="equal">
      <formula>150</formula>
    </cfRule>
  </conditionalFormatting>
  <conditionalFormatting sqref="M72:N72 M80:N80 M88:N88 M96:N96 M104:N104 M112:N112 M120:N120 M128:N128 M136:N136 M144:N144 M152:N152 M160:N160 M168:N168 M176:N176 M184:N184 M192:N192 M200:N200 M208:N208 M216:N216 M224:N224 M232:N232 M240:N240 M248:N248 M256:N256 M264:N264 M272:N272 M280:N280 M288:N288 M296:N296 M304:N304 M312:N312 M320:N320 M328:N328 M336:N336 M344:N344 M352:N352 M360:N360 M368:N368 M376:N376 M384:N384 M392:N392 M400:N400 M408:N408 M417:N417 M425:N425 M433:N433 M443:N443 M451:N451 M459:N459 M467:N467 K475:O475 K483:O483 K491:O491 K499:O499 K507:O507 K515:O515 K523:O523 K531:O531 K539:O539 K547:O547 K555:O555 K563:O563 K571:O571 K579:O579 K587:O587 K595:O595 K603:O603 K611:O611 K619:O619 K627:O627 K635:O635 K643:O643 K651:O651 K659:O659 K667:O667 K675:O675 K683:O683 K691:O691 K699:O699 K707:O707 K715:O715 K723:O723 K731:O731 K739:O739 K747:O747 K755:O755 K763:O763 K771:O771 K779:O779 K787:O787 K795:O795 K803:O803">
    <cfRule type="cellIs" dxfId="35" priority="322" operator="greaterThan">
      <formula>0.01</formula>
    </cfRule>
  </conditionalFormatting>
  <conditionalFormatting sqref="J475 J483 J491 J499 J507 J515 J523 J531 J539 J547 J555 J563 J571 J579 J587 J595 J603 J611 J619 J627 J635 J643 J651 J659 J667 J675 J683 J691 J699 J707 J715 J723 J731 J739 J747 J755 J763 J771 J779 J787 J795 J803">
    <cfRule type="cellIs" dxfId="34" priority="323" operator="equal">
      <formula>130</formula>
    </cfRule>
  </conditionalFormatting>
  <conditionalFormatting sqref="J475 J483 J491 J499 J507 J515 J523 J531 J539 J547 J555 J563 J571 J579 J587 J595 J603 J611 J619 J627 J635 J643 J651 J659 J667 J675 J683 J691 J699 J707 J715 J723 J731 J739 J747 J755 J763 J771 J779 J787 J795 J803">
    <cfRule type="cellIs" dxfId="33" priority="324" operator="equal">
      <formula>150</formula>
    </cfRule>
  </conditionalFormatting>
  <conditionalFormatting sqref="J394:J399">
    <cfRule type="cellIs" dxfId="32" priority="325" operator="equal">
      <formula>150</formula>
    </cfRule>
  </conditionalFormatting>
  <conditionalFormatting sqref="J394:J399">
    <cfRule type="cellIs" dxfId="31" priority="326" operator="equal">
      <formula>130</formula>
    </cfRule>
  </conditionalFormatting>
  <conditionalFormatting sqref="J394:J399">
    <cfRule type="cellIs" dxfId="30" priority="327" operator="equal">
      <formula>150</formula>
    </cfRule>
  </conditionalFormatting>
  <conditionalFormatting sqref="K403:K407">
    <cfRule type="cellIs" dxfId="29" priority="328" operator="greaterThan">
      <formula>0.01</formula>
    </cfRule>
  </conditionalFormatting>
  <conditionalFormatting sqref="J403:J407">
    <cfRule type="cellIs" dxfId="28" priority="329" operator="equal">
      <formula>150</formula>
    </cfRule>
  </conditionalFormatting>
  <conditionalFormatting sqref="J403:J407">
    <cfRule type="cellIs" dxfId="27" priority="330" operator="equal">
      <formula>130</formula>
    </cfRule>
  </conditionalFormatting>
  <conditionalFormatting sqref="J403:J407">
    <cfRule type="cellIs" dxfId="26" priority="331" operator="equal">
      <formula>150</formula>
    </cfRule>
  </conditionalFormatting>
  <conditionalFormatting sqref="J427:J432">
    <cfRule type="cellIs" dxfId="25" priority="332" operator="equal">
      <formula>150</formula>
    </cfRule>
  </conditionalFormatting>
  <conditionalFormatting sqref="J427:J432">
    <cfRule type="cellIs" dxfId="24" priority="333" operator="equal">
      <formula>130</formula>
    </cfRule>
  </conditionalFormatting>
  <conditionalFormatting sqref="J427:J432">
    <cfRule type="cellIs" dxfId="23" priority="334" operator="equal">
      <formula>150</formula>
    </cfRule>
  </conditionalFormatting>
  <conditionalFormatting sqref="J419:J424">
    <cfRule type="cellIs" dxfId="22" priority="335" operator="equal">
      <formula>150</formula>
    </cfRule>
  </conditionalFormatting>
  <conditionalFormatting sqref="J419:J424">
    <cfRule type="cellIs" dxfId="21" priority="336" operator="equal">
      <formula>130</formula>
    </cfRule>
  </conditionalFormatting>
  <conditionalFormatting sqref="J419:J424">
    <cfRule type="cellIs" dxfId="20" priority="337" operator="equal">
      <formula>150</formula>
    </cfRule>
  </conditionalFormatting>
  <conditionalFormatting sqref="J435:J437 J439:J441">
    <cfRule type="cellIs" dxfId="19" priority="338" operator="equal">
      <formula>150</formula>
    </cfRule>
  </conditionalFormatting>
  <conditionalFormatting sqref="J435:J437 J439:J441">
    <cfRule type="cellIs" dxfId="18" priority="339" operator="equal">
      <formula>130</formula>
    </cfRule>
  </conditionalFormatting>
  <conditionalFormatting sqref="J435:J437 J439:J441">
    <cfRule type="cellIs" dxfId="17" priority="340" operator="equal">
      <formula>150</formula>
    </cfRule>
  </conditionalFormatting>
  <conditionalFormatting sqref="J438">
    <cfRule type="cellIs" dxfId="16" priority="341" operator="equal">
      <formula>150</formula>
    </cfRule>
  </conditionalFormatting>
  <conditionalFormatting sqref="J438">
    <cfRule type="cellIs" dxfId="15" priority="342" operator="equal">
      <formula>130</formula>
    </cfRule>
  </conditionalFormatting>
  <conditionalFormatting sqref="J438">
    <cfRule type="cellIs" dxfId="14" priority="343" operator="equal">
      <formula>150</formula>
    </cfRule>
  </conditionalFormatting>
  <conditionalFormatting sqref="K438">
    <cfRule type="cellIs" dxfId="13" priority="344" operator="greaterThan">
      <formula>0.01</formula>
    </cfRule>
  </conditionalFormatting>
  <conditionalFormatting sqref="J442">
    <cfRule type="cellIs" dxfId="12" priority="345" operator="equal">
      <formula>150</formula>
    </cfRule>
  </conditionalFormatting>
  <conditionalFormatting sqref="J442">
    <cfRule type="cellIs" dxfId="11" priority="346" operator="equal">
      <formula>130</formula>
    </cfRule>
  </conditionalFormatting>
  <conditionalFormatting sqref="J442">
    <cfRule type="cellIs" dxfId="10" priority="347" operator="equal">
      <formula>150</formula>
    </cfRule>
  </conditionalFormatting>
  <conditionalFormatting sqref="K442">
    <cfRule type="cellIs" dxfId="9" priority="348" operator="greaterThan">
      <formula>0.01</formula>
    </cfRule>
  </conditionalFormatting>
  <conditionalFormatting sqref="J447:J450">
    <cfRule type="cellIs" dxfId="8" priority="349" operator="equal">
      <formula>150</formula>
    </cfRule>
  </conditionalFormatting>
  <conditionalFormatting sqref="J447:J450">
    <cfRule type="cellIs" dxfId="7" priority="350" operator="equal">
      <formula>130</formula>
    </cfRule>
  </conditionalFormatting>
  <conditionalFormatting sqref="J447:J450">
    <cfRule type="cellIs" dxfId="6" priority="351" operator="equal">
      <formula>150</formula>
    </cfRule>
  </conditionalFormatting>
  <conditionalFormatting sqref="J453:J458">
    <cfRule type="cellIs" dxfId="5" priority="352" operator="equal">
      <formula>150</formula>
    </cfRule>
  </conditionalFormatting>
  <conditionalFormatting sqref="J453:J458">
    <cfRule type="cellIs" dxfId="4" priority="353" operator="equal">
      <formula>130</formula>
    </cfRule>
  </conditionalFormatting>
  <conditionalFormatting sqref="J453:J458">
    <cfRule type="cellIs" dxfId="3" priority="354" operator="equal">
      <formula>150</formula>
    </cfRule>
  </conditionalFormatting>
  <conditionalFormatting sqref="J462:J466 J478:J482 J494:J498 J510:J514 J526:J530 J542:J546 J558:J562 J574:J578 J588:J594 J604:J610 J619:J627 J635:J643 J651:J659 J667:J675 J683:J691 J699:J707 J715:J723 J731:J739 J747:J755 J763:J771 J779:J787 J795:J803">
    <cfRule type="cellIs" dxfId="2" priority="355" operator="equal">
      <formula>150</formula>
    </cfRule>
  </conditionalFormatting>
  <conditionalFormatting sqref="J462:J466 J478:J482 J494:J498 J510:J514 J526:J530 J542:J546 J558:J562 J574:J578 J588:J594 J604:J610 J619:J627 J635:J643 J651:J659 J667:J675 J683:J691 J699:J707 J715:J723 J731:J739 J747:J755 J763:J771 J779:J787 J795:J803">
    <cfRule type="cellIs" dxfId="1" priority="356" operator="equal">
      <formula>130</formula>
    </cfRule>
  </conditionalFormatting>
  <conditionalFormatting sqref="J462:J466 J478:J482 J494:J498 J510:J514 J526:J530 J542:J546 J558:J562 J574:J578 J588:J594 J604:J610 J619:J627 J635:J643 J651:J659 J667:J675 J683:J691 J699:J707 J715:J723 J731:J739 J747:J755 J763:J771 J779:J787 J795:J803">
    <cfRule type="cellIs" dxfId="0" priority="357" operator="equal">
      <formula>150</formula>
    </cfRule>
  </conditionalFormatting>
  <pageMargins left="0.511811024" right="0.511811024" top="0.78740157499999996" bottom="0.78740157499999996" header="0" footer="0"/>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Faria</dc:creator>
  <cp:lastModifiedBy>Paulo Faria</cp:lastModifiedBy>
  <dcterms:created xsi:type="dcterms:W3CDTF">2020-06-12T09:53:49Z</dcterms:created>
  <dcterms:modified xsi:type="dcterms:W3CDTF">2022-04-25T16:05:17Z</dcterms:modified>
</cp:coreProperties>
</file>