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9169453A-3D61-CB49-90D0-F367F8C7702B}"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21" i="13"/>
  <c r="E322" i="13"/>
  <c r="E323" i="13"/>
  <c r="E324" i="13"/>
  <c r="E325" i="13"/>
  <c r="H325" i="13" s="1" a="1"/>
  <c r="H325" i="13" s="1"/>
  <c r="E326" i="13"/>
  <c r="H326" i="13" s="1" a="1"/>
  <c r="H326" i="13" s="1"/>
  <c r="E327" i="13"/>
  <c r="H327" i="13" s="1" a="1"/>
  <c r="H327" i="13" s="1"/>
  <c r="E328" i="13"/>
  <c r="H328" i="13" s="1" a="1"/>
  <c r="H328" i="13" s="1"/>
  <c r="E329" i="13"/>
  <c r="E330" i="13"/>
  <c r="E331" i="13"/>
  <c r="E332" i="13"/>
  <c r="E333" i="13"/>
  <c r="E334" i="13"/>
  <c r="E335"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E350" i="13"/>
  <c r="E351" i="13"/>
  <c r="E352" i="13"/>
  <c r="E353" i="13"/>
  <c r="E354" i="13"/>
  <c r="E355" i="13"/>
  <c r="E356" i="13"/>
  <c r="E357" i="13"/>
  <c r="H357" i="13" s="1" a="1"/>
  <c r="H357" i="13" s="1"/>
  <c r="E358" i="13"/>
  <c r="H358" i="13" s="1" a="1"/>
  <c r="H358" i="13" s="1"/>
  <c r="E359" i="13"/>
  <c r="H359" i="13" s="1" a="1"/>
  <c r="H359" i="13" s="1"/>
  <c r="E360" i="13"/>
  <c r="H360" i="13" s="1" a="1"/>
  <c r="H360" i="13" s="1"/>
  <c r="E361" i="13"/>
  <c r="E362" i="13"/>
  <c r="E363" i="13"/>
  <c r="E364" i="13"/>
  <c r="E365" i="13"/>
  <c r="E366" i="13"/>
  <c r="E367" i="13"/>
  <c r="E368" i="13"/>
  <c r="E369" i="13"/>
  <c r="E370" i="13"/>
  <c r="E371" i="13"/>
  <c r="E372" i="13"/>
  <c r="E373" i="13"/>
  <c r="H373" i="13" s="1" a="1"/>
  <c r="H373" i="13" s="1"/>
  <c r="E374" i="13"/>
  <c r="H374" i="13" s="1" a="1"/>
  <c r="H374" i="13" s="1"/>
  <c r="E375" i="13"/>
  <c r="H375" i="13" s="1" a="1"/>
  <c r="H375" i="13" s="1"/>
  <c r="E376" i="13"/>
  <c r="H376" i="13" s="1" a="1"/>
  <c r="H376" i="13" s="1"/>
  <c r="E377" i="13"/>
  <c r="E378" i="13"/>
  <c r="E379" i="13"/>
  <c r="E380" i="13"/>
  <c r="E381" i="13"/>
  <c r="E382" i="13"/>
  <c r="E383" i="13"/>
  <c r="E384" i="13"/>
  <c r="E385" i="13"/>
  <c r="E386" i="13"/>
  <c r="E387" i="13"/>
  <c r="E388" i="13"/>
  <c r="E389" i="13"/>
  <c r="H389" i="13" s="1" a="1"/>
  <c r="H389" i="13" s="1"/>
  <c r="E390" i="13"/>
  <c r="H390" i="13" s="1" a="1"/>
  <c r="H390" i="13" s="1"/>
  <c r="E391" i="13"/>
  <c r="H391" i="13" s="1" a="1"/>
  <c r="H391" i="13" s="1"/>
  <c r="E392" i="13"/>
  <c r="H392" i="13" s="1" a="1"/>
  <c r="H392" i="13" s="1"/>
  <c r="E393" i="13"/>
  <c r="E394" i="13"/>
  <c r="E395" i="13"/>
  <c r="E396" i="13"/>
  <c r="E397" i="13"/>
  <c r="E398" i="13"/>
  <c r="E399" i="13"/>
  <c r="E400" i="13"/>
  <c r="E401" i="13"/>
  <c r="E402" i="13"/>
  <c r="E403" i="13"/>
  <c r="E404" i="13"/>
  <c r="E405" i="13"/>
  <c r="H405" i="13" s="1" a="1"/>
  <c r="H405" i="13" s="1"/>
  <c r="E406" i="13"/>
  <c r="H406" i="13" s="1" a="1"/>
  <c r="H406" i="13" s="1"/>
  <c r="E407" i="13"/>
  <c r="H407" i="13" s="1" a="1"/>
  <c r="H407" i="13" s="1"/>
  <c r="E408" i="13"/>
  <c r="H408" i="13" s="1" a="1"/>
  <c r="H408" i="13" s="1"/>
  <c r="E409" i="13"/>
  <c r="E410" i="13"/>
  <c r="E411" i="13"/>
  <c r="E412" i="13"/>
  <c r="E413" i="13"/>
  <c r="E414" i="13"/>
  <c r="E415" i="13"/>
  <c r="E416" i="13"/>
  <c r="E417" i="13"/>
  <c r="E418" i="13"/>
  <c r="E419" i="13"/>
  <c r="E420" i="13"/>
  <c r="E421" i="13"/>
  <c r="H421" i="13" s="1" a="1"/>
  <c r="H421" i="13" s="1"/>
  <c r="E422" i="13"/>
  <c r="H422" i="13" s="1" a="1"/>
  <c r="H422" i="13" s="1"/>
  <c r="E423" i="13"/>
  <c r="H423" i="13" s="1" a="1"/>
  <c r="H423" i="13" s="1"/>
  <c r="E424" i="13"/>
  <c r="H424" i="13" s="1" a="1"/>
  <c r="H424" i="13" s="1"/>
  <c r="E425" i="13"/>
  <c r="E426" i="13"/>
  <c r="E427" i="13"/>
  <c r="E428" i="13"/>
  <c r="E429" i="13"/>
  <c r="E430" i="13"/>
  <c r="E431" i="13"/>
  <c r="E432" i="13"/>
  <c r="E433" i="13"/>
  <c r="E434" i="13"/>
  <c r="E435" i="13"/>
  <c r="E436" i="13"/>
  <c r="E437" i="13"/>
  <c r="H437" i="13" s="1" a="1"/>
  <c r="H437" i="13" s="1"/>
  <c r="E438" i="13"/>
  <c r="H438" i="13" s="1" a="1"/>
  <c r="H438" i="13" s="1"/>
  <c r="E439" i="13"/>
  <c r="H439" i="13" s="1" a="1"/>
  <c r="H439" i="13" s="1"/>
  <c r="E440" i="13"/>
  <c r="H440" i="13" s="1" a="1"/>
  <c r="H440" i="13" s="1"/>
  <c r="E441" i="13"/>
  <c r="E442" i="13"/>
  <c r="E443" i="13"/>
  <c r="E444" i="13"/>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E481" i="13"/>
  <c r="H481" i="13" s="1" a="1"/>
  <c r="H481" i="13" s="1"/>
  <c r="E482" i="13"/>
  <c r="H482" i="13" s="1" a="1"/>
  <c r="H482" i="13" s="1"/>
  <c r="E483" i="13"/>
  <c r="H483" i="13" s="1" a="1"/>
  <c r="H483" i="13" s="1"/>
  <c r="E484" i="13"/>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E581" i="13"/>
  <c r="E582" i="13"/>
  <c r="E583" i="13"/>
  <c r="H583" i="13" s="1" a="1"/>
  <c r="H583" i="13" s="1"/>
  <c r="E584" i="13"/>
  <c r="H584" i="13" s="1" a="1"/>
  <c r="H584" i="13" s="1"/>
  <c r="E585" i="13"/>
  <c r="E586" i="13"/>
  <c r="E587" i="13"/>
  <c r="E588" i="13"/>
  <c r="H588" i="13" s="1" a="1"/>
  <c r="H588" i="13" s="1"/>
  <c r="E589" i="13"/>
  <c r="E590" i="13"/>
  <c r="E591" i="13"/>
  <c r="E592" i="13"/>
  <c r="E593" i="13"/>
  <c r="E594" i="13"/>
  <c r="E595" i="13"/>
  <c r="E596" i="13"/>
  <c r="H596" i="13" s="1" a="1"/>
  <c r="H596" i="13" s="1"/>
  <c r="E597" i="13"/>
  <c r="E598" i="13"/>
  <c r="H598" i="13" s="1" a="1"/>
  <c r="H598" i="13" s="1"/>
  <c r="E599" i="13"/>
  <c r="H599" i="13" s="1" a="1"/>
  <c r="H599" i="13" s="1"/>
  <c r="E600" i="13"/>
  <c r="H600" i="13" s="1" a="1"/>
  <c r="H600" i="13" s="1"/>
  <c r="E601" i="13"/>
  <c r="E602" i="13"/>
  <c r="E603" i="13"/>
  <c r="E604" i="13"/>
  <c r="E605" i="13"/>
  <c r="E606" i="13"/>
  <c r="E607" i="13"/>
  <c r="E608" i="13"/>
  <c r="E609" i="13"/>
  <c r="E610" i="13"/>
  <c r="E611" i="13"/>
  <c r="E612" i="13"/>
  <c r="E613" i="13"/>
  <c r="E614" i="13"/>
  <c r="H614" i="13" s="1" a="1"/>
  <c r="H614" i="13" s="1"/>
  <c r="E615" i="13"/>
  <c r="E616" i="13"/>
  <c r="H616" i="13" s="1" a="1"/>
  <c r="H616" i="13" s="1"/>
  <c r="E617" i="13"/>
  <c r="E618" i="13"/>
  <c r="E619" i="13"/>
  <c r="E620" i="13"/>
  <c r="E621" i="13"/>
  <c r="E622" i="13"/>
  <c r="E623" i="13"/>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E716" i="13"/>
  <c r="E717" i="13"/>
  <c r="E718" i="13"/>
  <c r="E719" i="13"/>
  <c r="E720" i="13"/>
  <c r="E721" i="13"/>
  <c r="E722" i="13"/>
  <c r="E723" i="13"/>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H453" i="13" a="1"/>
  <c r="H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H473" i="13" a="1"/>
  <c r="H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H480" i="13" a="1"/>
  <c r="H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H484" i="13" a="1"/>
  <c r="H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H510" i="13" a="1"/>
  <c r="H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H580" i="13" a="1"/>
  <c r="H580" i="13" s="1"/>
  <c r="K580" i="13"/>
  <c r="L580" i="13"/>
  <c r="M580" i="13"/>
  <c r="N580" i="13"/>
  <c r="O580" i="13"/>
  <c r="P580" i="13"/>
  <c r="Q580" i="13"/>
  <c r="R580" i="13"/>
  <c r="S580" i="13"/>
  <c r="T580" i="13"/>
  <c r="U580" i="13"/>
  <c r="V580" i="13"/>
  <c r="W580" i="13"/>
  <c r="X580" i="13"/>
  <c r="D581" i="13" a="1"/>
  <c r="D581" i="13" s="1"/>
  <c r="G581" i="13" s="1"/>
  <c r="I581" i="13" s="1"/>
  <c r="H581" i="13" a="1"/>
  <c r="H581" i="13" s="1"/>
  <c r="K581" i="13"/>
  <c r="L581" i="13"/>
  <c r="M581" i="13"/>
  <c r="N581" i="13"/>
  <c r="O581" i="13"/>
  <c r="P581" i="13"/>
  <c r="Q581" i="13"/>
  <c r="R581" i="13"/>
  <c r="S581" i="13"/>
  <c r="T581" i="13"/>
  <c r="U581" i="13"/>
  <c r="V581" i="13"/>
  <c r="W581" i="13"/>
  <c r="X581" i="13"/>
  <c r="D582" i="13" a="1"/>
  <c r="D582" i="13" s="1"/>
  <c r="G582" i="13" s="1"/>
  <c r="I582" i="13" s="1"/>
  <c r="H582" i="13" a="1"/>
  <c r="H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H585" i="13" a="1"/>
  <c r="H585" i="13" s="1"/>
  <c r="K585" i="13"/>
  <c r="L585" i="13"/>
  <c r="M585" i="13"/>
  <c r="N585" i="13"/>
  <c r="O585" i="13"/>
  <c r="P585" i="13"/>
  <c r="Q585" i="13"/>
  <c r="R585" i="13"/>
  <c r="S585" i="13"/>
  <c r="T585" i="13"/>
  <c r="U585" i="13"/>
  <c r="V585" i="13"/>
  <c r="W585" i="13"/>
  <c r="X585" i="13"/>
  <c r="D586" i="13" a="1"/>
  <c r="D586" i="13" s="1"/>
  <c r="G586" i="13" s="1"/>
  <c r="I586" i="13" s="1"/>
  <c r="H586" i="13" a="1"/>
  <c r="H586" i="13" s="1"/>
  <c r="K586" i="13"/>
  <c r="L586" i="13"/>
  <c r="M586" i="13"/>
  <c r="N586" i="13"/>
  <c r="O586" i="13"/>
  <c r="P586" i="13"/>
  <c r="Q586" i="13"/>
  <c r="R586" i="13"/>
  <c r="S586" i="13"/>
  <c r="T586" i="13"/>
  <c r="U586" i="13"/>
  <c r="V586" i="13"/>
  <c r="W586" i="13"/>
  <c r="X586" i="13"/>
  <c r="D587" i="13" a="1"/>
  <c r="D587" i="13" s="1"/>
  <c r="G587" i="13" s="1"/>
  <c r="I587" i="13" s="1"/>
  <c r="H587" i="13" a="1"/>
  <c r="H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H589" i="13" a="1"/>
  <c r="H589" i="13" s="1"/>
  <c r="K589" i="13"/>
  <c r="L589" i="13"/>
  <c r="M589" i="13"/>
  <c r="N589" i="13"/>
  <c r="O589" i="13"/>
  <c r="P589" i="13"/>
  <c r="Q589" i="13"/>
  <c r="R589" i="13"/>
  <c r="S589" i="13"/>
  <c r="T589" i="13"/>
  <c r="U589" i="13"/>
  <c r="V589" i="13"/>
  <c r="W589" i="13"/>
  <c r="X589" i="13"/>
  <c r="D590" i="13" a="1"/>
  <c r="D590" i="13" s="1"/>
  <c r="G590" i="13" s="1"/>
  <c r="I590" i="13" s="1"/>
  <c r="H590" i="13" a="1"/>
  <c r="H590" i="13" s="1"/>
  <c r="K590" i="13"/>
  <c r="L590" i="13"/>
  <c r="M590" i="13"/>
  <c r="N590" i="13"/>
  <c r="O590" i="13"/>
  <c r="P590" i="13"/>
  <c r="Q590" i="13"/>
  <c r="R590" i="13"/>
  <c r="S590" i="13"/>
  <c r="T590" i="13"/>
  <c r="U590" i="13"/>
  <c r="V590" i="13"/>
  <c r="W590" i="13"/>
  <c r="X590" i="13"/>
  <c r="D591" i="13" a="1"/>
  <c r="D591" i="13" s="1"/>
  <c r="G591" i="13" s="1"/>
  <c r="I591" i="13" s="1"/>
  <c r="H591" i="13" a="1"/>
  <c r="H591" i="13" s="1"/>
  <c r="K591" i="13"/>
  <c r="L591" i="13"/>
  <c r="M591" i="13"/>
  <c r="N591" i="13"/>
  <c r="O591" i="13"/>
  <c r="P591" i="13"/>
  <c r="Q591" i="13"/>
  <c r="R591" i="13"/>
  <c r="S591" i="13"/>
  <c r="T591" i="13"/>
  <c r="U591" i="13"/>
  <c r="V591" i="13"/>
  <c r="W591" i="13"/>
  <c r="X591" i="13"/>
  <c r="D592" i="13" a="1"/>
  <c r="D592" i="13" s="1"/>
  <c r="G592" i="13" s="1"/>
  <c r="I592" i="13" s="1"/>
  <c r="H592" i="13" a="1"/>
  <c r="H592" i="13" s="1"/>
  <c r="K592" i="13"/>
  <c r="L592" i="13"/>
  <c r="M592" i="13"/>
  <c r="N592" i="13"/>
  <c r="O592" i="13"/>
  <c r="P592" i="13"/>
  <c r="Q592" i="13"/>
  <c r="R592" i="13"/>
  <c r="S592" i="13"/>
  <c r="T592" i="13"/>
  <c r="U592" i="13"/>
  <c r="V592" i="13"/>
  <c r="W592" i="13"/>
  <c r="X592" i="13"/>
  <c r="D593" i="13" a="1"/>
  <c r="D593" i="13" s="1"/>
  <c r="G593" i="13" s="1"/>
  <c r="I593" i="13" s="1"/>
  <c r="H593" i="13" a="1"/>
  <c r="H593" i="13" s="1"/>
  <c r="K593" i="13"/>
  <c r="L593" i="13"/>
  <c r="M593" i="13"/>
  <c r="N593" i="13"/>
  <c r="O593" i="13"/>
  <c r="P593" i="13"/>
  <c r="Q593" i="13"/>
  <c r="R593" i="13"/>
  <c r="S593" i="13"/>
  <c r="T593" i="13"/>
  <c r="U593" i="13"/>
  <c r="V593" i="13"/>
  <c r="W593" i="13"/>
  <c r="X593" i="13"/>
  <c r="D594" i="13" a="1"/>
  <c r="D594" i="13" s="1"/>
  <c r="G594" i="13" s="1"/>
  <c r="I594" i="13" s="1"/>
  <c r="H594" i="13" a="1"/>
  <c r="H594" i="13" s="1"/>
  <c r="K594" i="13"/>
  <c r="L594" i="13"/>
  <c r="M594" i="13"/>
  <c r="N594" i="13"/>
  <c r="O594" i="13"/>
  <c r="P594" i="13"/>
  <c r="Q594" i="13"/>
  <c r="R594" i="13"/>
  <c r="S594" i="13"/>
  <c r="T594" i="13"/>
  <c r="U594" i="13"/>
  <c r="V594" i="13"/>
  <c r="W594" i="13"/>
  <c r="X594" i="13"/>
  <c r="D595" i="13" a="1"/>
  <c r="D595" i="13" s="1"/>
  <c r="G595" i="13" s="1"/>
  <c r="I595" i="13" s="1"/>
  <c r="H595" i="13" a="1"/>
  <c r="H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H597" i="13" a="1"/>
  <c r="H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H601" i="13" a="1"/>
  <c r="H601" i="13" s="1"/>
  <c r="K601" i="13"/>
  <c r="L601" i="13"/>
  <c r="M601" i="13"/>
  <c r="N601" i="13"/>
  <c r="O601" i="13"/>
  <c r="P601" i="13"/>
  <c r="Q601" i="13"/>
  <c r="R601" i="13"/>
  <c r="S601" i="13"/>
  <c r="T601" i="13"/>
  <c r="U601" i="13"/>
  <c r="V601" i="13"/>
  <c r="W601" i="13"/>
  <c r="X601" i="13"/>
  <c r="D602" i="13" a="1"/>
  <c r="D602" i="13" s="1"/>
  <c r="G602" i="13" s="1"/>
  <c r="I602" i="13" s="1"/>
  <c r="H602" i="13" a="1"/>
  <c r="H602" i="13" s="1"/>
  <c r="K602" i="13"/>
  <c r="L602" i="13"/>
  <c r="M602" i="13"/>
  <c r="N602" i="13"/>
  <c r="O602" i="13"/>
  <c r="P602" i="13"/>
  <c r="Q602" i="13"/>
  <c r="R602" i="13"/>
  <c r="S602" i="13"/>
  <c r="T602" i="13"/>
  <c r="U602" i="13"/>
  <c r="V602" i="13"/>
  <c r="W602" i="13"/>
  <c r="X602" i="13"/>
  <c r="D603" i="13" a="1"/>
  <c r="D603" i="13" s="1"/>
  <c r="G603" i="13" s="1"/>
  <c r="I603" i="13" s="1"/>
  <c r="H603" i="13" a="1"/>
  <c r="H603" i="13" s="1"/>
  <c r="K603" i="13"/>
  <c r="L603" i="13"/>
  <c r="M603" i="13"/>
  <c r="N603" i="13"/>
  <c r="O603" i="13"/>
  <c r="P603" i="13"/>
  <c r="Q603" i="13"/>
  <c r="R603" i="13"/>
  <c r="S603" i="13"/>
  <c r="T603" i="13"/>
  <c r="U603" i="13"/>
  <c r="V603" i="13"/>
  <c r="W603" i="13"/>
  <c r="X603" i="13"/>
  <c r="D604" i="13" a="1"/>
  <c r="D604" i="13" s="1"/>
  <c r="G604" i="13" s="1"/>
  <c r="I604" i="13" s="1"/>
  <c r="H604" i="13" a="1"/>
  <c r="H604" i="13" s="1"/>
  <c r="K604" i="13"/>
  <c r="L604" i="13"/>
  <c r="M604" i="13"/>
  <c r="N604" i="13"/>
  <c r="O604" i="13"/>
  <c r="P604" i="13"/>
  <c r="Q604" i="13"/>
  <c r="R604" i="13"/>
  <c r="S604" i="13"/>
  <c r="T604" i="13"/>
  <c r="U604" i="13"/>
  <c r="V604" i="13"/>
  <c r="W604" i="13"/>
  <c r="X604" i="13"/>
  <c r="D605" i="13" a="1"/>
  <c r="D605" i="13" s="1"/>
  <c r="G605" i="13" s="1"/>
  <c r="I605" i="13" s="1"/>
  <c r="H605" i="13" a="1"/>
  <c r="H605" i="13" s="1"/>
  <c r="K605" i="13"/>
  <c r="L605" i="13"/>
  <c r="M605" i="13"/>
  <c r="N605" i="13"/>
  <c r="O605" i="13"/>
  <c r="P605" i="13"/>
  <c r="Q605" i="13"/>
  <c r="R605" i="13"/>
  <c r="S605" i="13"/>
  <c r="T605" i="13"/>
  <c r="U605" i="13"/>
  <c r="V605" i="13"/>
  <c r="W605" i="13"/>
  <c r="X605" i="13"/>
  <c r="D606" i="13" a="1"/>
  <c r="D606" i="13" s="1"/>
  <c r="G606" i="13" s="1"/>
  <c r="I606" i="13" s="1"/>
  <c r="H606" i="13" a="1"/>
  <c r="H606" i="13" s="1"/>
  <c r="K606" i="13"/>
  <c r="L606" i="13"/>
  <c r="M606" i="13"/>
  <c r="N606" i="13"/>
  <c r="O606" i="13"/>
  <c r="P606" i="13"/>
  <c r="Q606" i="13"/>
  <c r="R606" i="13"/>
  <c r="S606" i="13"/>
  <c r="T606" i="13"/>
  <c r="U606" i="13"/>
  <c r="V606" i="13"/>
  <c r="W606" i="13"/>
  <c r="X606" i="13"/>
  <c r="D607" i="13" a="1"/>
  <c r="D607" i="13" s="1"/>
  <c r="G607" i="13" s="1"/>
  <c r="I607" i="13" s="1"/>
  <c r="H607" i="13" a="1"/>
  <c r="H607" i="13" s="1"/>
  <c r="K607" i="13"/>
  <c r="L607" i="13"/>
  <c r="M607" i="13"/>
  <c r="N607" i="13"/>
  <c r="O607" i="13"/>
  <c r="P607" i="13"/>
  <c r="Q607" i="13"/>
  <c r="R607" i="13"/>
  <c r="S607" i="13"/>
  <c r="T607" i="13"/>
  <c r="U607" i="13"/>
  <c r="V607" i="13"/>
  <c r="W607" i="13"/>
  <c r="X607" i="13"/>
  <c r="D608" i="13" a="1"/>
  <c r="D608" i="13" s="1"/>
  <c r="G608" i="13" s="1"/>
  <c r="I608" i="13" s="1"/>
  <c r="H608" i="13" a="1"/>
  <c r="H608" i="13" s="1"/>
  <c r="K608" i="13"/>
  <c r="L608" i="13"/>
  <c r="M608" i="13"/>
  <c r="N608" i="13"/>
  <c r="O608" i="13"/>
  <c r="P608" i="13"/>
  <c r="Q608" i="13"/>
  <c r="R608" i="13"/>
  <c r="S608" i="13"/>
  <c r="T608" i="13"/>
  <c r="U608" i="13"/>
  <c r="V608" i="13"/>
  <c r="W608" i="13"/>
  <c r="X608" i="13"/>
  <c r="D609" i="13" a="1"/>
  <c r="D609" i="13" s="1"/>
  <c r="G609" i="13" s="1"/>
  <c r="I609" i="13" s="1"/>
  <c r="H609" i="13" a="1"/>
  <c r="H609" i="13" s="1"/>
  <c r="K609" i="13"/>
  <c r="L609" i="13"/>
  <c r="M609" i="13"/>
  <c r="N609" i="13"/>
  <c r="O609" i="13"/>
  <c r="P609" i="13"/>
  <c r="Q609" i="13"/>
  <c r="R609" i="13"/>
  <c r="S609" i="13"/>
  <c r="T609" i="13"/>
  <c r="U609" i="13"/>
  <c r="V609" i="13"/>
  <c r="W609" i="13"/>
  <c r="X609" i="13"/>
  <c r="D610" i="13" a="1"/>
  <c r="D610" i="13" s="1"/>
  <c r="G610" i="13" s="1"/>
  <c r="I610" i="13" s="1"/>
  <c r="H610" i="13" a="1"/>
  <c r="H610" i="13" s="1"/>
  <c r="K610" i="13"/>
  <c r="L610" i="13"/>
  <c r="M610" i="13"/>
  <c r="N610" i="13"/>
  <c r="O610" i="13"/>
  <c r="P610" i="13"/>
  <c r="Q610" i="13"/>
  <c r="R610" i="13"/>
  <c r="S610" i="13"/>
  <c r="T610" i="13"/>
  <c r="U610" i="13"/>
  <c r="V610" i="13"/>
  <c r="W610" i="13"/>
  <c r="X610" i="13"/>
  <c r="D611" i="13" a="1"/>
  <c r="D611" i="13" s="1"/>
  <c r="G611" i="13" s="1"/>
  <c r="I611" i="13" s="1"/>
  <c r="H611" i="13" a="1"/>
  <c r="H611" i="13" s="1"/>
  <c r="K611" i="13"/>
  <c r="L611" i="13"/>
  <c r="M611" i="13"/>
  <c r="N611" i="13"/>
  <c r="O611" i="13"/>
  <c r="P611" i="13"/>
  <c r="Q611" i="13"/>
  <c r="R611" i="13"/>
  <c r="S611" i="13"/>
  <c r="T611" i="13"/>
  <c r="U611" i="13"/>
  <c r="V611" i="13"/>
  <c r="W611" i="13"/>
  <c r="X611" i="13"/>
  <c r="D612" i="13" a="1"/>
  <c r="D612" i="13" s="1"/>
  <c r="G612" i="13" s="1"/>
  <c r="I612" i="13" s="1"/>
  <c r="H612" i="13" a="1"/>
  <c r="H612" i="13" s="1"/>
  <c r="K612" i="13"/>
  <c r="L612" i="13"/>
  <c r="M612" i="13"/>
  <c r="N612" i="13"/>
  <c r="O612" i="13"/>
  <c r="P612" i="13"/>
  <c r="Q612" i="13"/>
  <c r="R612" i="13"/>
  <c r="S612" i="13"/>
  <c r="T612" i="13"/>
  <c r="U612" i="13"/>
  <c r="V612" i="13"/>
  <c r="W612" i="13"/>
  <c r="X612" i="13"/>
  <c r="D613" i="13" a="1"/>
  <c r="D613" i="13" s="1"/>
  <c r="G613" i="13" s="1"/>
  <c r="I613" i="13" s="1"/>
  <c r="H613" i="13" a="1"/>
  <c r="H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H615" i="13" a="1"/>
  <c r="H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H617" i="13" a="1"/>
  <c r="H617" i="13" s="1"/>
  <c r="K617" i="13"/>
  <c r="L617" i="13"/>
  <c r="M617" i="13"/>
  <c r="N617" i="13"/>
  <c r="O617" i="13"/>
  <c r="P617" i="13"/>
  <c r="Q617" i="13"/>
  <c r="R617" i="13"/>
  <c r="S617" i="13"/>
  <c r="T617" i="13"/>
  <c r="U617" i="13"/>
  <c r="V617" i="13"/>
  <c r="W617" i="13"/>
  <c r="X617" i="13"/>
  <c r="D618" i="13" a="1"/>
  <c r="D618" i="13" s="1"/>
  <c r="G618" i="13" s="1"/>
  <c r="I618" i="13" s="1"/>
  <c r="H618" i="13" a="1"/>
  <c r="H618" i="13" s="1"/>
  <c r="K618" i="13"/>
  <c r="L618" i="13"/>
  <c r="M618" i="13"/>
  <c r="N618" i="13"/>
  <c r="O618" i="13"/>
  <c r="P618" i="13"/>
  <c r="Q618" i="13"/>
  <c r="R618" i="13"/>
  <c r="S618" i="13"/>
  <c r="T618" i="13"/>
  <c r="U618" i="13"/>
  <c r="V618" i="13"/>
  <c r="W618" i="13"/>
  <c r="X618" i="13"/>
  <c r="D619" i="13" a="1"/>
  <c r="D619" i="13" s="1"/>
  <c r="G619" i="13" s="1"/>
  <c r="I619" i="13" s="1"/>
  <c r="H619" i="13" a="1"/>
  <c r="H619" i="13" s="1"/>
  <c r="K619" i="13"/>
  <c r="L619" i="13"/>
  <c r="M619" i="13"/>
  <c r="N619" i="13"/>
  <c r="O619" i="13"/>
  <c r="P619" i="13"/>
  <c r="Q619" i="13"/>
  <c r="R619" i="13"/>
  <c r="S619" i="13"/>
  <c r="T619" i="13"/>
  <c r="U619" i="13"/>
  <c r="V619" i="13"/>
  <c r="W619" i="13"/>
  <c r="X619" i="13"/>
  <c r="D620" i="13" a="1"/>
  <c r="D620" i="13" s="1"/>
  <c r="G620" i="13" s="1"/>
  <c r="I620" i="13" s="1"/>
  <c r="H620" i="13" a="1"/>
  <c r="H620" i="13" s="1"/>
  <c r="K620" i="13"/>
  <c r="L620" i="13"/>
  <c r="M620" i="13"/>
  <c r="N620" i="13"/>
  <c r="O620" i="13"/>
  <c r="P620" i="13"/>
  <c r="Q620" i="13"/>
  <c r="R620" i="13"/>
  <c r="S620" i="13"/>
  <c r="T620" i="13"/>
  <c r="U620" i="13"/>
  <c r="V620" i="13"/>
  <c r="W620" i="13"/>
  <c r="X620" i="13"/>
  <c r="D621" i="13" a="1"/>
  <c r="D621" i="13" s="1"/>
  <c r="G621" i="13" s="1"/>
  <c r="I621" i="13" s="1"/>
  <c r="H621" i="13" a="1"/>
  <c r="H621" i="13" s="1"/>
  <c r="K621" i="13"/>
  <c r="L621" i="13"/>
  <c r="M621" i="13"/>
  <c r="N621" i="13"/>
  <c r="O621" i="13"/>
  <c r="P621" i="13"/>
  <c r="Q621" i="13"/>
  <c r="R621" i="13"/>
  <c r="S621" i="13"/>
  <c r="T621" i="13"/>
  <c r="U621" i="13"/>
  <c r="V621" i="13"/>
  <c r="W621" i="13"/>
  <c r="X621" i="13"/>
  <c r="D622" i="13" a="1"/>
  <c r="D622" i="13" s="1"/>
  <c r="G622" i="13" s="1"/>
  <c r="I622" i="13" s="1"/>
  <c r="H622" i="13" a="1"/>
  <c r="H622" i="13" s="1"/>
  <c r="K622" i="13"/>
  <c r="L622" i="13"/>
  <c r="M622" i="13"/>
  <c r="N622" i="13"/>
  <c r="O622" i="13"/>
  <c r="P622" i="13"/>
  <c r="Q622" i="13"/>
  <c r="R622" i="13"/>
  <c r="S622" i="13"/>
  <c r="T622" i="13"/>
  <c r="U622" i="13"/>
  <c r="V622" i="13"/>
  <c r="W622" i="13"/>
  <c r="X622" i="13"/>
  <c r="D623" i="13" a="1"/>
  <c r="D623" i="13" s="1"/>
  <c r="G623" i="13" s="1"/>
  <c r="I623" i="13" s="1"/>
  <c r="H623" i="13" a="1"/>
  <c r="H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H712" i="13" a="1"/>
  <c r="H712" i="13" s="1"/>
  <c r="K712" i="13"/>
  <c r="L712" i="13"/>
  <c r="M712" i="13"/>
  <c r="N712" i="13"/>
  <c r="O712" i="13"/>
  <c r="P712" i="13"/>
  <c r="Q712" i="13"/>
  <c r="R712" i="13"/>
  <c r="S712" i="13"/>
  <c r="T712" i="13"/>
  <c r="U712" i="13"/>
  <c r="V712" i="13"/>
  <c r="W712" i="13"/>
  <c r="X712" i="13"/>
  <c r="D713" i="13" a="1"/>
  <c r="D713" i="13" s="1"/>
  <c r="G713" i="13" s="1"/>
  <c r="I713" i="13" s="1"/>
  <c r="H713" i="13" a="1"/>
  <c r="H713" i="13" s="1"/>
  <c r="K713" i="13"/>
  <c r="L713" i="13"/>
  <c r="M713" i="13"/>
  <c r="N713" i="13"/>
  <c r="O713" i="13"/>
  <c r="P713" i="13"/>
  <c r="Q713" i="13"/>
  <c r="R713" i="13"/>
  <c r="S713" i="13"/>
  <c r="T713" i="13"/>
  <c r="U713" i="13"/>
  <c r="V713" i="13"/>
  <c r="W713" i="13"/>
  <c r="X713" i="13"/>
  <c r="D714" i="13" a="1"/>
  <c r="D714" i="13" s="1"/>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H715" i="13" a="1"/>
  <c r="H715" i="13" s="1"/>
  <c r="K715" i="13"/>
  <c r="L715" i="13"/>
  <c r="M715" i="13"/>
  <c r="N715" i="13"/>
  <c r="O715" i="13"/>
  <c r="P715" i="13"/>
  <c r="Q715" i="13"/>
  <c r="R715" i="13"/>
  <c r="S715" i="13"/>
  <c r="T715" i="13"/>
  <c r="U715" i="13"/>
  <c r="V715" i="13"/>
  <c r="W715" i="13"/>
  <c r="X715" i="13"/>
  <c r="D716" i="13" a="1"/>
  <c r="D716" i="13" s="1"/>
  <c r="G716" i="13" s="1"/>
  <c r="I716" i="13" s="1"/>
  <c r="H716" i="13" a="1"/>
  <c r="H716" i="13" s="1"/>
  <c r="K716" i="13"/>
  <c r="L716" i="13"/>
  <c r="M716" i="13"/>
  <c r="N716" i="13"/>
  <c r="O716" i="13"/>
  <c r="P716" i="13"/>
  <c r="Q716" i="13"/>
  <c r="R716" i="13"/>
  <c r="S716" i="13"/>
  <c r="T716" i="13"/>
  <c r="U716" i="13"/>
  <c r="V716" i="13"/>
  <c r="W716" i="13"/>
  <c r="X716" i="13"/>
  <c r="D717" i="13" a="1"/>
  <c r="D717" i="13" s="1"/>
  <c r="G717" i="13" s="1"/>
  <c r="I717" i="13" s="1"/>
  <c r="H717" i="13" a="1"/>
  <c r="H717" i="13" s="1"/>
  <c r="K717" i="13"/>
  <c r="L717" i="13"/>
  <c r="M717" i="13"/>
  <c r="N717" i="13"/>
  <c r="O717" i="13"/>
  <c r="P717" i="13"/>
  <c r="Q717" i="13"/>
  <c r="R717" i="13"/>
  <c r="S717" i="13"/>
  <c r="T717" i="13"/>
  <c r="U717" i="13"/>
  <c r="V717" i="13"/>
  <c r="W717" i="13"/>
  <c r="X717" i="13"/>
  <c r="D718" i="13" a="1"/>
  <c r="D718" i="13" s="1"/>
  <c r="G718" i="13" s="1"/>
  <c r="I718" i="13" s="1"/>
  <c r="H718" i="13" a="1"/>
  <c r="H718" i="13" s="1"/>
  <c r="K718" i="13"/>
  <c r="L718" i="13"/>
  <c r="M718" i="13"/>
  <c r="N718" i="13"/>
  <c r="O718" i="13"/>
  <c r="P718" i="13"/>
  <c r="Q718" i="13"/>
  <c r="R718" i="13"/>
  <c r="S718" i="13"/>
  <c r="T718" i="13"/>
  <c r="U718" i="13"/>
  <c r="V718" i="13"/>
  <c r="W718" i="13"/>
  <c r="X718" i="13"/>
  <c r="D719" i="13" a="1"/>
  <c r="D719" i="13" s="1"/>
  <c r="G719" i="13" s="1"/>
  <c r="I719" i="13" s="1"/>
  <c r="H719" i="13" a="1"/>
  <c r="H719" i="13" s="1"/>
  <c r="K719" i="13"/>
  <c r="L719" i="13"/>
  <c r="M719" i="13"/>
  <c r="N719" i="13"/>
  <c r="O719" i="13"/>
  <c r="P719" i="13"/>
  <c r="Q719" i="13"/>
  <c r="R719" i="13"/>
  <c r="S719" i="13"/>
  <c r="T719" i="13"/>
  <c r="U719" i="13"/>
  <c r="V719" i="13"/>
  <c r="W719" i="13"/>
  <c r="X719" i="13"/>
  <c r="D720" i="13" a="1"/>
  <c r="D720" i="13" s="1"/>
  <c r="G720" i="13" s="1"/>
  <c r="I720" i="13" s="1"/>
  <c r="H720" i="13" a="1"/>
  <c r="H720" i="13" s="1"/>
  <c r="K720" i="13"/>
  <c r="L720" i="13"/>
  <c r="M720" i="13"/>
  <c r="N720" i="13"/>
  <c r="O720" i="13"/>
  <c r="P720" i="13"/>
  <c r="Q720" i="13"/>
  <c r="R720" i="13"/>
  <c r="S720" i="13"/>
  <c r="T720" i="13"/>
  <c r="U720" i="13"/>
  <c r="V720" i="13"/>
  <c r="W720" i="13"/>
  <c r="X720" i="13"/>
  <c r="D721" i="13" a="1"/>
  <c r="D721" i="13" s="1"/>
  <c r="G721" i="13" s="1"/>
  <c r="I721" i="13" s="1"/>
  <c r="H721" i="13" a="1"/>
  <c r="H721" i="13" s="1"/>
  <c r="K721" i="13"/>
  <c r="L721" i="13"/>
  <c r="M721" i="13"/>
  <c r="N721" i="13"/>
  <c r="O721" i="13"/>
  <c r="P721" i="13"/>
  <c r="Q721" i="13"/>
  <c r="R721" i="13"/>
  <c r="S721" i="13"/>
  <c r="T721" i="13"/>
  <c r="U721" i="13"/>
  <c r="V721" i="13"/>
  <c r="W721" i="13"/>
  <c r="X721" i="13"/>
  <c r="D722" i="13" a="1"/>
  <c r="D722" i="13" s="1"/>
  <c r="G722" i="13" s="1"/>
  <c r="I722" i="13" s="1"/>
  <c r="H722" i="13" a="1"/>
  <c r="H722" i="13" s="1"/>
  <c r="K722" i="13"/>
  <c r="L722" i="13"/>
  <c r="M722" i="13"/>
  <c r="N722" i="13"/>
  <c r="O722" i="13"/>
  <c r="P722" i="13"/>
  <c r="Q722" i="13"/>
  <c r="R722" i="13"/>
  <c r="S722" i="13"/>
  <c r="T722" i="13"/>
  <c r="U722" i="13"/>
  <c r="V722" i="13"/>
  <c r="W722" i="13"/>
  <c r="X722" i="13"/>
  <c r="D723" i="13" a="1"/>
  <c r="D723" i="13" s="1"/>
  <c r="G723" i="13" s="1"/>
  <c r="I723" i="13" s="1"/>
  <c r="H723" i="13" a="1"/>
  <c r="H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05" i="10"/>
  <c r="O706" i="10"/>
  <c r="O707" i="10"/>
  <c r="O708" i="10"/>
  <c r="O709" i="10"/>
  <c r="O710" i="10"/>
  <c r="O711" i="10"/>
  <c r="O712" i="10"/>
  <c r="O713" i="10"/>
  <c r="O714" i="10"/>
  <c r="O715" i="10"/>
  <c r="O716" i="10"/>
  <c r="O717" i="10"/>
  <c r="O718" i="10"/>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O703" i="10" s="1"/>
  <c r="AE704" i="10"/>
  <c r="O704" i="10" s="1"/>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05" i="10"/>
  <c r="AC706" i="10"/>
  <c r="AC707" i="10"/>
  <c r="AC708" i="10"/>
  <c r="AC709" i="10"/>
  <c r="AC710" i="10"/>
  <c r="AC711" i="10"/>
  <c r="AC712" i="10"/>
  <c r="AC713" i="10"/>
  <c r="AC714" i="10"/>
  <c r="AC715" i="10"/>
  <c r="AC716" i="10"/>
  <c r="AC717" i="10"/>
  <c r="AC718" i="10"/>
  <c r="AC719" i="10"/>
  <c r="AC720" i="10"/>
  <c r="AC721" i="10"/>
  <c r="AC722" i="10"/>
  <c r="AC723" i="10"/>
  <c r="AC724" i="10"/>
  <c r="AC725" i="10"/>
  <c r="AC726" i="10"/>
  <c r="AC727" i="10"/>
  <c r="AC728" i="10"/>
  <c r="AC729" i="10"/>
  <c r="AC730" i="10"/>
  <c r="AC731" i="10"/>
  <c r="AC732" i="10"/>
  <c r="AC733" i="10"/>
  <c r="AC734" i="10"/>
  <c r="AC735" i="10"/>
  <c r="AC736" i="10"/>
  <c r="AC737" i="10"/>
  <c r="AC738"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D706" i="10"/>
  <c r="AD707" i="10"/>
  <c r="AD708" i="10"/>
  <c r="AD709" i="10"/>
  <c r="AD710" i="10"/>
  <c r="AD711" i="10"/>
  <c r="AD712" i="10"/>
  <c r="AD713" i="10"/>
  <c r="AD714" i="10"/>
  <c r="AD715" i="10"/>
  <c r="AD716" i="10"/>
  <c r="AD717" i="10"/>
  <c r="AD718" i="10"/>
  <c r="AD719" i="10"/>
  <c r="AD720" i="10"/>
  <c r="AD721" i="10"/>
  <c r="AD722" i="10"/>
  <c r="AD723" i="10"/>
  <c r="AD724" i="10"/>
  <c r="AD725" i="10"/>
  <c r="AD726" i="10"/>
  <c r="AD727" i="10"/>
  <c r="AD728" i="10"/>
  <c r="AD729" i="10"/>
  <c r="AD730" i="10"/>
  <c r="AD731" i="10"/>
  <c r="AD732" i="10"/>
  <c r="AD733" i="10"/>
  <c r="AD734" i="10"/>
  <c r="AD735" i="10"/>
  <c r="AD736" i="10"/>
  <c r="AD737" i="10"/>
  <c r="AD738" i="10"/>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H444" i="13" a="1"/>
  <c r="H444" i="13" s="1"/>
  <c r="D444" i="13" a="1"/>
  <c r="D444" i="13" s="1"/>
  <c r="G444" i="13" s="1"/>
  <c r="I444" i="13" s="1"/>
  <c r="X443" i="13"/>
  <c r="W443" i="13"/>
  <c r="V443" i="13"/>
  <c r="U443" i="13"/>
  <c r="T443" i="13"/>
  <c r="S443" i="13"/>
  <c r="R443" i="13"/>
  <c r="Q443" i="13"/>
  <c r="P443" i="13"/>
  <c r="O443" i="13"/>
  <c r="N443" i="13"/>
  <c r="M443" i="13"/>
  <c r="L443" i="13"/>
  <c r="K443" i="13"/>
  <c r="H443" i="13" a="1"/>
  <c r="H443" i="13" s="1"/>
  <c r="D443" i="13" a="1"/>
  <c r="D443" i="13" s="1"/>
  <c r="G443" i="13" s="1"/>
  <c r="I443" i="13" s="1"/>
  <c r="X442" i="13"/>
  <c r="W442" i="13"/>
  <c r="V442" i="13"/>
  <c r="U442" i="13"/>
  <c r="T442" i="13"/>
  <c r="S442" i="13"/>
  <c r="R442" i="13"/>
  <c r="Q442" i="13"/>
  <c r="P442" i="13"/>
  <c r="O442" i="13"/>
  <c r="N442" i="13"/>
  <c r="M442" i="13"/>
  <c r="L442" i="13"/>
  <c r="K442" i="13"/>
  <c r="H442" i="13" a="1"/>
  <c r="H442" i="13" s="1"/>
  <c r="D442" i="13" a="1"/>
  <c r="D442" i="13" s="1"/>
  <c r="G442" i="13" s="1"/>
  <c r="I442" i="13" s="1"/>
  <c r="X441" i="13"/>
  <c r="W441" i="13"/>
  <c r="V441" i="13"/>
  <c r="U441" i="13"/>
  <c r="T441" i="13"/>
  <c r="S441" i="13"/>
  <c r="R441" i="13"/>
  <c r="Q441" i="13"/>
  <c r="P441" i="13"/>
  <c r="O441" i="13"/>
  <c r="N441" i="13"/>
  <c r="M441" i="13"/>
  <c r="L441" i="13"/>
  <c r="K441" i="13"/>
  <c r="H441" i="13" a="1"/>
  <c r="H441" i="13" s="1"/>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H436" i="13" a="1"/>
  <c r="H436" i="13" s="1"/>
  <c r="D436" i="13" a="1"/>
  <c r="D436" i="13" s="1"/>
  <c r="G436" i="13" s="1"/>
  <c r="I436" i="13" s="1"/>
  <c r="X435" i="13"/>
  <c r="W435" i="13"/>
  <c r="V435" i="13"/>
  <c r="U435" i="13"/>
  <c r="T435" i="13"/>
  <c r="S435" i="13"/>
  <c r="R435" i="13"/>
  <c r="Q435" i="13"/>
  <c r="P435" i="13"/>
  <c r="O435" i="13"/>
  <c r="N435" i="13"/>
  <c r="M435" i="13"/>
  <c r="L435" i="13"/>
  <c r="K435" i="13"/>
  <c r="H435" i="13" a="1"/>
  <c r="H435" i="13" s="1"/>
  <c r="D435" i="13" a="1"/>
  <c r="D435" i="13" s="1"/>
  <c r="G435" i="13" s="1"/>
  <c r="I435" i="13" s="1"/>
  <c r="X434" i="13"/>
  <c r="W434" i="13"/>
  <c r="V434" i="13"/>
  <c r="U434" i="13"/>
  <c r="T434" i="13"/>
  <c r="S434" i="13"/>
  <c r="R434" i="13"/>
  <c r="Q434" i="13"/>
  <c r="P434" i="13"/>
  <c r="O434" i="13"/>
  <c r="N434" i="13"/>
  <c r="M434" i="13"/>
  <c r="L434" i="13"/>
  <c r="K434" i="13"/>
  <c r="H434" i="13" a="1"/>
  <c r="H434" i="13" s="1"/>
  <c r="D434" i="13" a="1"/>
  <c r="D434" i="13" s="1"/>
  <c r="G434" i="13" s="1"/>
  <c r="I434" i="13" s="1"/>
  <c r="X433" i="13"/>
  <c r="W433" i="13"/>
  <c r="V433" i="13"/>
  <c r="U433" i="13"/>
  <c r="T433" i="13"/>
  <c r="S433" i="13"/>
  <c r="R433" i="13"/>
  <c r="Q433" i="13"/>
  <c r="P433" i="13"/>
  <c r="O433" i="13"/>
  <c r="N433" i="13"/>
  <c r="M433" i="13"/>
  <c r="L433" i="13"/>
  <c r="K433" i="13"/>
  <c r="H433" i="13" a="1"/>
  <c r="H433" i="13" s="1"/>
  <c r="D433" i="13" a="1"/>
  <c r="D433" i="13" s="1"/>
  <c r="G433" i="13" s="1"/>
  <c r="I433" i="13" s="1"/>
  <c r="X432" i="13"/>
  <c r="W432" i="13"/>
  <c r="V432" i="13"/>
  <c r="U432" i="13"/>
  <c r="T432" i="13"/>
  <c r="S432" i="13"/>
  <c r="R432" i="13"/>
  <c r="Q432" i="13"/>
  <c r="P432" i="13"/>
  <c r="O432" i="13"/>
  <c r="N432" i="13"/>
  <c r="M432" i="13"/>
  <c r="L432" i="13"/>
  <c r="K432" i="13"/>
  <c r="H432" i="13" a="1"/>
  <c r="H432" i="13" s="1"/>
  <c r="D432" i="13" a="1"/>
  <c r="D432" i="13" s="1"/>
  <c r="G432" i="13" s="1"/>
  <c r="I432" i="13" s="1"/>
  <c r="X431" i="13"/>
  <c r="W431" i="13"/>
  <c r="V431" i="13"/>
  <c r="U431" i="13"/>
  <c r="T431" i="13"/>
  <c r="S431" i="13"/>
  <c r="R431" i="13"/>
  <c r="Q431" i="13"/>
  <c r="P431" i="13"/>
  <c r="O431" i="13"/>
  <c r="N431" i="13"/>
  <c r="M431" i="13"/>
  <c r="L431" i="13"/>
  <c r="K431" i="13"/>
  <c r="H431" i="13" a="1"/>
  <c r="H431" i="13" s="1"/>
  <c r="D431" i="13" a="1"/>
  <c r="D431" i="13" s="1"/>
  <c r="G431" i="13" s="1"/>
  <c r="I431" i="13" s="1"/>
  <c r="X430" i="13"/>
  <c r="W430" i="13"/>
  <c r="V430" i="13"/>
  <c r="U430" i="13"/>
  <c r="T430" i="13"/>
  <c r="S430" i="13"/>
  <c r="R430" i="13"/>
  <c r="Q430" i="13"/>
  <c r="P430" i="13"/>
  <c r="O430" i="13"/>
  <c r="N430" i="13"/>
  <c r="M430" i="13"/>
  <c r="L430" i="13"/>
  <c r="K430" i="13"/>
  <c r="H430" i="13" a="1"/>
  <c r="H430" i="13" s="1"/>
  <c r="D430" i="13" a="1"/>
  <c r="D430" i="13" s="1"/>
  <c r="G430" i="13" s="1"/>
  <c r="I430" i="13" s="1"/>
  <c r="X429" i="13"/>
  <c r="W429" i="13"/>
  <c r="V429" i="13"/>
  <c r="U429" i="13"/>
  <c r="T429" i="13"/>
  <c r="S429" i="13"/>
  <c r="R429" i="13"/>
  <c r="Q429" i="13"/>
  <c r="P429" i="13"/>
  <c r="O429" i="13"/>
  <c r="N429" i="13"/>
  <c r="M429" i="13"/>
  <c r="L429" i="13"/>
  <c r="K429" i="13"/>
  <c r="H429" i="13" a="1"/>
  <c r="H429" i="13" s="1"/>
  <c r="D429" i="13" a="1"/>
  <c r="D429" i="13" s="1"/>
  <c r="G429" i="13" s="1"/>
  <c r="I429" i="13" s="1"/>
  <c r="X428" i="13"/>
  <c r="W428" i="13"/>
  <c r="V428" i="13"/>
  <c r="U428" i="13"/>
  <c r="T428" i="13"/>
  <c r="S428" i="13"/>
  <c r="R428" i="13"/>
  <c r="Q428" i="13"/>
  <c r="P428" i="13"/>
  <c r="O428" i="13"/>
  <c r="N428" i="13"/>
  <c r="M428" i="13"/>
  <c r="L428" i="13"/>
  <c r="K428" i="13"/>
  <c r="H428" i="13" a="1"/>
  <c r="H428" i="13" s="1"/>
  <c r="D428" i="13" a="1"/>
  <c r="D428" i="13" s="1"/>
  <c r="G428" i="13" s="1"/>
  <c r="I428" i="13" s="1"/>
  <c r="X427" i="13"/>
  <c r="W427" i="13"/>
  <c r="V427" i="13"/>
  <c r="U427" i="13"/>
  <c r="T427" i="13"/>
  <c r="S427" i="13"/>
  <c r="R427" i="13"/>
  <c r="Q427" i="13"/>
  <c r="P427" i="13"/>
  <c r="O427" i="13"/>
  <c r="N427" i="13"/>
  <c r="M427" i="13"/>
  <c r="L427" i="13"/>
  <c r="K427" i="13"/>
  <c r="H427" i="13" a="1"/>
  <c r="H427" i="13" s="1"/>
  <c r="D427" i="13" a="1"/>
  <c r="D427" i="13" s="1"/>
  <c r="G427" i="13" s="1"/>
  <c r="I427" i="13" s="1"/>
  <c r="X426" i="13"/>
  <c r="W426" i="13"/>
  <c r="V426" i="13"/>
  <c r="U426" i="13"/>
  <c r="T426" i="13"/>
  <c r="S426" i="13"/>
  <c r="R426" i="13"/>
  <c r="Q426" i="13"/>
  <c r="P426" i="13"/>
  <c r="O426" i="13"/>
  <c r="N426" i="13"/>
  <c r="M426" i="13"/>
  <c r="L426" i="13"/>
  <c r="K426" i="13"/>
  <c r="H426" i="13" a="1"/>
  <c r="H426" i="13" s="1"/>
  <c r="D426" i="13" a="1"/>
  <c r="D426" i="13" s="1"/>
  <c r="G426" i="13" s="1"/>
  <c r="I426" i="13" s="1"/>
  <c r="X425" i="13"/>
  <c r="W425" i="13"/>
  <c r="V425" i="13"/>
  <c r="U425" i="13"/>
  <c r="T425" i="13"/>
  <c r="S425" i="13"/>
  <c r="R425" i="13"/>
  <c r="Q425" i="13"/>
  <c r="P425" i="13"/>
  <c r="O425" i="13"/>
  <c r="N425" i="13"/>
  <c r="M425" i="13"/>
  <c r="L425" i="13"/>
  <c r="K425" i="13"/>
  <c r="H425" i="13" a="1"/>
  <c r="H425" i="13" s="1"/>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H420" i="13" a="1"/>
  <c r="H420" i="13" s="1"/>
  <c r="D420" i="13" a="1"/>
  <c r="D420" i="13" s="1"/>
  <c r="G420" i="13" s="1"/>
  <c r="I420" i="13" s="1"/>
  <c r="X419" i="13"/>
  <c r="W419" i="13"/>
  <c r="V419" i="13"/>
  <c r="U419" i="13"/>
  <c r="T419" i="13"/>
  <c r="S419" i="13"/>
  <c r="R419" i="13"/>
  <c r="Q419" i="13"/>
  <c r="P419" i="13"/>
  <c r="O419" i="13"/>
  <c r="N419" i="13"/>
  <c r="M419" i="13"/>
  <c r="L419" i="13"/>
  <c r="K419" i="13"/>
  <c r="H419" i="13" a="1"/>
  <c r="H419" i="13" s="1"/>
  <c r="D419" i="13" a="1"/>
  <c r="D419" i="13" s="1"/>
  <c r="G419" i="13" s="1"/>
  <c r="I419" i="13" s="1"/>
  <c r="X418" i="13"/>
  <c r="W418" i="13"/>
  <c r="V418" i="13"/>
  <c r="U418" i="13"/>
  <c r="T418" i="13"/>
  <c r="S418" i="13"/>
  <c r="R418" i="13"/>
  <c r="Q418" i="13"/>
  <c r="P418" i="13"/>
  <c r="O418" i="13"/>
  <c r="N418" i="13"/>
  <c r="M418" i="13"/>
  <c r="L418" i="13"/>
  <c r="K418" i="13"/>
  <c r="H418" i="13" a="1"/>
  <c r="H418" i="13" s="1"/>
  <c r="D418" i="13" a="1"/>
  <c r="D418" i="13" s="1"/>
  <c r="G418" i="13" s="1"/>
  <c r="I418" i="13" s="1"/>
  <c r="X417" i="13"/>
  <c r="W417" i="13"/>
  <c r="V417" i="13"/>
  <c r="U417" i="13"/>
  <c r="T417" i="13"/>
  <c r="S417" i="13"/>
  <c r="R417" i="13"/>
  <c r="Q417" i="13"/>
  <c r="P417" i="13"/>
  <c r="O417" i="13"/>
  <c r="N417" i="13"/>
  <c r="M417" i="13"/>
  <c r="L417" i="13"/>
  <c r="K417" i="13"/>
  <c r="H417" i="13" a="1"/>
  <c r="H417" i="13" s="1"/>
  <c r="D417" i="13" a="1"/>
  <c r="D417" i="13" s="1"/>
  <c r="G417" i="13" s="1"/>
  <c r="I417" i="13" s="1"/>
  <c r="X416" i="13"/>
  <c r="W416" i="13"/>
  <c r="V416" i="13"/>
  <c r="U416" i="13"/>
  <c r="T416" i="13"/>
  <c r="S416" i="13"/>
  <c r="R416" i="13"/>
  <c r="Q416" i="13"/>
  <c r="P416" i="13"/>
  <c r="O416" i="13"/>
  <c r="N416" i="13"/>
  <c r="M416" i="13"/>
  <c r="L416" i="13"/>
  <c r="K416" i="13"/>
  <c r="H416" i="13" a="1"/>
  <c r="H416" i="13" s="1"/>
  <c r="D416" i="13" a="1"/>
  <c r="D416" i="13" s="1"/>
  <c r="G416" i="13" s="1"/>
  <c r="I416" i="13" s="1"/>
  <c r="X415" i="13"/>
  <c r="W415" i="13"/>
  <c r="V415" i="13"/>
  <c r="U415" i="13"/>
  <c r="T415" i="13"/>
  <c r="S415" i="13"/>
  <c r="R415" i="13"/>
  <c r="Q415" i="13"/>
  <c r="P415" i="13"/>
  <c r="O415" i="13"/>
  <c r="N415" i="13"/>
  <c r="M415" i="13"/>
  <c r="L415" i="13"/>
  <c r="K415" i="13"/>
  <c r="H415" i="13" a="1"/>
  <c r="H415" i="13" s="1"/>
  <c r="D415" i="13" a="1"/>
  <c r="D415" i="13" s="1"/>
  <c r="G415" i="13" s="1"/>
  <c r="I415" i="13" s="1"/>
  <c r="X414" i="13"/>
  <c r="W414" i="13"/>
  <c r="V414" i="13"/>
  <c r="U414" i="13"/>
  <c r="T414" i="13"/>
  <c r="S414" i="13"/>
  <c r="R414" i="13"/>
  <c r="Q414" i="13"/>
  <c r="P414" i="13"/>
  <c r="O414" i="13"/>
  <c r="N414" i="13"/>
  <c r="M414" i="13"/>
  <c r="L414" i="13"/>
  <c r="K414" i="13"/>
  <c r="H414" i="13" a="1"/>
  <c r="H414" i="13" s="1"/>
  <c r="D414" i="13" a="1"/>
  <c r="D414" i="13" s="1"/>
  <c r="G414" i="13" s="1"/>
  <c r="I414" i="13" s="1"/>
  <c r="X413" i="13"/>
  <c r="W413" i="13"/>
  <c r="V413" i="13"/>
  <c r="U413" i="13"/>
  <c r="T413" i="13"/>
  <c r="S413" i="13"/>
  <c r="R413" i="13"/>
  <c r="Q413" i="13"/>
  <c r="P413" i="13"/>
  <c r="O413" i="13"/>
  <c r="N413" i="13"/>
  <c r="M413" i="13"/>
  <c r="L413" i="13"/>
  <c r="K413" i="13"/>
  <c r="H413" i="13" a="1"/>
  <c r="H413" i="13" s="1"/>
  <c r="D413" i="13" a="1"/>
  <c r="D413" i="13" s="1"/>
  <c r="G413" i="13" s="1"/>
  <c r="I413" i="13" s="1"/>
  <c r="X412" i="13"/>
  <c r="W412" i="13"/>
  <c r="V412" i="13"/>
  <c r="U412" i="13"/>
  <c r="T412" i="13"/>
  <c r="S412" i="13"/>
  <c r="R412" i="13"/>
  <c r="Q412" i="13"/>
  <c r="P412" i="13"/>
  <c r="O412" i="13"/>
  <c r="N412" i="13"/>
  <c r="M412" i="13"/>
  <c r="L412" i="13"/>
  <c r="K412" i="13"/>
  <c r="H412" i="13" a="1"/>
  <c r="H412" i="13" s="1"/>
  <c r="D412" i="13" a="1"/>
  <c r="D412" i="13" s="1"/>
  <c r="G412" i="13" s="1"/>
  <c r="I412" i="13" s="1"/>
  <c r="X411" i="13"/>
  <c r="W411" i="13"/>
  <c r="V411" i="13"/>
  <c r="U411" i="13"/>
  <c r="T411" i="13"/>
  <c r="S411" i="13"/>
  <c r="R411" i="13"/>
  <c r="Q411" i="13"/>
  <c r="P411" i="13"/>
  <c r="O411" i="13"/>
  <c r="N411" i="13"/>
  <c r="M411" i="13"/>
  <c r="L411" i="13"/>
  <c r="K411" i="13"/>
  <c r="H411" i="13" a="1"/>
  <c r="H411" i="13" s="1"/>
  <c r="D411" i="13" a="1"/>
  <c r="D411" i="13" s="1"/>
  <c r="G411" i="13" s="1"/>
  <c r="I411" i="13" s="1"/>
  <c r="X410" i="13"/>
  <c r="W410" i="13"/>
  <c r="V410" i="13"/>
  <c r="U410" i="13"/>
  <c r="T410" i="13"/>
  <c r="S410" i="13"/>
  <c r="R410" i="13"/>
  <c r="Q410" i="13"/>
  <c r="P410" i="13"/>
  <c r="O410" i="13"/>
  <c r="N410" i="13"/>
  <c r="M410" i="13"/>
  <c r="L410" i="13"/>
  <c r="K410" i="13"/>
  <c r="H410" i="13" a="1"/>
  <c r="H410" i="13" s="1"/>
  <c r="D410" i="13" a="1"/>
  <c r="D410" i="13" s="1"/>
  <c r="G410" i="13" s="1"/>
  <c r="I410" i="13" s="1"/>
  <c r="X409" i="13"/>
  <c r="W409" i="13"/>
  <c r="V409" i="13"/>
  <c r="U409" i="13"/>
  <c r="T409" i="13"/>
  <c r="S409" i="13"/>
  <c r="R409" i="13"/>
  <c r="Q409" i="13"/>
  <c r="P409" i="13"/>
  <c r="O409" i="13"/>
  <c r="N409" i="13"/>
  <c r="M409" i="13"/>
  <c r="L409" i="13"/>
  <c r="K409" i="13"/>
  <c r="H409" i="13" a="1"/>
  <c r="H409" i="13" s="1"/>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H404" i="13" a="1"/>
  <c r="H404" i="13" s="1"/>
  <c r="D404" i="13" a="1"/>
  <c r="D404" i="13" s="1"/>
  <c r="G404" i="13" s="1"/>
  <c r="I404" i="13" s="1"/>
  <c r="X403" i="13"/>
  <c r="W403" i="13"/>
  <c r="V403" i="13"/>
  <c r="U403" i="13"/>
  <c r="T403" i="13"/>
  <c r="S403" i="13"/>
  <c r="R403" i="13"/>
  <c r="Q403" i="13"/>
  <c r="P403" i="13"/>
  <c r="O403" i="13"/>
  <c r="N403" i="13"/>
  <c r="M403" i="13"/>
  <c r="L403" i="13"/>
  <c r="K403" i="13"/>
  <c r="H403" i="13" a="1"/>
  <c r="H403" i="13" s="1"/>
  <c r="D403" i="13" a="1"/>
  <c r="D403" i="13" s="1"/>
  <c r="G403" i="13" s="1"/>
  <c r="I403" i="13" s="1"/>
  <c r="X402" i="13"/>
  <c r="W402" i="13"/>
  <c r="V402" i="13"/>
  <c r="U402" i="13"/>
  <c r="T402" i="13"/>
  <c r="S402" i="13"/>
  <c r="R402" i="13"/>
  <c r="Q402" i="13"/>
  <c r="P402" i="13"/>
  <c r="O402" i="13"/>
  <c r="N402" i="13"/>
  <c r="M402" i="13"/>
  <c r="L402" i="13"/>
  <c r="K402" i="13"/>
  <c r="H402" i="13" a="1"/>
  <c r="H402" i="13" s="1"/>
  <c r="D402" i="13" a="1"/>
  <c r="D402" i="13" s="1"/>
  <c r="G402" i="13" s="1"/>
  <c r="I402" i="13" s="1"/>
  <c r="X401" i="13"/>
  <c r="W401" i="13"/>
  <c r="V401" i="13"/>
  <c r="U401" i="13"/>
  <c r="T401" i="13"/>
  <c r="S401" i="13"/>
  <c r="R401" i="13"/>
  <c r="Q401" i="13"/>
  <c r="P401" i="13"/>
  <c r="O401" i="13"/>
  <c r="N401" i="13"/>
  <c r="M401" i="13"/>
  <c r="L401" i="13"/>
  <c r="K401" i="13"/>
  <c r="H401" i="13" a="1"/>
  <c r="H401" i="13" s="1"/>
  <c r="D401" i="13" a="1"/>
  <c r="D401" i="13" s="1"/>
  <c r="G401" i="13" s="1"/>
  <c r="I401" i="13" s="1"/>
  <c r="X400" i="13"/>
  <c r="W400" i="13"/>
  <c r="V400" i="13"/>
  <c r="U400" i="13"/>
  <c r="T400" i="13"/>
  <c r="S400" i="13"/>
  <c r="R400" i="13"/>
  <c r="Q400" i="13"/>
  <c r="P400" i="13"/>
  <c r="O400" i="13"/>
  <c r="N400" i="13"/>
  <c r="M400" i="13"/>
  <c r="L400" i="13"/>
  <c r="K400" i="13"/>
  <c r="H400" i="13" a="1"/>
  <c r="H400" i="13" s="1"/>
  <c r="D400" i="13" a="1"/>
  <c r="D400" i="13" s="1"/>
  <c r="G400" i="13" s="1"/>
  <c r="I400" i="13" s="1"/>
  <c r="X399" i="13"/>
  <c r="W399" i="13"/>
  <c r="V399" i="13"/>
  <c r="U399" i="13"/>
  <c r="T399" i="13"/>
  <c r="S399" i="13"/>
  <c r="R399" i="13"/>
  <c r="Q399" i="13"/>
  <c r="P399" i="13"/>
  <c r="O399" i="13"/>
  <c r="N399" i="13"/>
  <c r="M399" i="13"/>
  <c r="L399" i="13"/>
  <c r="K399" i="13"/>
  <c r="H399" i="13" a="1"/>
  <c r="H399" i="13" s="1"/>
  <c r="D399" i="13" a="1"/>
  <c r="D399" i="13" s="1"/>
  <c r="G399" i="13" s="1"/>
  <c r="I399" i="13" s="1"/>
  <c r="X398" i="13"/>
  <c r="W398" i="13"/>
  <c r="V398" i="13"/>
  <c r="U398" i="13"/>
  <c r="T398" i="13"/>
  <c r="S398" i="13"/>
  <c r="R398" i="13"/>
  <c r="Q398" i="13"/>
  <c r="P398" i="13"/>
  <c r="O398" i="13"/>
  <c r="N398" i="13"/>
  <c r="M398" i="13"/>
  <c r="L398" i="13"/>
  <c r="K398" i="13"/>
  <c r="H398" i="13" a="1"/>
  <c r="H398" i="13" s="1"/>
  <c r="D398" i="13" a="1"/>
  <c r="D398" i="13" s="1"/>
  <c r="G398" i="13" s="1"/>
  <c r="I398" i="13" s="1"/>
  <c r="X397" i="13"/>
  <c r="W397" i="13"/>
  <c r="V397" i="13"/>
  <c r="U397" i="13"/>
  <c r="T397" i="13"/>
  <c r="S397" i="13"/>
  <c r="R397" i="13"/>
  <c r="Q397" i="13"/>
  <c r="P397" i="13"/>
  <c r="O397" i="13"/>
  <c r="N397" i="13"/>
  <c r="M397" i="13"/>
  <c r="L397" i="13"/>
  <c r="K397" i="13"/>
  <c r="H397" i="13" a="1"/>
  <c r="H397" i="13" s="1"/>
  <c r="D397" i="13" a="1"/>
  <c r="D397" i="13" s="1"/>
  <c r="G397" i="13" s="1"/>
  <c r="I397" i="13" s="1"/>
  <c r="X396" i="13"/>
  <c r="W396" i="13"/>
  <c r="V396" i="13"/>
  <c r="U396" i="13"/>
  <c r="T396" i="13"/>
  <c r="S396" i="13"/>
  <c r="R396" i="13"/>
  <c r="Q396" i="13"/>
  <c r="P396" i="13"/>
  <c r="O396" i="13"/>
  <c r="N396" i="13"/>
  <c r="M396" i="13"/>
  <c r="L396" i="13"/>
  <c r="K396" i="13"/>
  <c r="H396" i="13" a="1"/>
  <c r="H396" i="13" s="1"/>
  <c r="D396" i="13" a="1"/>
  <c r="D396" i="13" s="1"/>
  <c r="G396" i="13" s="1"/>
  <c r="I396" i="13" s="1"/>
  <c r="X395" i="13"/>
  <c r="W395" i="13"/>
  <c r="V395" i="13"/>
  <c r="U395" i="13"/>
  <c r="T395" i="13"/>
  <c r="S395" i="13"/>
  <c r="R395" i="13"/>
  <c r="Q395" i="13"/>
  <c r="P395" i="13"/>
  <c r="O395" i="13"/>
  <c r="N395" i="13"/>
  <c r="M395" i="13"/>
  <c r="L395" i="13"/>
  <c r="K395" i="13"/>
  <c r="H395" i="13" a="1"/>
  <c r="H395" i="13" s="1"/>
  <c r="D395" i="13" a="1"/>
  <c r="D395" i="13" s="1"/>
  <c r="G395" i="13" s="1"/>
  <c r="I395" i="13" s="1"/>
  <c r="X394" i="13"/>
  <c r="W394" i="13"/>
  <c r="V394" i="13"/>
  <c r="U394" i="13"/>
  <c r="T394" i="13"/>
  <c r="S394" i="13"/>
  <c r="R394" i="13"/>
  <c r="Q394" i="13"/>
  <c r="P394" i="13"/>
  <c r="O394" i="13"/>
  <c r="N394" i="13"/>
  <c r="M394" i="13"/>
  <c r="L394" i="13"/>
  <c r="K394" i="13"/>
  <c r="H394" i="13" a="1"/>
  <c r="H394" i="13" s="1"/>
  <c r="D394" i="13" a="1"/>
  <c r="D394" i="13" s="1"/>
  <c r="G394" i="13" s="1"/>
  <c r="I394" i="13" s="1"/>
  <c r="X393" i="13"/>
  <c r="W393" i="13"/>
  <c r="V393" i="13"/>
  <c r="U393" i="13"/>
  <c r="T393" i="13"/>
  <c r="S393" i="13"/>
  <c r="R393" i="13"/>
  <c r="Q393" i="13"/>
  <c r="P393" i="13"/>
  <c r="O393" i="13"/>
  <c r="N393" i="13"/>
  <c r="M393" i="13"/>
  <c r="L393" i="13"/>
  <c r="K393" i="13"/>
  <c r="H393" i="13" a="1"/>
  <c r="H393" i="13" s="1"/>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H388" i="13" a="1"/>
  <c r="H388" i="13" s="1"/>
  <c r="D388" i="13" a="1"/>
  <c r="D388" i="13" s="1"/>
  <c r="G388" i="13" s="1"/>
  <c r="I388" i="13" s="1"/>
  <c r="X387" i="13"/>
  <c r="W387" i="13"/>
  <c r="V387" i="13"/>
  <c r="U387" i="13"/>
  <c r="T387" i="13"/>
  <c r="S387" i="13"/>
  <c r="R387" i="13"/>
  <c r="Q387" i="13"/>
  <c r="P387" i="13"/>
  <c r="O387" i="13"/>
  <c r="N387" i="13"/>
  <c r="M387" i="13"/>
  <c r="L387" i="13"/>
  <c r="K387" i="13"/>
  <c r="H387" i="13" a="1"/>
  <c r="H387" i="13" s="1"/>
  <c r="D387" i="13" a="1"/>
  <c r="D387" i="13" s="1"/>
  <c r="G387" i="13" s="1"/>
  <c r="I387" i="13" s="1"/>
  <c r="X386" i="13"/>
  <c r="W386" i="13"/>
  <c r="V386" i="13"/>
  <c r="U386" i="13"/>
  <c r="T386" i="13"/>
  <c r="S386" i="13"/>
  <c r="R386" i="13"/>
  <c r="Q386" i="13"/>
  <c r="P386" i="13"/>
  <c r="O386" i="13"/>
  <c r="N386" i="13"/>
  <c r="M386" i="13"/>
  <c r="L386" i="13"/>
  <c r="K386" i="13"/>
  <c r="H386" i="13" a="1"/>
  <c r="H386" i="13" s="1"/>
  <c r="D386" i="13" a="1"/>
  <c r="D386" i="13" s="1"/>
  <c r="G386" i="13" s="1"/>
  <c r="I386" i="13" s="1"/>
  <c r="X385" i="13"/>
  <c r="W385" i="13"/>
  <c r="V385" i="13"/>
  <c r="U385" i="13"/>
  <c r="T385" i="13"/>
  <c r="S385" i="13"/>
  <c r="R385" i="13"/>
  <c r="Q385" i="13"/>
  <c r="P385" i="13"/>
  <c r="O385" i="13"/>
  <c r="N385" i="13"/>
  <c r="M385" i="13"/>
  <c r="L385" i="13"/>
  <c r="K385" i="13"/>
  <c r="H385" i="13" a="1"/>
  <c r="H385" i="13" s="1"/>
  <c r="D385" i="13" a="1"/>
  <c r="D385" i="13" s="1"/>
  <c r="G385" i="13" s="1"/>
  <c r="I385" i="13" s="1"/>
  <c r="X384" i="13"/>
  <c r="W384" i="13"/>
  <c r="V384" i="13"/>
  <c r="U384" i="13"/>
  <c r="T384" i="13"/>
  <c r="S384" i="13"/>
  <c r="R384" i="13"/>
  <c r="Q384" i="13"/>
  <c r="P384" i="13"/>
  <c r="O384" i="13"/>
  <c r="N384" i="13"/>
  <c r="M384" i="13"/>
  <c r="L384" i="13"/>
  <c r="K384" i="13"/>
  <c r="H384" i="13" a="1"/>
  <c r="H384" i="13" s="1"/>
  <c r="D384" i="13" a="1"/>
  <c r="D384" i="13" s="1"/>
  <c r="G384" i="13" s="1"/>
  <c r="I384" i="13" s="1"/>
  <c r="X383" i="13"/>
  <c r="W383" i="13"/>
  <c r="V383" i="13"/>
  <c r="U383" i="13"/>
  <c r="T383" i="13"/>
  <c r="S383" i="13"/>
  <c r="R383" i="13"/>
  <c r="Q383" i="13"/>
  <c r="P383" i="13"/>
  <c r="O383" i="13"/>
  <c r="N383" i="13"/>
  <c r="M383" i="13"/>
  <c r="L383" i="13"/>
  <c r="K383" i="13"/>
  <c r="H383" i="13" a="1"/>
  <c r="H383" i="13" s="1"/>
  <c r="D383" i="13" a="1"/>
  <c r="D383" i="13" s="1"/>
  <c r="G383" i="13" s="1"/>
  <c r="I383" i="13" s="1"/>
  <c r="X382" i="13"/>
  <c r="W382" i="13"/>
  <c r="V382" i="13"/>
  <c r="U382" i="13"/>
  <c r="T382" i="13"/>
  <c r="S382" i="13"/>
  <c r="R382" i="13"/>
  <c r="Q382" i="13"/>
  <c r="P382" i="13"/>
  <c r="O382" i="13"/>
  <c r="N382" i="13"/>
  <c r="M382" i="13"/>
  <c r="L382" i="13"/>
  <c r="K382" i="13"/>
  <c r="H382" i="13" a="1"/>
  <c r="H382" i="13" s="1"/>
  <c r="D382" i="13" a="1"/>
  <c r="D382" i="13" s="1"/>
  <c r="G382" i="13" s="1"/>
  <c r="I382" i="13" s="1"/>
  <c r="X381" i="13"/>
  <c r="W381" i="13"/>
  <c r="V381" i="13"/>
  <c r="U381" i="13"/>
  <c r="T381" i="13"/>
  <c r="S381" i="13"/>
  <c r="R381" i="13"/>
  <c r="Q381" i="13"/>
  <c r="P381" i="13"/>
  <c r="O381" i="13"/>
  <c r="N381" i="13"/>
  <c r="M381" i="13"/>
  <c r="L381" i="13"/>
  <c r="K381" i="13"/>
  <c r="H381" i="13" a="1"/>
  <c r="H381" i="13" s="1"/>
  <c r="D381" i="13" a="1"/>
  <c r="D381" i="13" s="1"/>
  <c r="G381" i="13" s="1"/>
  <c r="I381" i="13" s="1"/>
  <c r="X380" i="13"/>
  <c r="W380" i="13"/>
  <c r="V380" i="13"/>
  <c r="U380" i="13"/>
  <c r="T380" i="13"/>
  <c r="S380" i="13"/>
  <c r="R380" i="13"/>
  <c r="Q380" i="13"/>
  <c r="P380" i="13"/>
  <c r="O380" i="13"/>
  <c r="N380" i="13"/>
  <c r="M380" i="13"/>
  <c r="L380" i="13"/>
  <c r="K380" i="13"/>
  <c r="H380" i="13" a="1"/>
  <c r="H380" i="13" s="1"/>
  <c r="D380" i="13" a="1"/>
  <c r="D380" i="13" s="1"/>
  <c r="G380" i="13" s="1"/>
  <c r="I380" i="13" s="1"/>
  <c r="X379" i="13"/>
  <c r="W379" i="13"/>
  <c r="V379" i="13"/>
  <c r="U379" i="13"/>
  <c r="T379" i="13"/>
  <c r="S379" i="13"/>
  <c r="R379" i="13"/>
  <c r="Q379" i="13"/>
  <c r="P379" i="13"/>
  <c r="O379" i="13"/>
  <c r="N379" i="13"/>
  <c r="M379" i="13"/>
  <c r="L379" i="13"/>
  <c r="K379" i="13"/>
  <c r="H379" i="13" a="1"/>
  <c r="H379" i="13" s="1"/>
  <c r="D379" i="13" a="1"/>
  <c r="D379" i="13" s="1"/>
  <c r="G379" i="13" s="1"/>
  <c r="I379" i="13" s="1"/>
  <c r="X378" i="13"/>
  <c r="W378" i="13"/>
  <c r="V378" i="13"/>
  <c r="U378" i="13"/>
  <c r="T378" i="13"/>
  <c r="S378" i="13"/>
  <c r="R378" i="13"/>
  <c r="Q378" i="13"/>
  <c r="P378" i="13"/>
  <c r="O378" i="13"/>
  <c r="N378" i="13"/>
  <c r="M378" i="13"/>
  <c r="L378" i="13"/>
  <c r="K378" i="13"/>
  <c r="H378" i="13" a="1"/>
  <c r="H378" i="13" s="1"/>
  <c r="D378" i="13" a="1"/>
  <c r="D378" i="13" s="1"/>
  <c r="G378" i="13" s="1"/>
  <c r="I378" i="13" s="1"/>
  <c r="X377" i="13"/>
  <c r="W377" i="13"/>
  <c r="V377" i="13"/>
  <c r="U377" i="13"/>
  <c r="T377" i="13"/>
  <c r="S377" i="13"/>
  <c r="R377" i="13"/>
  <c r="Q377" i="13"/>
  <c r="P377" i="13"/>
  <c r="O377" i="13"/>
  <c r="N377" i="13"/>
  <c r="M377" i="13"/>
  <c r="L377" i="13"/>
  <c r="K377" i="13"/>
  <c r="H377" i="13" a="1"/>
  <c r="H377" i="13" s="1"/>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H372" i="13" a="1"/>
  <c r="H372" i="13" s="1"/>
  <c r="D372" i="13" a="1"/>
  <c r="D372" i="13" s="1"/>
  <c r="G372" i="13" s="1"/>
  <c r="I372" i="13" s="1"/>
  <c r="X371" i="13"/>
  <c r="W371" i="13"/>
  <c r="V371" i="13"/>
  <c r="U371" i="13"/>
  <c r="T371" i="13"/>
  <c r="S371" i="13"/>
  <c r="R371" i="13"/>
  <c r="Q371" i="13"/>
  <c r="P371" i="13"/>
  <c r="O371" i="13"/>
  <c r="N371" i="13"/>
  <c r="M371" i="13"/>
  <c r="L371" i="13"/>
  <c r="K371" i="13"/>
  <c r="H371" i="13" a="1"/>
  <c r="H371" i="13" s="1"/>
  <c r="D371" i="13" a="1"/>
  <c r="D371" i="13" s="1"/>
  <c r="G371" i="13" s="1"/>
  <c r="I371" i="13" s="1"/>
  <c r="X370" i="13"/>
  <c r="W370" i="13"/>
  <c r="V370" i="13"/>
  <c r="U370" i="13"/>
  <c r="T370" i="13"/>
  <c r="S370" i="13"/>
  <c r="R370" i="13"/>
  <c r="Q370" i="13"/>
  <c r="P370" i="13"/>
  <c r="O370" i="13"/>
  <c r="N370" i="13"/>
  <c r="M370" i="13"/>
  <c r="L370" i="13"/>
  <c r="K370" i="13"/>
  <c r="H370" i="13" a="1"/>
  <c r="H370" i="13" s="1"/>
  <c r="D370" i="13" a="1"/>
  <c r="D370" i="13" s="1"/>
  <c r="G370" i="13" s="1"/>
  <c r="I370" i="13" s="1"/>
  <c r="X369" i="13"/>
  <c r="W369" i="13"/>
  <c r="V369" i="13"/>
  <c r="U369" i="13"/>
  <c r="T369" i="13"/>
  <c r="S369" i="13"/>
  <c r="R369" i="13"/>
  <c r="Q369" i="13"/>
  <c r="P369" i="13"/>
  <c r="O369" i="13"/>
  <c r="N369" i="13"/>
  <c r="M369" i="13"/>
  <c r="L369" i="13"/>
  <c r="K369" i="13"/>
  <c r="H369" i="13" a="1"/>
  <c r="H369" i="13" s="1"/>
  <c r="D369" i="13" a="1"/>
  <c r="D369" i="13" s="1"/>
  <c r="G369" i="13" s="1"/>
  <c r="I369" i="13" s="1"/>
  <c r="X368" i="13"/>
  <c r="W368" i="13"/>
  <c r="V368" i="13"/>
  <c r="U368" i="13"/>
  <c r="T368" i="13"/>
  <c r="S368" i="13"/>
  <c r="R368" i="13"/>
  <c r="Q368" i="13"/>
  <c r="P368" i="13"/>
  <c r="O368" i="13"/>
  <c r="N368" i="13"/>
  <c r="M368" i="13"/>
  <c r="L368" i="13"/>
  <c r="K368" i="13"/>
  <c r="H368" i="13" a="1"/>
  <c r="H368" i="13" s="1"/>
  <c r="D368" i="13" a="1"/>
  <c r="D368" i="13" s="1"/>
  <c r="G368" i="13" s="1"/>
  <c r="I368" i="13" s="1"/>
  <c r="X367" i="13"/>
  <c r="W367" i="13"/>
  <c r="V367" i="13"/>
  <c r="U367" i="13"/>
  <c r="T367" i="13"/>
  <c r="S367" i="13"/>
  <c r="R367" i="13"/>
  <c r="Q367" i="13"/>
  <c r="P367" i="13"/>
  <c r="O367" i="13"/>
  <c r="N367" i="13"/>
  <c r="M367" i="13"/>
  <c r="L367" i="13"/>
  <c r="K367" i="13"/>
  <c r="H367" i="13" a="1"/>
  <c r="H367" i="13" s="1"/>
  <c r="D367" i="13" a="1"/>
  <c r="D367" i="13" s="1"/>
  <c r="G367" i="13" s="1"/>
  <c r="I367" i="13" s="1"/>
  <c r="X366" i="13"/>
  <c r="W366" i="13"/>
  <c r="V366" i="13"/>
  <c r="U366" i="13"/>
  <c r="T366" i="13"/>
  <c r="S366" i="13"/>
  <c r="R366" i="13"/>
  <c r="Q366" i="13"/>
  <c r="P366" i="13"/>
  <c r="O366" i="13"/>
  <c r="N366" i="13"/>
  <c r="M366" i="13"/>
  <c r="L366" i="13"/>
  <c r="K366" i="13"/>
  <c r="H366" i="13" a="1"/>
  <c r="H366" i="13" s="1"/>
  <c r="D366" i="13" a="1"/>
  <c r="D366" i="13" s="1"/>
  <c r="G366" i="13" s="1"/>
  <c r="I366" i="13" s="1"/>
  <c r="X365" i="13"/>
  <c r="W365" i="13"/>
  <c r="V365" i="13"/>
  <c r="U365" i="13"/>
  <c r="T365" i="13"/>
  <c r="S365" i="13"/>
  <c r="R365" i="13"/>
  <c r="Q365" i="13"/>
  <c r="P365" i="13"/>
  <c r="O365" i="13"/>
  <c r="N365" i="13"/>
  <c r="M365" i="13"/>
  <c r="L365" i="13"/>
  <c r="K365" i="13"/>
  <c r="H365" i="13" a="1"/>
  <c r="H365" i="13" s="1"/>
  <c r="D365" i="13" a="1"/>
  <c r="D365" i="13" s="1"/>
  <c r="G365" i="13" s="1"/>
  <c r="I365" i="13" s="1"/>
  <c r="X364" i="13"/>
  <c r="W364" i="13"/>
  <c r="V364" i="13"/>
  <c r="U364" i="13"/>
  <c r="T364" i="13"/>
  <c r="S364" i="13"/>
  <c r="R364" i="13"/>
  <c r="Q364" i="13"/>
  <c r="P364" i="13"/>
  <c r="O364" i="13"/>
  <c r="N364" i="13"/>
  <c r="M364" i="13"/>
  <c r="L364" i="13"/>
  <c r="K364" i="13"/>
  <c r="H364" i="13" a="1"/>
  <c r="H364" i="13" s="1"/>
  <c r="D364" i="13" a="1"/>
  <c r="D364" i="13" s="1"/>
  <c r="G364" i="13" s="1"/>
  <c r="I364" i="13" s="1"/>
  <c r="X363" i="13"/>
  <c r="W363" i="13"/>
  <c r="V363" i="13"/>
  <c r="U363" i="13"/>
  <c r="T363" i="13"/>
  <c r="S363" i="13"/>
  <c r="R363" i="13"/>
  <c r="Q363" i="13"/>
  <c r="P363" i="13"/>
  <c r="O363" i="13"/>
  <c r="N363" i="13"/>
  <c r="M363" i="13"/>
  <c r="L363" i="13"/>
  <c r="K363" i="13"/>
  <c r="H363" i="13" a="1"/>
  <c r="H363" i="13" s="1"/>
  <c r="D363" i="13" a="1"/>
  <c r="D363" i="13" s="1"/>
  <c r="G363" i="13" s="1"/>
  <c r="I363" i="13" s="1"/>
  <c r="X362" i="13"/>
  <c r="W362" i="13"/>
  <c r="V362" i="13"/>
  <c r="U362" i="13"/>
  <c r="T362" i="13"/>
  <c r="S362" i="13"/>
  <c r="R362" i="13"/>
  <c r="Q362" i="13"/>
  <c r="P362" i="13"/>
  <c r="O362" i="13"/>
  <c r="N362" i="13"/>
  <c r="M362" i="13"/>
  <c r="L362" i="13"/>
  <c r="K362" i="13"/>
  <c r="H362" i="13" a="1"/>
  <c r="H362" i="13" s="1"/>
  <c r="D362" i="13" a="1"/>
  <c r="D362" i="13" s="1"/>
  <c r="G362" i="13" s="1"/>
  <c r="I362" i="13" s="1"/>
  <c r="X361" i="13"/>
  <c r="W361" i="13"/>
  <c r="V361" i="13"/>
  <c r="U361" i="13"/>
  <c r="T361" i="13"/>
  <c r="S361" i="13"/>
  <c r="R361" i="13"/>
  <c r="Q361" i="13"/>
  <c r="P361" i="13"/>
  <c r="O361" i="13"/>
  <c r="N361" i="13"/>
  <c r="M361" i="13"/>
  <c r="L361" i="13"/>
  <c r="K361" i="13"/>
  <c r="H361" i="13" a="1"/>
  <c r="H361" i="13" s="1"/>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H356" i="13" a="1"/>
  <c r="H356" i="13" s="1"/>
  <c r="D356" i="13" a="1"/>
  <c r="D356" i="13" s="1"/>
  <c r="G356" i="13" s="1"/>
  <c r="I356" i="13" s="1"/>
  <c r="X355" i="13"/>
  <c r="W355" i="13"/>
  <c r="V355" i="13"/>
  <c r="U355" i="13"/>
  <c r="T355" i="13"/>
  <c r="S355" i="13"/>
  <c r="R355" i="13"/>
  <c r="Q355" i="13"/>
  <c r="P355" i="13"/>
  <c r="O355" i="13"/>
  <c r="N355" i="13"/>
  <c r="M355" i="13"/>
  <c r="L355" i="13"/>
  <c r="K355" i="13"/>
  <c r="H355" i="13" a="1"/>
  <c r="H355" i="13" s="1"/>
  <c r="D355" i="13" a="1"/>
  <c r="D355" i="13" s="1"/>
  <c r="G355" i="13" s="1"/>
  <c r="I355" i="13" s="1"/>
  <c r="X354" i="13"/>
  <c r="W354" i="13"/>
  <c r="V354" i="13"/>
  <c r="U354" i="13"/>
  <c r="T354" i="13"/>
  <c r="S354" i="13"/>
  <c r="R354" i="13"/>
  <c r="Q354" i="13"/>
  <c r="P354" i="13"/>
  <c r="O354" i="13"/>
  <c r="N354" i="13"/>
  <c r="M354" i="13"/>
  <c r="L354" i="13"/>
  <c r="K354" i="13"/>
  <c r="H354" i="13" a="1"/>
  <c r="H354" i="13" s="1"/>
  <c r="D354" i="13" a="1"/>
  <c r="D354" i="13" s="1"/>
  <c r="G354" i="13" s="1"/>
  <c r="I354" i="13" s="1"/>
  <c r="X353" i="13"/>
  <c r="W353" i="13"/>
  <c r="V353" i="13"/>
  <c r="U353" i="13"/>
  <c r="T353" i="13"/>
  <c r="S353" i="13"/>
  <c r="R353" i="13"/>
  <c r="Q353" i="13"/>
  <c r="P353" i="13"/>
  <c r="O353" i="13"/>
  <c r="N353" i="13"/>
  <c r="M353" i="13"/>
  <c r="L353" i="13"/>
  <c r="K353" i="13"/>
  <c r="H353" i="13" a="1"/>
  <c r="H353" i="13" s="1"/>
  <c r="D353" i="13" a="1"/>
  <c r="D353" i="13" s="1"/>
  <c r="G353" i="13" s="1"/>
  <c r="I353" i="13" s="1"/>
  <c r="X352" i="13"/>
  <c r="W352" i="13"/>
  <c r="V352" i="13"/>
  <c r="U352" i="13"/>
  <c r="T352" i="13"/>
  <c r="S352" i="13"/>
  <c r="R352" i="13"/>
  <c r="Q352" i="13"/>
  <c r="P352" i="13"/>
  <c r="O352" i="13"/>
  <c r="N352" i="13"/>
  <c r="M352" i="13"/>
  <c r="L352" i="13"/>
  <c r="K352" i="13"/>
  <c r="H352" i="13" a="1"/>
  <c r="H352" i="13" s="1"/>
  <c r="D352" i="13" a="1"/>
  <c r="D352" i="13" s="1"/>
  <c r="G352" i="13" s="1"/>
  <c r="I352" i="13" s="1"/>
  <c r="X351" i="13"/>
  <c r="W351" i="13"/>
  <c r="V351" i="13"/>
  <c r="U351" i="13"/>
  <c r="T351" i="13"/>
  <c r="S351" i="13"/>
  <c r="R351" i="13"/>
  <c r="Q351" i="13"/>
  <c r="P351" i="13"/>
  <c r="O351" i="13"/>
  <c r="N351" i="13"/>
  <c r="M351" i="13"/>
  <c r="L351" i="13"/>
  <c r="K351" i="13"/>
  <c r="H351" i="13" a="1"/>
  <c r="H351" i="13" s="1"/>
  <c r="D351" i="13" a="1"/>
  <c r="D351" i="13" s="1"/>
  <c r="G351" i="13" s="1"/>
  <c r="I351" i="13" s="1"/>
  <c r="X350" i="13"/>
  <c r="W350" i="13"/>
  <c r="V350" i="13"/>
  <c r="U350" i="13"/>
  <c r="T350" i="13"/>
  <c r="S350" i="13"/>
  <c r="R350" i="13"/>
  <c r="Q350" i="13"/>
  <c r="P350" i="13"/>
  <c r="O350" i="13"/>
  <c r="N350" i="13"/>
  <c r="M350" i="13"/>
  <c r="L350" i="13"/>
  <c r="K350" i="13"/>
  <c r="H350" i="13" a="1"/>
  <c r="H350" i="13" s="1"/>
  <c r="D350" i="13" a="1"/>
  <c r="D350" i="13" s="1"/>
  <c r="G350" i="13" s="1"/>
  <c r="I350" i="13" s="1"/>
  <c r="X349" i="13"/>
  <c r="W349" i="13"/>
  <c r="V349" i="13"/>
  <c r="U349" i="13"/>
  <c r="T349" i="13"/>
  <c r="S349" i="13"/>
  <c r="R349" i="13"/>
  <c r="Q349" i="13"/>
  <c r="P349" i="13"/>
  <c r="O349" i="13"/>
  <c r="N349" i="13"/>
  <c r="M349" i="13"/>
  <c r="L349" i="13"/>
  <c r="K349" i="13"/>
  <c r="H349" i="13" a="1"/>
  <c r="H349" i="13" s="1"/>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W335" i="13"/>
  <c r="V335" i="13"/>
  <c r="U335" i="13"/>
  <c r="T335" i="13"/>
  <c r="S335" i="13"/>
  <c r="R335" i="13"/>
  <c r="Q335" i="13"/>
  <c r="P335" i="13"/>
  <c r="O335" i="13"/>
  <c r="N335" i="13"/>
  <c r="M335" i="13"/>
  <c r="L335" i="13"/>
  <c r="K335" i="13"/>
  <c r="H335" i="13" a="1"/>
  <c r="H335" i="13" s="1"/>
  <c r="D335" i="13" a="1"/>
  <c r="D335" i="13" s="1"/>
  <c r="G335" i="13" s="1"/>
  <c r="I335" i="13" s="1"/>
  <c r="X334" i="13"/>
  <c r="W334" i="13"/>
  <c r="V334" i="13"/>
  <c r="U334" i="13"/>
  <c r="T334" i="13"/>
  <c r="S334" i="13"/>
  <c r="R334" i="13"/>
  <c r="Q334" i="13"/>
  <c r="P334" i="13"/>
  <c r="O334" i="13"/>
  <c r="N334" i="13"/>
  <c r="M334" i="13"/>
  <c r="L334" i="13"/>
  <c r="K334" i="13"/>
  <c r="H334" i="13" a="1"/>
  <c r="H334" i="13" s="1"/>
  <c r="D334" i="13" a="1"/>
  <c r="D334" i="13" s="1"/>
  <c r="G334" i="13" s="1"/>
  <c r="I334" i="13" s="1"/>
  <c r="X333" i="13"/>
  <c r="W333" i="13"/>
  <c r="V333" i="13"/>
  <c r="U333" i="13"/>
  <c r="T333" i="13"/>
  <c r="S333" i="13"/>
  <c r="R333" i="13"/>
  <c r="Q333" i="13"/>
  <c r="P333" i="13"/>
  <c r="O333" i="13"/>
  <c r="N333" i="13"/>
  <c r="M333" i="13"/>
  <c r="L333" i="13"/>
  <c r="K333" i="13"/>
  <c r="H333" i="13" a="1"/>
  <c r="H333" i="13" s="1"/>
  <c r="D333" i="13" a="1"/>
  <c r="D333" i="13" s="1"/>
  <c r="G333" i="13" s="1"/>
  <c r="I333" i="13" s="1"/>
  <c r="X332" i="13"/>
  <c r="W332" i="13"/>
  <c r="V332" i="13"/>
  <c r="U332" i="13"/>
  <c r="T332" i="13"/>
  <c r="S332" i="13"/>
  <c r="R332" i="13"/>
  <c r="Q332" i="13"/>
  <c r="P332" i="13"/>
  <c r="O332" i="13"/>
  <c r="N332" i="13"/>
  <c r="M332" i="13"/>
  <c r="L332" i="13"/>
  <c r="K332" i="13"/>
  <c r="H332" i="13" a="1"/>
  <c r="H332" i="13" s="1"/>
  <c r="D332" i="13" a="1"/>
  <c r="D332" i="13" s="1"/>
  <c r="G332" i="13" s="1"/>
  <c r="I332" i="13" s="1"/>
  <c r="X331" i="13"/>
  <c r="W331" i="13"/>
  <c r="V331" i="13"/>
  <c r="U331" i="13"/>
  <c r="T331" i="13"/>
  <c r="S331" i="13"/>
  <c r="R331" i="13"/>
  <c r="Q331" i="13"/>
  <c r="P331" i="13"/>
  <c r="O331" i="13"/>
  <c r="N331" i="13"/>
  <c r="M331" i="13"/>
  <c r="L331" i="13"/>
  <c r="K331" i="13"/>
  <c r="H331" i="13" a="1"/>
  <c r="H331" i="13" s="1"/>
  <c r="D331" i="13" a="1"/>
  <c r="D331" i="13" s="1"/>
  <c r="G331" i="13" s="1"/>
  <c r="I331" i="13" s="1"/>
  <c r="X330" i="13"/>
  <c r="W330" i="13"/>
  <c r="V330" i="13"/>
  <c r="U330" i="13"/>
  <c r="T330" i="13"/>
  <c r="S330" i="13"/>
  <c r="R330" i="13"/>
  <c r="Q330" i="13"/>
  <c r="P330" i="13"/>
  <c r="O330" i="13"/>
  <c r="N330" i="13"/>
  <c r="M330" i="13"/>
  <c r="L330" i="13"/>
  <c r="K330" i="13"/>
  <c r="H330" i="13" a="1"/>
  <c r="H330" i="13" s="1"/>
  <c r="D330" i="13" a="1"/>
  <c r="D330" i="13" s="1"/>
  <c r="G330" i="13" s="1"/>
  <c r="I330" i="13" s="1"/>
  <c r="X329" i="13"/>
  <c r="W329" i="13"/>
  <c r="V329" i="13"/>
  <c r="U329" i="13"/>
  <c r="T329" i="13"/>
  <c r="S329" i="13"/>
  <c r="R329" i="13"/>
  <c r="Q329" i="13"/>
  <c r="P329" i="13"/>
  <c r="O329" i="13"/>
  <c r="N329" i="13"/>
  <c r="M329" i="13"/>
  <c r="L329" i="13"/>
  <c r="K329" i="13"/>
  <c r="H329" i="13" a="1"/>
  <c r="H329" i="13" s="1"/>
  <c r="D329" i="13" a="1"/>
  <c r="D329" i="13" s="1"/>
  <c r="G329" i="13" s="1"/>
  <c r="I329" i="13" s="1"/>
  <c r="X328" i="13"/>
  <c r="W328" i="13"/>
  <c r="V328" i="13"/>
  <c r="U328" i="13"/>
  <c r="T328" i="13"/>
  <c r="S328" i="13"/>
  <c r="R328" i="13"/>
  <c r="Q328" i="13"/>
  <c r="P328" i="13"/>
  <c r="O328" i="13"/>
  <c r="N328" i="13"/>
  <c r="M328" i="13"/>
  <c r="L328" i="13"/>
  <c r="K328" i="13"/>
  <c r="D328" i="13" a="1"/>
  <c r="D328" i="13" s="1"/>
  <c r="G328" i="13" s="1"/>
  <c r="I328" i="13" s="1"/>
  <c r="X327" i="13"/>
  <c r="W327" i="13"/>
  <c r="V327" i="13"/>
  <c r="U327" i="13"/>
  <c r="T327" i="13"/>
  <c r="S327" i="13"/>
  <c r="R327" i="13"/>
  <c r="Q327" i="13"/>
  <c r="P327" i="13"/>
  <c r="O327" i="13"/>
  <c r="N327" i="13"/>
  <c r="M327" i="13"/>
  <c r="L327" i="13"/>
  <c r="K327" i="13"/>
  <c r="D327" i="13" a="1"/>
  <c r="D327" i="13" s="1"/>
  <c r="G327" i="13" s="1"/>
  <c r="I327" i="13" s="1"/>
  <c r="X326" i="13"/>
  <c r="W326" i="13"/>
  <c r="V326" i="13"/>
  <c r="U326" i="13"/>
  <c r="T326" i="13"/>
  <c r="S326" i="13"/>
  <c r="R326" i="13"/>
  <c r="Q326" i="13"/>
  <c r="P326" i="13"/>
  <c r="O326" i="13"/>
  <c r="N326" i="13"/>
  <c r="M326" i="13"/>
  <c r="L326" i="13"/>
  <c r="K326" i="13"/>
  <c r="D326" i="13" a="1"/>
  <c r="D326" i="13" s="1"/>
  <c r="G326" i="13" s="1"/>
  <c r="I326" i="13" s="1"/>
  <c r="X325" i="13"/>
  <c r="W325" i="13"/>
  <c r="V325" i="13"/>
  <c r="U325" i="13"/>
  <c r="T325" i="13"/>
  <c r="S325" i="13"/>
  <c r="R325" i="13"/>
  <c r="Q325" i="13"/>
  <c r="P325" i="13"/>
  <c r="O325" i="13"/>
  <c r="N325" i="13"/>
  <c r="M325" i="13"/>
  <c r="L325" i="13"/>
  <c r="K325" i="13"/>
  <c r="D325" i="13" a="1"/>
  <c r="D325" i="13" s="1"/>
  <c r="G325" i="13" s="1"/>
  <c r="I325" i="13" s="1"/>
  <c r="X324" i="13"/>
  <c r="W324" i="13"/>
  <c r="V324" i="13"/>
  <c r="U324" i="13"/>
  <c r="T324" i="13"/>
  <c r="S324" i="13"/>
  <c r="R324" i="13"/>
  <c r="Q324" i="13"/>
  <c r="P324" i="13"/>
  <c r="O324" i="13"/>
  <c r="N324" i="13"/>
  <c r="M324" i="13"/>
  <c r="L324" i="13"/>
  <c r="K324" i="13"/>
  <c r="H324" i="13" a="1"/>
  <c r="H324" i="13" s="1"/>
  <c r="D324" i="13" a="1"/>
  <c r="D324" i="13" s="1"/>
  <c r="G324" i="13" s="1"/>
  <c r="I324" i="13" s="1"/>
  <c r="X323" i="13"/>
  <c r="W323" i="13"/>
  <c r="V323" i="13"/>
  <c r="U323" i="13"/>
  <c r="T323" i="13"/>
  <c r="S323" i="13"/>
  <c r="R323" i="13"/>
  <c r="Q323" i="13"/>
  <c r="P323" i="13"/>
  <c r="O323" i="13"/>
  <c r="N323" i="13"/>
  <c r="M323" i="13"/>
  <c r="L323" i="13"/>
  <c r="K323" i="13"/>
  <c r="H323" i="13" a="1"/>
  <c r="H323" i="13" s="1"/>
  <c r="D323" i="13" a="1"/>
  <c r="D323" i="13" s="1"/>
  <c r="G323" i="13" s="1"/>
  <c r="I323" i="13" s="1"/>
  <c r="X322" i="13"/>
  <c r="W322" i="13"/>
  <c r="V322" i="13"/>
  <c r="U322" i="13"/>
  <c r="T322" i="13"/>
  <c r="S322" i="13"/>
  <c r="R322" i="13"/>
  <c r="Q322" i="13"/>
  <c r="P322" i="13"/>
  <c r="O322" i="13"/>
  <c r="N322" i="13"/>
  <c r="M322" i="13"/>
  <c r="L322" i="13"/>
  <c r="K322" i="13"/>
  <c r="H322" i="13" a="1"/>
  <c r="H322" i="13" s="1"/>
  <c r="D322" i="13" a="1"/>
  <c r="D322" i="13" s="1"/>
  <c r="G322" i="13" s="1"/>
  <c r="I322" i="13" s="1"/>
  <c r="X321" i="13"/>
  <c r="W321" i="13"/>
  <c r="V321" i="13"/>
  <c r="U321" i="13"/>
  <c r="T321" i="13"/>
  <c r="S321" i="13"/>
  <c r="R321" i="13"/>
  <c r="Q321" i="13"/>
  <c r="P321" i="13"/>
  <c r="O321" i="13"/>
  <c r="N321" i="13"/>
  <c r="M321" i="13"/>
  <c r="L321" i="13"/>
  <c r="K321" i="13"/>
  <c r="H321" i="13" a="1"/>
  <c r="H321" i="13" s="1"/>
  <c r="D321" i="13" a="1"/>
  <c r="D321" i="13" s="1"/>
  <c r="G321" i="13" s="1"/>
  <c r="I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AB738" i="10"/>
  <c r="AA738" i="10"/>
  <c r="Z738" i="10"/>
  <c r="Y738" i="10"/>
  <c r="X738" i="10"/>
  <c r="W738" i="10"/>
  <c r="V738" i="10"/>
  <c r="U738" i="10"/>
  <c r="T738" i="10"/>
  <c r="S738" i="10"/>
  <c r="R738" i="10"/>
  <c r="Q738" i="10"/>
  <c r="P738" i="10"/>
  <c r="N738" i="10"/>
  <c r="M738" i="10"/>
  <c r="L738" i="10"/>
  <c r="K738" i="10"/>
  <c r="J738" i="10"/>
  <c r="I738" i="10"/>
  <c r="H738" i="10"/>
  <c r="G738" i="10"/>
  <c r="F738" i="10"/>
  <c r="AB737" i="10"/>
  <c r="AA737" i="10"/>
  <c r="Z737" i="10"/>
  <c r="Y737" i="10"/>
  <c r="X737" i="10"/>
  <c r="W737" i="10"/>
  <c r="V737" i="10"/>
  <c r="U737" i="10"/>
  <c r="T737" i="10"/>
  <c r="S737" i="10"/>
  <c r="R737" i="10"/>
  <c r="Q737" i="10"/>
  <c r="P737" i="10"/>
  <c r="N737" i="10"/>
  <c r="M737" i="10"/>
  <c r="L737" i="10"/>
  <c r="K737" i="10"/>
  <c r="J737" i="10"/>
  <c r="I737" i="10"/>
  <c r="H737" i="10"/>
  <c r="G737" i="10"/>
  <c r="F737" i="10"/>
  <c r="AB736" i="10"/>
  <c r="AA736" i="10"/>
  <c r="Z736" i="10"/>
  <c r="Y736" i="10"/>
  <c r="X736" i="10"/>
  <c r="W736" i="10"/>
  <c r="V736" i="10"/>
  <c r="U736" i="10"/>
  <c r="T736" i="10"/>
  <c r="S736" i="10"/>
  <c r="R736" i="10"/>
  <c r="Q736" i="10"/>
  <c r="P736" i="10"/>
  <c r="N736" i="10"/>
  <c r="M736" i="10"/>
  <c r="L736" i="10"/>
  <c r="K736" i="10"/>
  <c r="J736" i="10"/>
  <c r="I736" i="10"/>
  <c r="H736" i="10"/>
  <c r="G736" i="10"/>
  <c r="F736" i="10"/>
  <c r="AB735" i="10"/>
  <c r="AA735" i="10"/>
  <c r="Z735" i="10"/>
  <c r="Y735" i="10"/>
  <c r="X735" i="10"/>
  <c r="W735" i="10"/>
  <c r="V735" i="10"/>
  <c r="U735" i="10"/>
  <c r="T735" i="10"/>
  <c r="S735" i="10"/>
  <c r="R735" i="10"/>
  <c r="Q735" i="10"/>
  <c r="P735" i="10"/>
  <c r="N735" i="10"/>
  <c r="M735" i="10"/>
  <c r="L735" i="10"/>
  <c r="K735" i="10"/>
  <c r="J735" i="10"/>
  <c r="I735" i="10"/>
  <c r="H735" i="10"/>
  <c r="G735" i="10"/>
  <c r="F735" i="10"/>
  <c r="AB734" i="10"/>
  <c r="AA734" i="10"/>
  <c r="Z734" i="10"/>
  <c r="Y734" i="10"/>
  <c r="X734" i="10"/>
  <c r="W734" i="10"/>
  <c r="V734" i="10"/>
  <c r="U734" i="10"/>
  <c r="T734" i="10"/>
  <c r="S734" i="10"/>
  <c r="R734" i="10"/>
  <c r="Q734" i="10"/>
  <c r="P734" i="10"/>
  <c r="N734" i="10"/>
  <c r="M734" i="10"/>
  <c r="L734" i="10"/>
  <c r="K734" i="10"/>
  <c r="J734" i="10"/>
  <c r="I734" i="10"/>
  <c r="H734" i="10"/>
  <c r="G734" i="10"/>
  <c r="F734" i="10"/>
  <c r="AB733" i="10"/>
  <c r="AA733" i="10"/>
  <c r="Z733" i="10"/>
  <c r="Y733" i="10"/>
  <c r="X733" i="10"/>
  <c r="W733" i="10"/>
  <c r="V733" i="10"/>
  <c r="U733" i="10"/>
  <c r="T733" i="10"/>
  <c r="S733" i="10"/>
  <c r="R733" i="10"/>
  <c r="Q733" i="10"/>
  <c r="P733" i="10"/>
  <c r="N733" i="10"/>
  <c r="M733" i="10"/>
  <c r="L733" i="10"/>
  <c r="K733" i="10"/>
  <c r="J733" i="10"/>
  <c r="I733" i="10"/>
  <c r="H733" i="10"/>
  <c r="G733" i="10"/>
  <c r="F733" i="10"/>
  <c r="AB732" i="10"/>
  <c r="AA732" i="10"/>
  <c r="Z732" i="10"/>
  <c r="Y732" i="10"/>
  <c r="X732" i="10"/>
  <c r="W732" i="10"/>
  <c r="V732" i="10"/>
  <c r="U732" i="10"/>
  <c r="T732" i="10"/>
  <c r="S732" i="10"/>
  <c r="R732" i="10"/>
  <c r="Q732" i="10"/>
  <c r="P732" i="10"/>
  <c r="N732" i="10"/>
  <c r="M732" i="10"/>
  <c r="L732" i="10"/>
  <c r="K732" i="10"/>
  <c r="J732" i="10"/>
  <c r="I732" i="10"/>
  <c r="H732" i="10"/>
  <c r="G732" i="10"/>
  <c r="F732" i="10"/>
  <c r="AB731" i="10"/>
  <c r="AA731" i="10"/>
  <c r="Z731" i="10"/>
  <c r="Y731" i="10"/>
  <c r="X731" i="10"/>
  <c r="W731" i="10"/>
  <c r="V731" i="10"/>
  <c r="U731" i="10"/>
  <c r="T731" i="10"/>
  <c r="S731" i="10"/>
  <c r="R731" i="10"/>
  <c r="Q731" i="10"/>
  <c r="P731" i="10"/>
  <c r="N731" i="10"/>
  <c r="M731" i="10"/>
  <c r="L731" i="10"/>
  <c r="K731" i="10"/>
  <c r="J731" i="10"/>
  <c r="I731" i="10"/>
  <c r="H731" i="10"/>
  <c r="G731" i="10"/>
  <c r="F731" i="10"/>
  <c r="AB730" i="10"/>
  <c r="AA730" i="10"/>
  <c r="Z730" i="10"/>
  <c r="Y730" i="10"/>
  <c r="X730" i="10"/>
  <c r="W730" i="10"/>
  <c r="V730" i="10"/>
  <c r="U730" i="10"/>
  <c r="T730" i="10"/>
  <c r="S730" i="10"/>
  <c r="R730" i="10"/>
  <c r="Q730" i="10"/>
  <c r="P730" i="10"/>
  <c r="N730" i="10"/>
  <c r="M730" i="10"/>
  <c r="L730" i="10"/>
  <c r="K730" i="10"/>
  <c r="J730" i="10"/>
  <c r="I730" i="10"/>
  <c r="H730" i="10"/>
  <c r="G730" i="10"/>
  <c r="F730" i="10"/>
  <c r="AB729" i="10"/>
  <c r="AA729" i="10"/>
  <c r="Z729" i="10"/>
  <c r="Y729" i="10"/>
  <c r="X729" i="10"/>
  <c r="W729" i="10"/>
  <c r="V729" i="10"/>
  <c r="U729" i="10"/>
  <c r="T729" i="10"/>
  <c r="S729" i="10"/>
  <c r="R729" i="10"/>
  <c r="Q729" i="10"/>
  <c r="P729" i="10"/>
  <c r="N729" i="10"/>
  <c r="M729" i="10"/>
  <c r="L729" i="10"/>
  <c r="K729" i="10"/>
  <c r="J729" i="10"/>
  <c r="I729" i="10"/>
  <c r="H729" i="10"/>
  <c r="G729" i="10"/>
  <c r="F729" i="10"/>
  <c r="AB728" i="10"/>
  <c r="AA728" i="10"/>
  <c r="Z728" i="10"/>
  <c r="Y728" i="10"/>
  <c r="X728" i="10"/>
  <c r="W728" i="10"/>
  <c r="V728" i="10"/>
  <c r="U728" i="10"/>
  <c r="T728" i="10"/>
  <c r="S728" i="10"/>
  <c r="R728" i="10"/>
  <c r="Q728" i="10"/>
  <c r="P728" i="10"/>
  <c r="N728" i="10"/>
  <c r="M728" i="10"/>
  <c r="L728" i="10"/>
  <c r="K728" i="10"/>
  <c r="J728" i="10"/>
  <c r="I728" i="10"/>
  <c r="H728" i="10"/>
  <c r="G728" i="10"/>
  <c r="F728" i="10"/>
  <c r="AB727" i="10"/>
  <c r="AA727" i="10"/>
  <c r="Z727" i="10"/>
  <c r="Y727" i="10"/>
  <c r="X727" i="10"/>
  <c r="W727" i="10"/>
  <c r="V727" i="10"/>
  <c r="U727" i="10"/>
  <c r="T727" i="10"/>
  <c r="S727" i="10"/>
  <c r="R727" i="10"/>
  <c r="Q727" i="10"/>
  <c r="P727" i="10"/>
  <c r="N727" i="10"/>
  <c r="M727" i="10"/>
  <c r="L727" i="10"/>
  <c r="K727" i="10"/>
  <c r="J727" i="10"/>
  <c r="I727" i="10"/>
  <c r="H727" i="10"/>
  <c r="G727" i="10"/>
  <c r="F727" i="10"/>
  <c r="AB726" i="10"/>
  <c r="AA726" i="10"/>
  <c r="Z726" i="10"/>
  <c r="Y726" i="10"/>
  <c r="X726" i="10"/>
  <c r="W726" i="10"/>
  <c r="V726" i="10"/>
  <c r="U726" i="10"/>
  <c r="T726" i="10"/>
  <c r="S726" i="10"/>
  <c r="R726" i="10"/>
  <c r="Q726" i="10"/>
  <c r="P726" i="10"/>
  <c r="N726" i="10"/>
  <c r="M726" i="10"/>
  <c r="L726" i="10"/>
  <c r="K726" i="10"/>
  <c r="J726" i="10"/>
  <c r="I726" i="10"/>
  <c r="H726" i="10"/>
  <c r="G726" i="10"/>
  <c r="F726" i="10"/>
  <c r="AB725" i="10"/>
  <c r="AA725" i="10"/>
  <c r="Z725" i="10"/>
  <c r="Y725" i="10"/>
  <c r="X725" i="10"/>
  <c r="W725" i="10"/>
  <c r="V725" i="10"/>
  <c r="U725" i="10"/>
  <c r="T725" i="10"/>
  <c r="S725" i="10"/>
  <c r="R725" i="10"/>
  <c r="Q725" i="10"/>
  <c r="P725" i="10"/>
  <c r="N725" i="10"/>
  <c r="M725" i="10"/>
  <c r="L725" i="10"/>
  <c r="K725" i="10"/>
  <c r="J725" i="10"/>
  <c r="I725" i="10"/>
  <c r="H725" i="10"/>
  <c r="G725" i="10"/>
  <c r="F725" i="10"/>
  <c r="AB724" i="10"/>
  <c r="AA724" i="10"/>
  <c r="Z724" i="10"/>
  <c r="Y724" i="10"/>
  <c r="X724" i="10"/>
  <c r="W724" i="10"/>
  <c r="V724" i="10"/>
  <c r="U724" i="10"/>
  <c r="T724" i="10"/>
  <c r="S724" i="10"/>
  <c r="R724" i="10"/>
  <c r="Q724" i="10"/>
  <c r="P724" i="10"/>
  <c r="N724" i="10"/>
  <c r="M724" i="10"/>
  <c r="L724" i="10"/>
  <c r="K724" i="10"/>
  <c r="J724" i="10"/>
  <c r="I724" i="10"/>
  <c r="H724" i="10"/>
  <c r="G724" i="10"/>
  <c r="F724" i="10"/>
  <c r="AB723" i="10"/>
  <c r="AA723" i="10"/>
  <c r="Z723" i="10"/>
  <c r="Y723" i="10"/>
  <c r="X723" i="10"/>
  <c r="W723" i="10"/>
  <c r="V723" i="10"/>
  <c r="U723" i="10"/>
  <c r="T723" i="10"/>
  <c r="S723" i="10"/>
  <c r="R723" i="10"/>
  <c r="Q723" i="10"/>
  <c r="P723" i="10"/>
  <c r="N723" i="10"/>
  <c r="M723" i="10"/>
  <c r="L723" i="10"/>
  <c r="K723" i="10"/>
  <c r="J723" i="10"/>
  <c r="I723" i="10"/>
  <c r="H723" i="10"/>
  <c r="G723" i="10"/>
  <c r="F723" i="10"/>
  <c r="AB722" i="10"/>
  <c r="AA722" i="10"/>
  <c r="Z722" i="10"/>
  <c r="Y722" i="10"/>
  <c r="X722" i="10"/>
  <c r="W722" i="10"/>
  <c r="V722" i="10"/>
  <c r="U722" i="10"/>
  <c r="T722" i="10"/>
  <c r="S722" i="10"/>
  <c r="R722" i="10"/>
  <c r="Q722" i="10"/>
  <c r="P722" i="10"/>
  <c r="N722" i="10"/>
  <c r="M722" i="10"/>
  <c r="L722" i="10"/>
  <c r="K722" i="10"/>
  <c r="J722" i="10"/>
  <c r="I722" i="10"/>
  <c r="H722" i="10"/>
  <c r="G722" i="10"/>
  <c r="F722" i="10"/>
  <c r="AB721" i="10"/>
  <c r="AA721" i="10"/>
  <c r="Z721" i="10"/>
  <c r="Y721" i="10"/>
  <c r="X721" i="10"/>
  <c r="W721" i="10"/>
  <c r="V721" i="10"/>
  <c r="U721" i="10"/>
  <c r="T721" i="10"/>
  <c r="S721" i="10"/>
  <c r="R721" i="10"/>
  <c r="Q721" i="10"/>
  <c r="P721" i="10"/>
  <c r="N721" i="10"/>
  <c r="M721" i="10"/>
  <c r="L721" i="10"/>
  <c r="K721" i="10"/>
  <c r="J721" i="10"/>
  <c r="I721" i="10"/>
  <c r="H721" i="10"/>
  <c r="G721" i="10"/>
  <c r="F721" i="10"/>
  <c r="AB720" i="10"/>
  <c r="AA720" i="10"/>
  <c r="Z720" i="10"/>
  <c r="Y720" i="10"/>
  <c r="X720" i="10"/>
  <c r="W720" i="10"/>
  <c r="V720" i="10"/>
  <c r="U720" i="10"/>
  <c r="T720" i="10"/>
  <c r="S720" i="10"/>
  <c r="R720" i="10"/>
  <c r="Q720" i="10"/>
  <c r="P720" i="10"/>
  <c r="N720" i="10"/>
  <c r="M720" i="10"/>
  <c r="L720" i="10"/>
  <c r="K720" i="10"/>
  <c r="J720" i="10"/>
  <c r="I720" i="10"/>
  <c r="H720" i="10"/>
  <c r="G720" i="10"/>
  <c r="F720" i="10"/>
  <c r="AB719" i="10"/>
  <c r="AA719" i="10"/>
  <c r="Z719" i="10"/>
  <c r="Y719" i="10"/>
  <c r="X719" i="10"/>
  <c r="W719" i="10"/>
  <c r="V719" i="10"/>
  <c r="U719" i="10"/>
  <c r="T719" i="10"/>
  <c r="S719" i="10"/>
  <c r="R719" i="10"/>
  <c r="Q719" i="10"/>
  <c r="P719" i="10"/>
  <c r="N719" i="10"/>
  <c r="M719" i="10"/>
  <c r="L719" i="10"/>
  <c r="K719" i="10"/>
  <c r="J719" i="10"/>
  <c r="I719" i="10"/>
  <c r="H719" i="10"/>
  <c r="G719" i="10"/>
  <c r="F719" i="10"/>
  <c r="AB718" i="10"/>
  <c r="AA718" i="10"/>
  <c r="Z718" i="10"/>
  <c r="Y718" i="10"/>
  <c r="X718" i="10"/>
  <c r="W718" i="10"/>
  <c r="V718" i="10"/>
  <c r="U718" i="10"/>
  <c r="T718" i="10"/>
  <c r="S718" i="10"/>
  <c r="R718" i="10"/>
  <c r="Q718" i="10"/>
  <c r="P718" i="10"/>
  <c r="N718" i="10"/>
  <c r="M718" i="10"/>
  <c r="L718" i="10"/>
  <c r="K718" i="10"/>
  <c r="J718" i="10"/>
  <c r="I718" i="10"/>
  <c r="H718" i="10"/>
  <c r="G718" i="10"/>
  <c r="F718" i="10"/>
  <c r="AB717" i="10"/>
  <c r="AA717" i="10"/>
  <c r="Z717" i="10"/>
  <c r="Y717" i="10"/>
  <c r="X717" i="10"/>
  <c r="W717" i="10"/>
  <c r="V717" i="10"/>
  <c r="U717" i="10"/>
  <c r="T717" i="10"/>
  <c r="S717" i="10"/>
  <c r="R717" i="10"/>
  <c r="Q717" i="10"/>
  <c r="P717" i="10"/>
  <c r="N717" i="10"/>
  <c r="M717" i="10"/>
  <c r="L717" i="10"/>
  <c r="K717" i="10"/>
  <c r="J717" i="10"/>
  <c r="I717" i="10"/>
  <c r="H717" i="10"/>
  <c r="G717" i="10"/>
  <c r="F717" i="10"/>
  <c r="AB716" i="10"/>
  <c r="AA716" i="10"/>
  <c r="Z716" i="10"/>
  <c r="Y716" i="10"/>
  <c r="X716" i="10"/>
  <c r="W716" i="10"/>
  <c r="V716" i="10"/>
  <c r="U716" i="10"/>
  <c r="T716" i="10"/>
  <c r="S716" i="10"/>
  <c r="R716" i="10"/>
  <c r="Q716" i="10"/>
  <c r="P716" i="10"/>
  <c r="N716" i="10"/>
  <c r="M716" i="10"/>
  <c r="L716" i="10"/>
  <c r="K716" i="10"/>
  <c r="J716" i="10"/>
  <c r="I716" i="10"/>
  <c r="H716" i="10"/>
  <c r="G716" i="10"/>
  <c r="F716" i="10"/>
  <c r="AB715" i="10"/>
  <c r="AA715" i="10"/>
  <c r="Z715" i="10"/>
  <c r="Y715" i="10"/>
  <c r="X715" i="10"/>
  <c r="W715" i="10"/>
  <c r="V715" i="10"/>
  <c r="U715" i="10"/>
  <c r="T715" i="10"/>
  <c r="S715" i="10"/>
  <c r="R715" i="10"/>
  <c r="Q715" i="10"/>
  <c r="P715" i="10"/>
  <c r="N715" i="10"/>
  <c r="M715" i="10"/>
  <c r="L715" i="10"/>
  <c r="K715" i="10"/>
  <c r="J715" i="10"/>
  <c r="I715" i="10"/>
  <c r="H715" i="10"/>
  <c r="G715" i="10"/>
  <c r="F715" i="10"/>
  <c r="AB714" i="10"/>
  <c r="AA714" i="10"/>
  <c r="Z714" i="10"/>
  <c r="Y714" i="10"/>
  <c r="X714" i="10"/>
  <c r="W714" i="10"/>
  <c r="V714" i="10"/>
  <c r="U714" i="10"/>
  <c r="T714" i="10"/>
  <c r="S714" i="10"/>
  <c r="R714" i="10"/>
  <c r="Q714" i="10"/>
  <c r="P714" i="10"/>
  <c r="N714" i="10"/>
  <c r="M714" i="10"/>
  <c r="L714" i="10"/>
  <c r="K714" i="10"/>
  <c r="J714" i="10"/>
  <c r="I714" i="10"/>
  <c r="H714" i="10"/>
  <c r="G714" i="10"/>
  <c r="F714" i="10"/>
  <c r="AB713" i="10"/>
  <c r="AA713" i="10"/>
  <c r="Z713" i="10"/>
  <c r="Y713" i="10"/>
  <c r="X713" i="10"/>
  <c r="W713" i="10"/>
  <c r="V713" i="10"/>
  <c r="U713" i="10"/>
  <c r="T713" i="10"/>
  <c r="S713" i="10"/>
  <c r="R713" i="10"/>
  <c r="Q713" i="10"/>
  <c r="P713" i="10"/>
  <c r="N713" i="10"/>
  <c r="M713" i="10"/>
  <c r="L713" i="10"/>
  <c r="K713" i="10"/>
  <c r="J713" i="10"/>
  <c r="I713" i="10"/>
  <c r="H713" i="10"/>
  <c r="G713" i="10"/>
  <c r="F713" i="10"/>
  <c r="AB712" i="10"/>
  <c r="AA712" i="10"/>
  <c r="Z712" i="10"/>
  <c r="Y712" i="10"/>
  <c r="X712" i="10"/>
  <c r="W712" i="10"/>
  <c r="V712" i="10"/>
  <c r="U712" i="10"/>
  <c r="T712" i="10"/>
  <c r="S712" i="10"/>
  <c r="R712" i="10"/>
  <c r="Q712" i="10"/>
  <c r="P712" i="10"/>
  <c r="N712" i="10"/>
  <c r="M712" i="10"/>
  <c r="L712" i="10"/>
  <c r="K712" i="10"/>
  <c r="J712" i="10"/>
  <c r="I712" i="10"/>
  <c r="H712" i="10"/>
  <c r="G712" i="10"/>
  <c r="F712" i="10"/>
  <c r="AB711" i="10"/>
  <c r="AA711" i="10"/>
  <c r="Z711" i="10"/>
  <c r="Y711" i="10"/>
  <c r="X711" i="10"/>
  <c r="W711" i="10"/>
  <c r="V711" i="10"/>
  <c r="U711" i="10"/>
  <c r="T711" i="10"/>
  <c r="S711" i="10"/>
  <c r="R711" i="10"/>
  <c r="Q711" i="10"/>
  <c r="P711" i="10"/>
  <c r="N711" i="10"/>
  <c r="M711" i="10"/>
  <c r="L711" i="10"/>
  <c r="K711" i="10"/>
  <c r="J711" i="10"/>
  <c r="I711" i="10"/>
  <c r="H711" i="10"/>
  <c r="G711" i="10"/>
  <c r="F711" i="10"/>
  <c r="AB710" i="10"/>
  <c r="AA710" i="10"/>
  <c r="Z710" i="10"/>
  <c r="Y710" i="10"/>
  <c r="X710" i="10"/>
  <c r="W710" i="10"/>
  <c r="V710" i="10"/>
  <c r="U710" i="10"/>
  <c r="T710" i="10"/>
  <c r="S710" i="10"/>
  <c r="R710" i="10"/>
  <c r="Q710" i="10"/>
  <c r="P710" i="10"/>
  <c r="N710" i="10"/>
  <c r="M710" i="10"/>
  <c r="L710" i="10"/>
  <c r="K710" i="10"/>
  <c r="J710" i="10"/>
  <c r="I710" i="10"/>
  <c r="H710" i="10"/>
  <c r="G710" i="10"/>
  <c r="F710" i="10"/>
  <c r="AB709" i="10"/>
  <c r="AA709" i="10"/>
  <c r="Z709" i="10"/>
  <c r="Y709" i="10"/>
  <c r="X709" i="10"/>
  <c r="W709" i="10"/>
  <c r="V709" i="10"/>
  <c r="U709" i="10"/>
  <c r="T709" i="10"/>
  <c r="S709" i="10"/>
  <c r="R709" i="10"/>
  <c r="Q709" i="10"/>
  <c r="P709" i="10"/>
  <c r="N709" i="10"/>
  <c r="M709" i="10"/>
  <c r="L709" i="10"/>
  <c r="K709" i="10"/>
  <c r="J709" i="10"/>
  <c r="I709" i="10"/>
  <c r="H709" i="10"/>
  <c r="G709" i="10"/>
  <c r="F709" i="10"/>
  <c r="AB708" i="10"/>
  <c r="AA708" i="10"/>
  <c r="Z708" i="10"/>
  <c r="Y708" i="10"/>
  <c r="X708" i="10"/>
  <c r="W708" i="10"/>
  <c r="V708" i="10"/>
  <c r="U708" i="10"/>
  <c r="T708" i="10"/>
  <c r="S708" i="10"/>
  <c r="R708" i="10"/>
  <c r="Q708" i="10"/>
  <c r="P708" i="10"/>
  <c r="N708" i="10"/>
  <c r="M708" i="10"/>
  <c r="L708" i="10"/>
  <c r="K708" i="10"/>
  <c r="J708" i="10"/>
  <c r="I708" i="10"/>
  <c r="H708" i="10"/>
  <c r="G708" i="10"/>
  <c r="F708" i="10"/>
  <c r="AB707" i="10"/>
  <c r="AA707" i="10"/>
  <c r="Z707" i="10"/>
  <c r="Y707" i="10"/>
  <c r="X707" i="10"/>
  <c r="W707" i="10"/>
  <c r="V707" i="10"/>
  <c r="U707" i="10"/>
  <c r="T707" i="10"/>
  <c r="S707" i="10"/>
  <c r="R707" i="10"/>
  <c r="Q707" i="10"/>
  <c r="P707" i="10"/>
  <c r="N707" i="10"/>
  <c r="M707" i="10"/>
  <c r="L707" i="10"/>
  <c r="K707" i="10"/>
  <c r="J707" i="10"/>
  <c r="I707" i="10"/>
  <c r="H707" i="10"/>
  <c r="G707" i="10"/>
  <c r="F707" i="10"/>
  <c r="AB706" i="10"/>
  <c r="AA706" i="10"/>
  <c r="Z706" i="10"/>
  <c r="Y706" i="10"/>
  <c r="X706" i="10"/>
  <c r="W706" i="10"/>
  <c r="V706" i="10"/>
  <c r="U706" i="10"/>
  <c r="T706" i="10"/>
  <c r="S706" i="10"/>
  <c r="R706" i="10"/>
  <c r="Q706" i="10"/>
  <c r="P706" i="10"/>
  <c r="N706" i="10"/>
  <c r="M706" i="10"/>
  <c r="L706" i="10"/>
  <c r="K706" i="10"/>
  <c r="J706" i="10"/>
  <c r="I706" i="10"/>
  <c r="H706" i="10"/>
  <c r="G706" i="10"/>
  <c r="F706" i="10"/>
  <c r="AB705" i="10"/>
  <c r="AA705" i="10"/>
  <c r="Z705" i="10"/>
  <c r="Y705" i="10"/>
  <c r="X705" i="10"/>
  <c r="W705" i="10"/>
  <c r="V705" i="10"/>
  <c r="U705" i="10"/>
  <c r="T705" i="10"/>
  <c r="S705" i="10"/>
  <c r="R705" i="10"/>
  <c r="Q705" i="10"/>
  <c r="P705" i="10"/>
  <c r="N705" i="10"/>
  <c r="M705" i="10"/>
  <c r="L705" i="10"/>
  <c r="K705" i="10"/>
  <c r="J705" i="10"/>
  <c r="I705" i="10"/>
  <c r="H705" i="10"/>
  <c r="G705" i="10"/>
  <c r="F705" i="10"/>
  <c r="T704" i="10"/>
  <c r="R704" i="10"/>
  <c r="L704" i="10"/>
  <c r="G704" i="10"/>
  <c r="F704" i="10"/>
  <c r="T703" i="10"/>
  <c r="R703" i="10"/>
  <c r="S704" i="10" s="1"/>
  <c r="I704" i="10" s="1"/>
  <c r="K704" i="10" s="1"/>
  <c r="G703" i="10"/>
  <c r="F703" i="10"/>
  <c r="E320" i="13" s="1"/>
  <c r="H320" i="13" s="1" a="1"/>
  <c r="H320" i="13" s="1"/>
  <c r="T702" i="10"/>
  <c r="R702" i="10"/>
  <c r="G702" i="10"/>
  <c r="F702" i="10"/>
  <c r="L702" i="10" s="1"/>
  <c r="T701" i="10"/>
  <c r="R701" i="10"/>
  <c r="S701" i="10" s="1"/>
  <c r="I701" i="10" s="1"/>
  <c r="K701" i="10" s="1"/>
  <c r="G701" i="10"/>
  <c r="F701" i="10"/>
  <c r="L701" i="10" s="1"/>
  <c r="T700" i="10"/>
  <c r="R700" i="10"/>
  <c r="L700" i="10"/>
  <c r="G700" i="10"/>
  <c r="F700" i="10"/>
  <c r="T699" i="10"/>
  <c r="R699" i="10"/>
  <c r="G699" i="10"/>
  <c r="F699" i="10"/>
  <c r="L699" i="10" s="1"/>
  <c r="T698" i="10"/>
  <c r="R698" i="10"/>
  <c r="L698" i="10"/>
  <c r="G698" i="10"/>
  <c r="F698" i="10"/>
  <c r="E318" i="13" s="1"/>
  <c r="H318" i="13" s="1" a="1"/>
  <c r="H318" i="13" s="1"/>
  <c r="T697" i="10"/>
  <c r="R697" i="10"/>
  <c r="L697" i="10"/>
  <c r="G697" i="10"/>
  <c r="F697" i="10"/>
  <c r="T696" i="10"/>
  <c r="R696" i="10"/>
  <c r="G696" i="10"/>
  <c r="F696" i="10"/>
  <c r="L696" i="10" s="1"/>
  <c r="T695" i="10"/>
  <c r="R695" i="10"/>
  <c r="L695" i="10"/>
  <c r="G695" i="10"/>
  <c r="F695" i="10"/>
  <c r="E317" i="13" s="1"/>
  <c r="H317" i="13" s="1" a="1"/>
  <c r="H317" i="13" s="1"/>
  <c r="T694" i="10"/>
  <c r="R694" i="10"/>
  <c r="G694" i="10"/>
  <c r="F694" i="10"/>
  <c r="L694" i="10" s="1"/>
  <c r="T693" i="10"/>
  <c r="R693" i="10"/>
  <c r="G693" i="10"/>
  <c r="F693" i="10"/>
  <c r="L693" i="10" s="1"/>
  <c r="T692" i="10"/>
  <c r="R692" i="10"/>
  <c r="L692" i="10"/>
  <c r="G692" i="10"/>
  <c r="F692" i="10"/>
  <c r="E316" i="13" s="1"/>
  <c r="H316" i="13" s="1" a="1"/>
  <c r="H316" i="13" s="1"/>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L686" i="10"/>
  <c r="G686" i="10"/>
  <c r="F686" i="10"/>
  <c r="T685" i="10"/>
  <c r="R685" i="10"/>
  <c r="G685" i="10"/>
  <c r="F685" i="10"/>
  <c r="O685" i="10" s="1"/>
  <c r="T684" i="10"/>
  <c r="R684" i="10"/>
  <c r="G684" i="10"/>
  <c r="F684" i="10"/>
  <c r="L684" i="10" s="1"/>
  <c r="T683" i="10"/>
  <c r="R683" i="10"/>
  <c r="G683" i="10"/>
  <c r="F683" i="10"/>
  <c r="T682" i="10"/>
  <c r="R682" i="10"/>
  <c r="G682" i="10"/>
  <c r="F682" i="10"/>
  <c r="T681" i="10"/>
  <c r="R681" i="10"/>
  <c r="G681" i="10"/>
  <c r="F681" i="10"/>
  <c r="O681" i="10" s="1"/>
  <c r="T680" i="10"/>
  <c r="R680" i="10"/>
  <c r="G680" i="10"/>
  <c r="F680" i="10"/>
  <c r="T679" i="10"/>
  <c r="R679" i="10"/>
  <c r="G679" i="10"/>
  <c r="F679" i="10"/>
  <c r="O679" i="10" s="1"/>
  <c r="T678" i="10"/>
  <c r="R678" i="10"/>
  <c r="G678" i="10"/>
  <c r="F678" i="10"/>
  <c r="T677" i="10"/>
  <c r="R677" i="10"/>
  <c r="G677" i="10"/>
  <c r="F677" i="10"/>
  <c r="O677" i="10" s="1"/>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O669" i="10" s="1"/>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O663" i="10" s="1"/>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O649" i="10" s="1"/>
  <c r="U648" i="10"/>
  <c r="T648" i="10"/>
  <c r="R648" i="10"/>
  <c r="G648" i="10"/>
  <c r="F648" i="10"/>
  <c r="T647" i="10"/>
  <c r="R647" i="10"/>
  <c r="G647" i="10"/>
  <c r="F647" i="10"/>
  <c r="T646" i="10"/>
  <c r="R646" i="10"/>
  <c r="G646" i="10"/>
  <c r="F646" i="10"/>
  <c r="T645" i="10"/>
  <c r="R645" i="10"/>
  <c r="G645" i="10"/>
  <c r="F645" i="10"/>
  <c r="O645" i="10" s="1"/>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O637" i="10" s="1"/>
  <c r="T636" i="10"/>
  <c r="R636" i="10"/>
  <c r="G636" i="10"/>
  <c r="F636" i="10"/>
  <c r="L636" i="10" s="1"/>
  <c r="T635" i="10"/>
  <c r="R635" i="10"/>
  <c r="G635" i="10"/>
  <c r="F635" i="10"/>
  <c r="T634" i="10"/>
  <c r="R634" i="10"/>
  <c r="G634" i="10"/>
  <c r="F634" i="10"/>
  <c r="T633" i="10"/>
  <c r="R633" i="10"/>
  <c r="G633" i="10"/>
  <c r="F633" i="10"/>
  <c r="O633" i="10" s="1"/>
  <c r="T632" i="10"/>
  <c r="R632" i="10"/>
  <c r="G632" i="10"/>
  <c r="F632" i="10"/>
  <c r="T631" i="10"/>
  <c r="R631" i="10"/>
  <c r="G631" i="10"/>
  <c r="F631" i="10"/>
  <c r="O631" i="10" s="1"/>
  <c r="T630" i="10"/>
  <c r="R630" i="10"/>
  <c r="G630" i="10"/>
  <c r="F630" i="10"/>
  <c r="T629" i="10"/>
  <c r="R629" i="10"/>
  <c r="G629" i="10"/>
  <c r="F629" i="10"/>
  <c r="O629" i="10" s="1"/>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O617" i="10" s="1"/>
  <c r="T616" i="10"/>
  <c r="R616" i="10"/>
  <c r="G616" i="10"/>
  <c r="F616" i="10"/>
  <c r="T615" i="10"/>
  <c r="R615" i="10"/>
  <c r="G615" i="10"/>
  <c r="F615" i="10"/>
  <c r="O615" i="10" s="1"/>
  <c r="T614" i="10"/>
  <c r="R614" i="10"/>
  <c r="G614" i="10"/>
  <c r="F614" i="10"/>
  <c r="U613" i="10"/>
  <c r="T613" i="10"/>
  <c r="R613" i="10"/>
  <c r="G613" i="10"/>
  <c r="F613" i="10"/>
  <c r="O613" i="10" s="1"/>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O597" i="10" s="1"/>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O589" i="10" s="1"/>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O582" i="10" s="1"/>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O570" i="10" s="1"/>
  <c r="T569" i="10"/>
  <c r="R569" i="10"/>
  <c r="G569" i="10"/>
  <c r="F569" i="10"/>
  <c r="T568" i="10"/>
  <c r="R568" i="10"/>
  <c r="G568" i="10"/>
  <c r="F568" i="10"/>
  <c r="O568" i="10" s="1"/>
  <c r="T567" i="10"/>
  <c r="R567" i="10"/>
  <c r="G567" i="10"/>
  <c r="F567" i="10"/>
  <c r="T566" i="10"/>
  <c r="R566" i="10"/>
  <c r="G566" i="10"/>
  <c r="F566" i="10"/>
  <c r="O566" i="10" s="1"/>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O554" i="10" s="1"/>
  <c r="T553" i="10"/>
  <c r="R553" i="10"/>
  <c r="G553" i="10"/>
  <c r="F553" i="10"/>
  <c r="U552" i="10"/>
  <c r="Y553" i="10" s="1"/>
  <c r="T552" i="10"/>
  <c r="R552" i="10"/>
  <c r="G552" i="10"/>
  <c r="F552" i="10"/>
  <c r="T551" i="10"/>
  <c r="R551" i="10"/>
  <c r="G551" i="10"/>
  <c r="F551" i="10"/>
  <c r="O551" i="10" s="1"/>
  <c r="T550" i="10"/>
  <c r="R550" i="10"/>
  <c r="G550" i="10"/>
  <c r="F550" i="10"/>
  <c r="T549" i="10"/>
  <c r="R549" i="10"/>
  <c r="G549" i="10"/>
  <c r="F549" i="10"/>
  <c r="O549" i="10" s="1"/>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O541" i="10" s="1"/>
  <c r="T540" i="10"/>
  <c r="R540" i="10"/>
  <c r="G540" i="10"/>
  <c r="F540" i="10"/>
  <c r="L540" i="10" s="1"/>
  <c r="T539" i="10"/>
  <c r="R539" i="10"/>
  <c r="G539" i="10"/>
  <c r="F539" i="10"/>
  <c r="T538" i="10"/>
  <c r="R538" i="10"/>
  <c r="G538" i="10"/>
  <c r="F538" i="10"/>
  <c r="T537" i="10"/>
  <c r="R537" i="10"/>
  <c r="G537" i="10"/>
  <c r="F537" i="10"/>
  <c r="O537" i="10" s="1"/>
  <c r="T536" i="10"/>
  <c r="R536" i="10"/>
  <c r="G536" i="10"/>
  <c r="F536" i="10"/>
  <c r="T535" i="10"/>
  <c r="R535" i="10"/>
  <c r="G535" i="10"/>
  <c r="F535" i="10"/>
  <c r="T534" i="10"/>
  <c r="R534" i="10"/>
  <c r="G534" i="10"/>
  <c r="F534" i="10"/>
  <c r="T533" i="10"/>
  <c r="R533" i="10"/>
  <c r="G533" i="10"/>
  <c r="F533" i="10"/>
  <c r="O533" i="10" s="1"/>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O519" i="10" s="1"/>
  <c r="T518" i="10"/>
  <c r="R518" i="10"/>
  <c r="G518" i="10"/>
  <c r="F518" i="10"/>
  <c r="T517" i="10"/>
  <c r="R517" i="10"/>
  <c r="G517" i="10"/>
  <c r="F517" i="10"/>
  <c r="O517" i="10" s="1"/>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O509" i="10" s="1"/>
  <c r="T508" i="10"/>
  <c r="R508" i="10"/>
  <c r="G508" i="10"/>
  <c r="F508" i="10"/>
  <c r="L508" i="10" s="1"/>
  <c r="T507" i="10"/>
  <c r="R507" i="10"/>
  <c r="G507" i="10"/>
  <c r="F507" i="10"/>
  <c r="T506" i="10"/>
  <c r="R506" i="10"/>
  <c r="G506" i="10"/>
  <c r="F506" i="10"/>
  <c r="T505" i="10"/>
  <c r="R505" i="10"/>
  <c r="G505" i="10"/>
  <c r="F505" i="10"/>
  <c r="O505" i="10" s="1"/>
  <c r="T504" i="10"/>
  <c r="R504" i="10"/>
  <c r="G504" i="10"/>
  <c r="F504" i="10"/>
  <c r="T503" i="10"/>
  <c r="R503" i="10"/>
  <c r="G503" i="10"/>
  <c r="F503" i="10"/>
  <c r="O503" i="10" s="1"/>
  <c r="T502" i="10"/>
  <c r="R502" i="10"/>
  <c r="G502" i="10"/>
  <c r="F502" i="10"/>
  <c r="U501" i="10"/>
  <c r="Y501" i="10" s="1"/>
  <c r="Z501" i="10" s="1"/>
  <c r="T501" i="10"/>
  <c r="R501" i="10"/>
  <c r="G501" i="10"/>
  <c r="F501" i="10"/>
  <c r="O501" i="10" s="1"/>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O493" i="10" s="1"/>
  <c r="T492" i="10"/>
  <c r="R492" i="10"/>
  <c r="G492" i="10"/>
  <c r="F492" i="10"/>
  <c r="T491" i="10"/>
  <c r="R491" i="10"/>
  <c r="G491" i="10"/>
  <c r="F491" i="10"/>
  <c r="T490" i="10"/>
  <c r="R490" i="10"/>
  <c r="G490" i="10"/>
  <c r="F490" i="10"/>
  <c r="O490" i="10" s="1"/>
  <c r="T489" i="10"/>
  <c r="R489" i="10"/>
  <c r="G489" i="10"/>
  <c r="F489" i="10"/>
  <c r="O489" i="10" s="1"/>
  <c r="U488" i="10"/>
  <c r="T488" i="10"/>
  <c r="R488" i="10"/>
  <c r="G488" i="10"/>
  <c r="F488" i="10"/>
  <c r="O488" i="10" s="1"/>
  <c r="T487" i="10"/>
  <c r="R487" i="10"/>
  <c r="G487" i="10"/>
  <c r="F487" i="10"/>
  <c r="T486" i="10"/>
  <c r="R486" i="10"/>
  <c r="G486" i="10"/>
  <c r="F486" i="10"/>
  <c r="O486" i="10" s="1"/>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O470" i="10" s="1"/>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O454" i="10" s="1"/>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O442" i="10" s="1"/>
  <c r="T441" i="10"/>
  <c r="R441" i="10"/>
  <c r="G441" i="10"/>
  <c r="F441" i="10"/>
  <c r="T440" i="10"/>
  <c r="R440" i="10"/>
  <c r="G440" i="10"/>
  <c r="F440" i="10"/>
  <c r="O440" i="10" s="1"/>
  <c r="T439" i="10"/>
  <c r="R439" i="10"/>
  <c r="G439" i="10"/>
  <c r="F439" i="10"/>
  <c r="T438" i="10"/>
  <c r="R438" i="10"/>
  <c r="G438" i="10"/>
  <c r="F438" i="10"/>
  <c r="O438" i="10" s="1"/>
  <c r="T437" i="10"/>
  <c r="R437" i="10"/>
  <c r="G437" i="10"/>
  <c r="F437" i="10"/>
  <c r="O437" i="10" s="1"/>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O429" i="10" s="1"/>
  <c r="T428" i="10"/>
  <c r="R428" i="10"/>
  <c r="G428" i="10"/>
  <c r="F428" i="10"/>
  <c r="L428" i="10" s="1"/>
  <c r="T427" i="10"/>
  <c r="R427" i="10"/>
  <c r="G427" i="10"/>
  <c r="F427" i="10"/>
  <c r="T426" i="10"/>
  <c r="R426" i="10"/>
  <c r="G426" i="10"/>
  <c r="F426" i="10"/>
  <c r="T425" i="10"/>
  <c r="R425" i="10"/>
  <c r="G425" i="10"/>
  <c r="F425" i="10"/>
  <c r="O425" i="10" s="1"/>
  <c r="T424" i="10"/>
  <c r="R424" i="10"/>
  <c r="G424" i="10"/>
  <c r="F424" i="10"/>
  <c r="L424" i="10" s="1"/>
  <c r="U423" i="10"/>
  <c r="T423" i="10"/>
  <c r="R423" i="10"/>
  <c r="G423" i="10"/>
  <c r="F423" i="10"/>
  <c r="T422" i="10"/>
  <c r="R422" i="10"/>
  <c r="G422" i="10"/>
  <c r="F422" i="10"/>
  <c r="O422" i="10" s="1"/>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O413" i="10" s="1"/>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O391" i="10" s="1"/>
  <c r="T390" i="10"/>
  <c r="R390" i="10"/>
  <c r="G390" i="10"/>
  <c r="F390" i="10"/>
  <c r="T389" i="10"/>
  <c r="R389" i="10"/>
  <c r="G389" i="10"/>
  <c r="F389" i="10"/>
  <c r="O389" i="10" s="1"/>
  <c r="T388" i="10"/>
  <c r="R388" i="10"/>
  <c r="G388" i="10"/>
  <c r="F388" i="10"/>
  <c r="T387" i="10"/>
  <c r="R387" i="10"/>
  <c r="G387" i="10"/>
  <c r="F387" i="10"/>
  <c r="O387" i="10" s="1"/>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O381" i="10" s="1"/>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O355" i="10" s="1"/>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O335" i="10" s="1"/>
  <c r="U334" i="10"/>
  <c r="T334" i="10"/>
  <c r="R334" i="10"/>
  <c r="G334" i="10"/>
  <c r="F334" i="10"/>
  <c r="O334" i="10" s="1"/>
  <c r="U333" i="10"/>
  <c r="T333" i="10"/>
  <c r="R333" i="10"/>
  <c r="G333" i="10"/>
  <c r="F333" i="10"/>
  <c r="O333" i="10" s="1"/>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O327" i="10" s="1"/>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O317" i="10" s="1"/>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O297" i="10" s="1"/>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O286" i="10" s="1"/>
  <c r="T285" i="10"/>
  <c r="R285" i="10"/>
  <c r="G285" i="10"/>
  <c r="F285" i="10"/>
  <c r="T284" i="10"/>
  <c r="R284" i="10"/>
  <c r="G284" i="10"/>
  <c r="F284" i="10"/>
  <c r="O284" i="10" s="1"/>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O266" i="10" s="1"/>
  <c r="T265" i="10"/>
  <c r="R265" i="10"/>
  <c r="G265" i="10"/>
  <c r="F265" i="10"/>
  <c r="T264" i="10"/>
  <c r="R264" i="10"/>
  <c r="G264" i="10"/>
  <c r="F264" i="10"/>
  <c r="T263" i="10"/>
  <c r="R263" i="10"/>
  <c r="G263" i="10"/>
  <c r="F263" i="10"/>
  <c r="T262" i="10"/>
  <c r="R262" i="10"/>
  <c r="G262" i="10"/>
  <c r="F262" i="10"/>
  <c r="O262" i="10" s="1"/>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O253" i="10" s="1"/>
  <c r="T252" i="10"/>
  <c r="R252" i="10"/>
  <c r="G252" i="10"/>
  <c r="F252" i="10"/>
  <c r="O252" i="10" s="1"/>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O246" i="10" s="1"/>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O237" i="10" s="1"/>
  <c r="U236" i="10"/>
  <c r="T236" i="10"/>
  <c r="R236" i="10"/>
  <c r="G236" i="10"/>
  <c r="F236" i="10"/>
  <c r="T235" i="10"/>
  <c r="R235" i="10"/>
  <c r="G235" i="10"/>
  <c r="F235" i="10"/>
  <c r="O235" i="10" s="1"/>
  <c r="T234" i="10"/>
  <c r="R234" i="10"/>
  <c r="G234" i="10"/>
  <c r="F234" i="10"/>
  <c r="U233" i="10"/>
  <c r="T233" i="10"/>
  <c r="R233" i="10"/>
  <c r="G233" i="10"/>
  <c r="F233" i="10"/>
  <c r="O233" i="10" s="1"/>
  <c r="T232" i="10"/>
  <c r="R232" i="10"/>
  <c r="G232" i="10"/>
  <c r="F232" i="10"/>
  <c r="O232" i="10" s="1"/>
  <c r="T231" i="10"/>
  <c r="R231" i="10"/>
  <c r="G231" i="10"/>
  <c r="F231" i="10"/>
  <c r="O231" i="10" s="1"/>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O218" i="10" s="1"/>
  <c r="T217" i="10"/>
  <c r="R217" i="10"/>
  <c r="G217" i="10"/>
  <c r="F217" i="10"/>
  <c r="T216" i="10"/>
  <c r="R216" i="10"/>
  <c r="G216" i="10"/>
  <c r="F216" i="10"/>
  <c r="T215" i="10"/>
  <c r="R215" i="10"/>
  <c r="G215" i="10"/>
  <c r="F215" i="10"/>
  <c r="T214" i="10"/>
  <c r="R214" i="10"/>
  <c r="G214" i="10"/>
  <c r="F214" i="10"/>
  <c r="O214" i="10" s="1"/>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O201" i="10" s="1"/>
  <c r="T200" i="10"/>
  <c r="R200" i="10"/>
  <c r="G200" i="10"/>
  <c r="F200" i="10"/>
  <c r="O200" i="10" s="1"/>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O186" i="10" s="1"/>
  <c r="T185" i="10"/>
  <c r="R185" i="10"/>
  <c r="G185" i="10"/>
  <c r="F185" i="10"/>
  <c r="O185" i="10" s="1"/>
  <c r="T184" i="10"/>
  <c r="R184" i="10"/>
  <c r="G184" i="10"/>
  <c r="F184" i="10"/>
  <c r="O184" i="10" s="1"/>
  <c r="T183" i="10"/>
  <c r="R183" i="10"/>
  <c r="G183" i="10"/>
  <c r="F183" i="10"/>
  <c r="T182" i="10"/>
  <c r="R182" i="10"/>
  <c r="G182" i="10"/>
  <c r="F182" i="10"/>
  <c r="O182" i="10" s="1"/>
  <c r="T181" i="10"/>
  <c r="R181" i="10"/>
  <c r="G181" i="10"/>
  <c r="F181" i="10"/>
  <c r="T180" i="10"/>
  <c r="R180" i="10"/>
  <c r="G180" i="10"/>
  <c r="F180" i="10"/>
  <c r="O180" i="10" s="1"/>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O134" i="10" s="1"/>
  <c r="T133" i="10"/>
  <c r="R133" i="10"/>
  <c r="G133" i="10"/>
  <c r="F133" i="10"/>
  <c r="U132" i="10"/>
  <c r="Y133" i="10" s="1"/>
  <c r="T132" i="10"/>
  <c r="R132" i="10"/>
  <c r="G132" i="10"/>
  <c r="F132" i="10"/>
  <c r="O132" i="10" s="1"/>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O118" i="10" s="1"/>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O102" i="10" s="1"/>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O60" i="10" s="1"/>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O45" i="10" s="1"/>
  <c r="U44" i="10"/>
  <c r="T44" i="10"/>
  <c r="R44" i="10"/>
  <c r="G44" i="10"/>
  <c r="F44" i="10"/>
  <c r="U43" i="10"/>
  <c r="Y43" i="10" s="1"/>
  <c r="Z43" i="10" s="1"/>
  <c r="T43" i="10"/>
  <c r="R43" i="10"/>
  <c r="G43" i="10"/>
  <c r="F43" i="10"/>
  <c r="T42" i="10"/>
  <c r="R42" i="10"/>
  <c r="G42" i="10"/>
  <c r="F42" i="10"/>
  <c r="T41" i="10"/>
  <c r="R41" i="10"/>
  <c r="G41" i="10"/>
  <c r="F41" i="10"/>
  <c r="T40" i="10"/>
  <c r="R40" i="10"/>
  <c r="G40" i="10"/>
  <c r="F40" i="10"/>
  <c r="O40" i="10" s="1"/>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O30" i="10" s="1"/>
  <c r="U29" i="10"/>
  <c r="Y29" i="10" s="1"/>
  <c r="Z29" i="10" s="1"/>
  <c r="T29" i="10"/>
  <c r="R29" i="10"/>
  <c r="G29" i="10"/>
  <c r="F29" i="10"/>
  <c r="T28" i="10"/>
  <c r="R28" i="10"/>
  <c r="G28" i="10"/>
  <c r="F28" i="10"/>
  <c r="T27" i="10"/>
  <c r="R27" i="10"/>
  <c r="G27" i="10"/>
  <c r="F27" i="10"/>
  <c r="O27" i="10" s="1"/>
  <c r="T26" i="10"/>
  <c r="R26" i="10"/>
  <c r="G26" i="10"/>
  <c r="F26" i="10"/>
  <c r="T25" i="10"/>
  <c r="R25" i="10"/>
  <c r="G25" i="10"/>
  <c r="F25" i="10"/>
  <c r="E32" i="13" s="1"/>
  <c r="U24" i="10"/>
  <c r="Y24" i="10" s="1"/>
  <c r="Z24" i="10" s="1"/>
  <c r="T24" i="10"/>
  <c r="R24" i="10"/>
  <c r="G24" i="10"/>
  <c r="F24" i="10"/>
  <c r="O24" i="10" s="1"/>
  <c r="U23" i="10"/>
  <c r="T23" i="10"/>
  <c r="R23" i="10"/>
  <c r="G23" i="10"/>
  <c r="F23" i="10"/>
  <c r="O23" i="10" s="1"/>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O11" i="10" s="1"/>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O7" i="10" s="1"/>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F320" i="13" l="1"/>
  <c r="G320" i="13" s="1"/>
  <c r="I320" i="13" s="1"/>
  <c r="Y320" i="13" s="1"/>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O268" i="10"/>
  <c r="L421" i="10"/>
  <c r="O421" i="10"/>
  <c r="E218" i="13"/>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O41" i="10"/>
  <c r="E55" i="13"/>
  <c r="O71" i="10"/>
  <c r="L78" i="10"/>
  <c r="O78" i="10"/>
  <c r="E140" i="13"/>
  <c r="O280" i="10"/>
  <c r="E148" i="13"/>
  <c r="O296" i="10"/>
  <c r="L390" i="10"/>
  <c r="O390" i="10"/>
  <c r="E198" i="13"/>
  <c r="O406" i="10"/>
  <c r="E220" i="13"/>
  <c r="O456" i="10"/>
  <c r="L525" i="10"/>
  <c r="O525" i="10"/>
  <c r="L536" i="10"/>
  <c r="O536" i="10"/>
  <c r="L548" i="10"/>
  <c r="O548" i="10"/>
  <c r="L552" i="10"/>
  <c r="O552" i="10"/>
  <c r="L583" i="10"/>
  <c r="O583" i="10"/>
  <c r="L598" i="10"/>
  <c r="O598" i="10"/>
  <c r="O349" i="10"/>
  <c r="O93" i="10"/>
  <c r="L26" i="10"/>
  <c r="O26" i="10"/>
  <c r="E77" i="13"/>
  <c r="O116" i="10"/>
  <c r="E97" i="13"/>
  <c r="O164" i="10"/>
  <c r="L234" i="10"/>
  <c r="O234" i="10"/>
  <c r="L249" i="10"/>
  <c r="O249" i="10"/>
  <c r="E150" i="13"/>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O316" i="10"/>
  <c r="L472" i="10"/>
  <c r="O472" i="10"/>
  <c r="L580" i="10"/>
  <c r="O580" i="10"/>
  <c r="L653" i="10"/>
  <c r="O653" i="10"/>
  <c r="L662" i="10"/>
  <c r="O662" i="10"/>
  <c r="E305" i="13"/>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O57" i="10"/>
  <c r="L79" i="10"/>
  <c r="O79" i="10"/>
  <c r="L109" i="10"/>
  <c r="O109" i="10"/>
  <c r="L165" i="10"/>
  <c r="O165" i="10"/>
  <c r="E125" i="13"/>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O61" i="10"/>
  <c r="L365" i="10"/>
  <c r="O365" i="10"/>
  <c r="L419" i="10"/>
  <c r="O419" i="10"/>
  <c r="L461" i="10"/>
  <c r="O461" i="10"/>
  <c r="L469" i="10"/>
  <c r="O469" i="10"/>
  <c r="E232" i="13"/>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O473" i="10"/>
  <c r="L477" i="10"/>
  <c r="O477" i="10"/>
  <c r="L581" i="10"/>
  <c r="O581" i="10"/>
  <c r="O342" i="10"/>
  <c r="O326" i="10"/>
  <c r="O310" i="10"/>
  <c r="O294" i="10"/>
  <c r="O278" i="10"/>
  <c r="O230" i="10"/>
  <c r="O86" i="10"/>
  <c r="O70" i="10"/>
  <c r="O54" i="10"/>
  <c r="O38" i="10"/>
  <c r="O22" i="10"/>
  <c r="L131" i="10"/>
  <c r="O131" i="10"/>
  <c r="L221" i="10"/>
  <c r="O221" i="10"/>
  <c r="E141" i="13"/>
  <c r="O282" i="10"/>
  <c r="L388" i="10"/>
  <c r="O388" i="10"/>
  <c r="E197" i="13"/>
  <c r="O404" i="10"/>
  <c r="E199" i="13"/>
  <c r="O408" i="10"/>
  <c r="L423" i="10"/>
  <c r="O423" i="10"/>
  <c r="L534" i="10"/>
  <c r="O534" i="10"/>
  <c r="L538" i="10"/>
  <c r="O538" i="10"/>
  <c r="L550" i="10"/>
  <c r="O550" i="10"/>
  <c r="L596" i="10"/>
  <c r="O596" i="10"/>
  <c r="E298" i="13"/>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O458" i="10"/>
  <c r="L500" i="10"/>
  <c r="O500" i="10"/>
  <c r="E279" i="13"/>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O29" i="10"/>
  <c r="L44" i="10"/>
  <c r="O44" i="10"/>
  <c r="L115" i="10"/>
  <c r="O115" i="10"/>
  <c r="L119" i="10"/>
  <c r="O119" i="10"/>
  <c r="L163" i="10"/>
  <c r="O163" i="10"/>
  <c r="E124" i="13"/>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L15" i="10"/>
  <c r="E27" i="13"/>
  <c r="L19" i="10"/>
  <c r="E29" i="13"/>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L414" i="10"/>
  <c r="E202" i="13"/>
  <c r="L418" i="10"/>
  <c r="E204" i="13"/>
  <c r="L420" i="10"/>
  <c r="E205" i="13"/>
  <c r="L425" i="10"/>
  <c r="E206" i="13"/>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H228" i="13" a="1"/>
  <c r="H228" i="13" s="1"/>
  <c r="Y680" i="13"/>
  <c r="H279" i="13" a="1"/>
  <c r="H279" i="13" s="1"/>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H305" i="13" a="1"/>
  <c r="H305" i="13"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H298" i="13" a="1"/>
  <c r="H298" i="13" s="1"/>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G118" i="13" s="1"/>
  <c r="I118" i="13" s="1"/>
  <c r="Y118" i="13" s="1"/>
  <c r="S331" i="10"/>
  <c r="I331" i="10" s="1"/>
  <c r="K331" i="10" s="1"/>
  <c r="S36" i="10"/>
  <c r="I36" i="10" s="1"/>
  <c r="K36" i="10" s="1"/>
  <c r="S84" i="10"/>
  <c r="I84" i="10" s="1"/>
  <c r="S132" i="10"/>
  <c r="I132" i="10" s="1"/>
  <c r="F85" i="13" s="1"/>
  <c r="G85" i="13" s="1"/>
  <c r="I85" i="13" s="1"/>
  <c r="Y85" i="13" s="1"/>
  <c r="Y30" i="10"/>
  <c r="Z30" i="10" s="1"/>
  <c r="S80" i="10"/>
  <c r="I80" i="10" s="1"/>
  <c r="F59" i="13" s="1"/>
  <c r="G59" i="13" s="1"/>
  <c r="I59" i="13" s="1"/>
  <c r="Y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189" i="13" s="1"/>
  <c r="I189" i="13" s="1"/>
  <c r="Y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G174" i="13" s="1"/>
  <c r="I174" i="13" s="1"/>
  <c r="Y174" i="13" s="1"/>
  <c r="S448" i="10"/>
  <c r="I448" i="10" s="1"/>
  <c r="F216" i="13" s="1"/>
  <c r="S82" i="10"/>
  <c r="I82" i="10" s="1"/>
  <c r="S152" i="10"/>
  <c r="I152" i="10" s="1"/>
  <c r="S287" i="10"/>
  <c r="I287" i="10" s="1"/>
  <c r="K287" i="10" s="1"/>
  <c r="S340" i="10"/>
  <c r="I340" i="10" s="1"/>
  <c r="F169" i="13" s="1"/>
  <c r="G169" i="13" s="1"/>
  <c r="I169" i="13" s="1"/>
  <c r="Y169" i="13" s="1"/>
  <c r="S347" i="10"/>
  <c r="I347" i="10" s="1"/>
  <c r="F173" i="13" s="1"/>
  <c r="G173" i="13" s="1"/>
  <c r="I173" i="13" s="1"/>
  <c r="Y173" i="13" s="1"/>
  <c r="O8" i="13"/>
  <c r="S148" i="10"/>
  <c r="I148" i="10" s="1"/>
  <c r="S323" i="10"/>
  <c r="I323" i="10" s="1"/>
  <c r="F161" i="13" s="1"/>
  <c r="S11" i="10"/>
  <c r="I11" i="10" s="1"/>
  <c r="K11" i="10" s="1"/>
  <c r="S64" i="10"/>
  <c r="I64" i="10" s="1"/>
  <c r="K64" i="10" s="1"/>
  <c r="S38" i="10"/>
  <c r="I38" i="10" s="1"/>
  <c r="F38" i="13" s="1"/>
  <c r="G38" i="13" s="1"/>
  <c r="I38" i="13" s="1"/>
  <c r="Y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G190" i="13" s="1"/>
  <c r="I190" i="13" s="1"/>
  <c r="Y190" i="13" s="1"/>
  <c r="S399" i="10"/>
  <c r="I399" i="10" s="1"/>
  <c r="F195" i="13" s="1"/>
  <c r="G195" i="13" s="1"/>
  <c r="I195" i="13" s="1"/>
  <c r="Y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G79" i="13" s="1"/>
  <c r="I79" i="13" s="1"/>
  <c r="Y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H29" i="13" a="1"/>
  <c r="H29" i="13" s="1"/>
  <c r="E93" i="7"/>
  <c r="U17" i="13"/>
  <c r="Y10" i="10"/>
  <c r="Z10" i="10" s="1"/>
  <c r="AA10" i="10" s="1"/>
  <c r="AB10" i="10" s="1"/>
  <c r="F111" i="7" s="1"/>
  <c r="S5" i="10"/>
  <c r="I5" i="10" s="1"/>
  <c r="K5" i="10" s="1"/>
  <c r="H26" i="13" a="1"/>
  <c r="H26" i="13" s="1"/>
  <c r="Y13" i="10"/>
  <c r="Z13" i="10" s="1"/>
  <c r="AA13" i="10" s="1"/>
  <c r="AB13" i="10" s="1"/>
  <c r="L111" i="7" s="1"/>
  <c r="L22" i="10"/>
  <c r="S25" i="10"/>
  <c r="I25" i="10" s="1"/>
  <c r="K25" i="10" s="1"/>
  <c r="H34" i="13" a="1"/>
  <c r="H34" i="13"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H48" i="13" a="1"/>
  <c r="H48" i="13" s="1"/>
  <c r="L57" i="10"/>
  <c r="Y77" i="10"/>
  <c r="Z77" i="10" s="1"/>
  <c r="U15" i="13"/>
  <c r="H54" i="13" a="1"/>
  <c r="H54" i="13" s="1"/>
  <c r="L69" i="10"/>
  <c r="H50" i="13" a="1"/>
  <c r="H50" i="13" s="1"/>
  <c r="L61" i="10"/>
  <c r="H58" i="13" a="1"/>
  <c r="H58" i="13" s="1"/>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H55" i="13" a="1"/>
  <c r="H55" i="13" s="1"/>
  <c r="L71" i="10"/>
  <c r="Y71" i="10"/>
  <c r="Z71" i="10" s="1"/>
  <c r="L40" i="10"/>
  <c r="H40" i="13" a="1"/>
  <c r="H40" i="13" s="1"/>
  <c r="L41" i="10"/>
  <c r="H84" i="13" a="1"/>
  <c r="H84" i="13" s="1"/>
  <c r="L130" i="10"/>
  <c r="H77" i="13" a="1"/>
  <c r="H77" i="13" s="1"/>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H75" i="13" a="1"/>
  <c r="H75"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H124" i="13" a="1"/>
  <c r="H124" i="13" s="1"/>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H111" i="13" a="1"/>
  <c r="H111" i="13" s="1"/>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H125" i="13" a="1"/>
  <c r="H125" i="13" s="1"/>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H141" i="13" a="1"/>
  <c r="H141" i="13" s="1"/>
  <c r="L282" i="10"/>
  <c r="H148" i="13" a="1"/>
  <c r="H148" i="13" s="1"/>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H134" i="13" a="1"/>
  <c r="H134"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H140" i="13" a="1"/>
  <c r="H140" i="13" s="1"/>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H159" i="13" a="1"/>
  <c r="H159" i="13"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204" i="13" a="1"/>
  <c r="H204" i="13" s="1"/>
  <c r="H184" i="13" a="1"/>
  <c r="H184" i="13" s="1"/>
  <c r="L370" i="10"/>
  <c r="H200" i="13" a="1"/>
  <c r="H200" i="13" s="1"/>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206" i="13" a="1"/>
  <c r="H206" i="13" s="1"/>
  <c r="H196" i="13" a="1"/>
  <c r="H196" i="13" s="1"/>
  <c r="L402" i="10"/>
  <c r="L432" i="10"/>
  <c r="S426" i="10"/>
  <c r="I426" i="10" s="1"/>
  <c r="F206" i="13" s="1"/>
  <c r="H202" i="13" a="1"/>
  <c r="H202" i="13" s="1"/>
  <c r="S429" i="10"/>
  <c r="I429" i="10" s="1"/>
  <c r="F208" i="13" s="1"/>
  <c r="Y457" i="10"/>
  <c r="Y456" i="10"/>
  <c r="Z456" i="10" s="1"/>
  <c r="H221" i="13" a="1"/>
  <c r="H221" i="13" s="1"/>
  <c r="Y450" i="10"/>
  <c r="Z450" i="10" s="1"/>
  <c r="H218" i="13" a="1"/>
  <c r="H218" i="13"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H205" i="13" a="1"/>
  <c r="H205" i="13" s="1"/>
  <c r="H216" i="13" a="1"/>
  <c r="H216" i="13" s="1"/>
  <c r="S452" i="10"/>
  <c r="I452" i="10" s="1"/>
  <c r="K452" i="10" s="1"/>
  <c r="H220" i="13" a="1"/>
  <c r="H220" i="13"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K435" i="10"/>
  <c r="S457" i="10"/>
  <c r="I457" i="10" s="1"/>
  <c r="K457" i="10" s="1"/>
  <c r="Q43" i="11"/>
  <c r="P43" i="11"/>
  <c r="R43" i="11" s="1"/>
  <c r="S472" i="10"/>
  <c r="I472" i="10" s="1"/>
  <c r="K472" i="10" s="1"/>
  <c r="H232" i="13" a="1"/>
  <c r="H232" i="13"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H233" i="13" a="1"/>
  <c r="H233" i="13"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326" i="13"/>
  <c r="Y437" i="13"/>
  <c r="Y421" i="13"/>
  <c r="Y405" i="13"/>
  <c r="Y389" i="13"/>
  <c r="Y373" i="13"/>
  <c r="Y444" i="13"/>
  <c r="Y428" i="13"/>
  <c r="Y412" i="13"/>
  <c r="Y396" i="13"/>
  <c r="Y380" i="13"/>
  <c r="Y364" i="13"/>
  <c r="Y348" i="13"/>
  <c r="Y332"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39" i="13"/>
  <c r="Y367" i="13"/>
  <c r="Y355" i="13"/>
  <c r="Y344" i="13"/>
  <c r="Y360" i="13"/>
  <c r="Y346" i="13"/>
  <c r="Y323" i="13"/>
  <c r="Y369" i="13"/>
  <c r="Y341" i="13"/>
  <c r="Y328" i="13"/>
  <c r="Y357" i="13"/>
  <c r="Y330" i="13"/>
  <c r="Y376" i="13"/>
  <c r="Y343" i="13"/>
  <c r="Y351" i="13"/>
  <c r="Y325" i="13"/>
  <c r="Y335" i="13"/>
  <c r="Y353" i="13"/>
  <c r="Y337" i="13"/>
  <c r="Y327"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21" i="13"/>
  <c r="Y379" i="13"/>
  <c r="Y386" i="13"/>
  <c r="Y402" i="13"/>
  <c r="Y418" i="13"/>
  <c r="Y434"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40" i="13"/>
  <c r="Y438" i="13"/>
  <c r="F318" i="13" l="1"/>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AA122" i="10"/>
  <c r="AB122" i="10" s="1"/>
  <c r="U133" i="10" s="1"/>
  <c r="Z133" i="10" s="1"/>
  <c r="K121" i="10"/>
  <c r="K693" i="10"/>
  <c r="F316" i="13"/>
  <c r="G316" i="13" s="1"/>
  <c r="I316" i="13" s="1"/>
  <c r="Y316" i="13" s="1"/>
  <c r="K347" i="10"/>
  <c r="F101" i="13"/>
  <c r="K323" i="10"/>
  <c r="F315" i="13"/>
  <c r="G315" i="13" s="1"/>
  <c r="I315" i="13" s="1"/>
  <c r="Y315" i="13" s="1"/>
  <c r="K49" i="10"/>
  <c r="O18" i="13"/>
  <c r="K388" i="10"/>
  <c r="F107" i="13"/>
  <c r="K340" i="10"/>
  <c r="K373" i="10"/>
  <c r="F108" i="13"/>
  <c r="K386" i="10"/>
  <c r="F110" i="13"/>
  <c r="G110" i="13" s="1"/>
  <c r="I110" i="13" s="1"/>
  <c r="Y110" i="13" s="1"/>
  <c r="F109" i="13"/>
  <c r="F97" i="13"/>
  <c r="F105" i="13"/>
  <c r="F99" i="13"/>
  <c r="K363" i="10"/>
  <c r="F104" i="13"/>
  <c r="K216" i="10"/>
  <c r="K132" i="10"/>
  <c r="F95" i="13"/>
  <c r="G95" i="13" s="1"/>
  <c r="I95" i="13" s="1"/>
  <c r="Y95" i="13" s="1"/>
  <c r="F98" i="13"/>
  <c r="K235" i="10"/>
  <c r="F102" i="13"/>
  <c r="K399" i="10"/>
  <c r="F100" i="13"/>
  <c r="K360" i="10"/>
  <c r="F179" i="13"/>
  <c r="G179" i="13" s="1"/>
  <c r="I179" i="13" s="1"/>
  <c r="Y179" i="13" s="1"/>
  <c r="K315" i="10"/>
  <c r="F157" i="13"/>
  <c r="K283" i="10"/>
  <c r="F141" i="13"/>
  <c r="G141" i="13" s="1"/>
  <c r="I141" i="13" s="1"/>
  <c r="Y141" i="13" s="1"/>
  <c r="F121" i="13"/>
  <c r="G121" i="13" s="1"/>
  <c r="I121" i="13" s="1"/>
  <c r="Y121" i="13" s="1"/>
  <c r="K109" i="10"/>
  <c r="F73" i="13"/>
  <c r="G73" i="13" s="1"/>
  <c r="I73" i="13" s="1"/>
  <c r="Y73" i="13" s="1"/>
  <c r="F30" i="13"/>
  <c r="G30" i="13" s="1"/>
  <c r="I30" i="13" s="1"/>
  <c r="Y30" i="13" s="1"/>
  <c r="K467" i="10"/>
  <c r="F225" i="13"/>
  <c r="F92" i="13"/>
  <c r="G92" i="13" s="1"/>
  <c r="I92" i="13" s="1"/>
  <c r="Y92" i="13" s="1"/>
  <c r="F214" i="13"/>
  <c r="G214" i="13" s="1"/>
  <c r="I214" i="13" s="1"/>
  <c r="Y214" i="13" s="1"/>
  <c r="F126" i="13"/>
  <c r="G126" i="13" s="1"/>
  <c r="I126" i="13" s="1"/>
  <c r="Y126" i="13" s="1"/>
  <c r="K188" i="10"/>
  <c r="F103" i="13"/>
  <c r="F119" i="13"/>
  <c r="G119" i="13" s="1"/>
  <c r="I119" i="13" s="1"/>
  <c r="Y119" i="13" s="1"/>
  <c r="K142" i="10"/>
  <c r="F90" i="13"/>
  <c r="K136" i="10"/>
  <c r="F87" i="13"/>
  <c r="K296" i="10"/>
  <c r="F148" i="13"/>
  <c r="K138" i="10"/>
  <c r="F88" i="13"/>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F129" i="13"/>
  <c r="G129" i="13" s="1"/>
  <c r="I129" i="13" s="1"/>
  <c r="Y129" i="13" s="1"/>
  <c r="F127" i="13"/>
  <c r="G127" i="13" s="1"/>
  <c r="I127" i="13" s="1"/>
  <c r="Y127" i="13" s="1"/>
  <c r="F115" i="13"/>
  <c r="G115" i="13" s="1"/>
  <c r="I115" i="13" s="1"/>
  <c r="Y115" i="13" s="1"/>
  <c r="F81" i="13"/>
  <c r="G81" i="13" s="1"/>
  <c r="I81" i="13" s="1"/>
  <c r="Y81" i="13" s="1"/>
  <c r="K446" i="10"/>
  <c r="F215" i="13"/>
  <c r="F213" i="13"/>
  <c r="G213" i="13" s="1"/>
  <c r="I213" i="13" s="1"/>
  <c r="Y213" i="13" s="1"/>
  <c r="K416" i="10"/>
  <c r="F203" i="13"/>
  <c r="G203" i="13" s="1"/>
  <c r="I203" i="13" s="1"/>
  <c r="Y203" i="13" s="1"/>
  <c r="F212" i="13"/>
  <c r="G212" i="13" s="1"/>
  <c r="I212" i="13" s="1"/>
  <c r="Y212" i="13" s="1"/>
  <c r="K160" i="10"/>
  <c r="F96" i="13"/>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G225" i="13"/>
  <c r="I225" i="13" s="1"/>
  <c r="Y225"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G87" i="13"/>
  <c r="I87" i="13" s="1"/>
  <c r="Y87" i="13" s="1"/>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G215" i="13"/>
  <c r="I215" i="13" s="1"/>
  <c r="Y215" i="13" s="1"/>
  <c r="K441" i="10"/>
  <c r="K20" i="10"/>
  <c r="K124" i="10"/>
  <c r="K122" i="10"/>
  <c r="K437" i="10"/>
  <c r="K250" i="10"/>
  <c r="K229" i="10"/>
  <c r="G90" i="13"/>
  <c r="I90" i="13" s="1"/>
  <c r="Y90" i="13" s="1"/>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G150" i="13"/>
  <c r="I150" i="13" s="1"/>
  <c r="Y150" i="13" s="1"/>
  <c r="K367" i="10"/>
  <c r="K402" i="10"/>
  <c r="G44" i="13"/>
  <c r="I44" i="13" s="1"/>
  <c r="Y44" i="13" s="1"/>
  <c r="Q17" i="7"/>
  <c r="G111" i="13"/>
  <c r="I111" i="13" s="1"/>
  <c r="Y111" i="13" s="1"/>
  <c r="K281" i="10"/>
  <c r="G34" i="13"/>
  <c r="I34" i="13" s="1"/>
  <c r="Y34" i="13" s="1"/>
  <c r="G51" i="13"/>
  <c r="I51" i="13" s="1"/>
  <c r="Y51"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57" i="13"/>
  <c r="I157" i="13" s="1"/>
  <c r="Y157" i="13" s="1"/>
  <c r="G198" i="13"/>
  <c r="I198" i="13" s="1"/>
  <c r="Y198" i="13" s="1"/>
  <c r="G125" i="13"/>
  <c r="I125" i="13" s="1"/>
  <c r="Y125" i="13" s="1"/>
  <c r="G88" i="13"/>
  <c r="I88" i="13" s="1"/>
  <c r="Y88" i="13" s="1"/>
  <c r="Q25" i="7"/>
  <c r="Q19" i="7"/>
  <c r="A11" i="9" s="1"/>
  <c r="E24" i="3"/>
  <c r="G52" i="13"/>
  <c r="I52" i="13" s="1"/>
  <c r="Y52" i="13" s="1"/>
  <c r="G137" i="13"/>
  <c r="I137" i="13" s="1"/>
  <c r="Y137" i="13" s="1"/>
  <c r="Q12" i="7"/>
  <c r="K16" i="10"/>
  <c r="G182" i="13"/>
  <c r="I182" i="13" s="1"/>
  <c r="Y182" i="13" s="1"/>
  <c r="Q14" i="7"/>
  <c r="Q20" i="7"/>
  <c r="G154" i="13"/>
  <c r="I154" i="13" s="1"/>
  <c r="Y154" i="13" s="1"/>
  <c r="Q16" i="7"/>
  <c r="K146" i="10"/>
  <c r="K252" i="10"/>
  <c r="G103" i="13"/>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G96" i="13"/>
  <c r="I96" i="13" s="1"/>
  <c r="Y96"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G108" i="13"/>
  <c r="I108" i="13" s="1"/>
  <c r="Y108" i="13" s="1"/>
  <c r="K208" i="10"/>
  <c r="G99" i="13"/>
  <c r="I99" i="13" s="1"/>
  <c r="Y99" i="13" s="1"/>
  <c r="G49" i="13"/>
  <c r="I49" i="13" s="1"/>
  <c r="Y49" i="13" s="1"/>
  <c r="K59" i="10"/>
  <c r="G153" i="13"/>
  <c r="I153" i="13" s="1"/>
  <c r="Y153" i="13" s="1"/>
  <c r="K306" i="10"/>
  <c r="Y51" i="10"/>
  <c r="Z51" i="10" s="1"/>
  <c r="Y52" i="10"/>
  <c r="G64" i="13"/>
  <c r="I64" i="13" s="1"/>
  <c r="Y64" i="13" s="1"/>
  <c r="K90" i="10"/>
  <c r="G28" i="13"/>
  <c r="I28" i="13" s="1"/>
  <c r="Y28" i="13" s="1"/>
  <c r="K18" i="10"/>
  <c r="R10" i="13"/>
  <c r="T10" i="13"/>
  <c r="G107" i="13"/>
  <c r="I107" i="13" s="1"/>
  <c r="Y107" i="13" s="1"/>
  <c r="K204" i="10"/>
  <c r="G102" i="13"/>
  <c r="I102" i="13" s="1"/>
  <c r="Y102" i="13" s="1"/>
  <c r="K184" i="10"/>
  <c r="G100" i="13"/>
  <c r="I100" i="13" s="1"/>
  <c r="Y100" i="13" s="1"/>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G97" i="13"/>
  <c r="I97" i="13" s="1"/>
  <c r="Y97" i="13" s="1"/>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G106" i="13"/>
  <c r="I106" i="13" s="1"/>
  <c r="Y106" i="13" s="1"/>
  <c r="K200" i="10"/>
  <c r="G135" i="13"/>
  <c r="I135" i="13" s="1"/>
  <c r="Y135" i="13" s="1"/>
  <c r="G105" i="13"/>
  <c r="I105" i="13" s="1"/>
  <c r="Y105" i="13" s="1"/>
  <c r="K196" i="10"/>
  <c r="G58" i="13"/>
  <c r="I58" i="13" s="1"/>
  <c r="Y58" i="13" s="1"/>
  <c r="K77" i="10"/>
  <c r="G226" i="13"/>
  <c r="I226" i="13" s="1"/>
  <c r="Y226" i="13" s="1"/>
  <c r="K468" i="10"/>
  <c r="G104" i="13"/>
  <c r="I104" i="13" s="1"/>
  <c r="Y104" i="13" s="1"/>
  <c r="K192" i="10"/>
  <c r="G148" i="13"/>
  <c r="I148" i="13" s="1"/>
  <c r="Y148" i="13" s="1"/>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G109" i="13"/>
  <c r="I109" i="13" s="1"/>
  <c r="Y109" i="13" s="1"/>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AI20" i="13"/>
  <c r="W20" i="13"/>
  <c r="F100" i="7"/>
  <c r="G186" i="13"/>
  <c r="I186" i="13" s="1"/>
  <c r="Y186" i="13" s="1"/>
  <c r="K380" i="10"/>
  <c r="G147" i="13"/>
  <c r="I147" i="13" s="1"/>
  <c r="Y147" i="13" s="1"/>
  <c r="K295" i="10"/>
  <c r="G117" i="13"/>
  <c r="I117" i="13" s="1"/>
  <c r="Y117" i="13" s="1"/>
  <c r="K234" i="10"/>
  <c r="G134" i="13"/>
  <c r="I134" i="13" s="1"/>
  <c r="Y134" i="13" s="1"/>
  <c r="K268" i="10"/>
  <c r="G101" i="13"/>
  <c r="I101" i="13" s="1"/>
  <c r="Y101" i="13" s="1"/>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G98" i="13"/>
  <c r="I98" i="13" s="1"/>
  <c r="Y98" i="13" s="1"/>
  <c r="K168" i="10"/>
  <c r="AC20" i="13"/>
  <c r="AC19" i="13"/>
  <c r="AA138" i="10" l="1"/>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28" i="10" l="1"/>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9" i="10" l="1"/>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9" i="10" l="1"/>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AA673" i="10" l="1"/>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P106" i="7" l="1"/>
  <c r="B10" i="3" s="1"/>
  <c r="D10" i="3"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C10" i="3" l="1"/>
  <c r="Y645" i="10"/>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91" i="10" l="1"/>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Y676" i="10" l="1"/>
  <c r="Z676" i="10" s="1"/>
  <c r="AA676" i="10" s="1"/>
  <c r="AB676" i="10" s="1"/>
  <c r="Y675" i="10"/>
  <c r="Z675" i="10" s="1"/>
  <c r="AA675" i="10" s="1"/>
  <c r="AB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678" i="10" l="1"/>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I110" i="7" s="1"/>
  <c r="Y677" i="10"/>
  <c r="Z677" i="10" s="1"/>
  <c r="AA677" i="10" s="1"/>
  <c r="AB677" i="10" s="1"/>
  <c r="F110" i="7" s="1"/>
  <c r="H9" i="5"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G108" i="7"/>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U685" i="10" l="1"/>
  <c r="U686" i="10"/>
  <c r="D12" i="3"/>
  <c r="AA513" i="10"/>
  <c r="AB513" i="10" s="1"/>
  <c r="U516" i="10"/>
  <c r="U515" i="10"/>
  <c r="K53" i="13"/>
  <c r="H69" i="10"/>
  <c r="H87" i="10"/>
  <c r="R44" i="13"/>
  <c r="H52" i="10"/>
  <c r="M44" i="13"/>
  <c r="H51" i="10"/>
  <c r="Y686" i="10" l="1"/>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AA685" i="10" l="1"/>
  <c r="AB685" i="10" s="1"/>
  <c r="U688" i="10"/>
  <c r="U687" i="10"/>
  <c r="AA515" i="10"/>
  <c r="AB515" i="10" s="1"/>
  <c r="U518" i="10"/>
  <c r="U517" i="10"/>
  <c r="W70" i="10"/>
  <c r="W69" i="10"/>
  <c r="X69" i="10" s="1"/>
  <c r="J86" i="10"/>
  <c r="M86" i="10" s="1"/>
  <c r="N86" i="10" s="1"/>
  <c r="J87" i="10"/>
  <c r="M87" i="10" s="1"/>
  <c r="N87" i="10" s="1"/>
  <c r="W52" i="10"/>
  <c r="X52" i="10" s="1"/>
  <c r="W51" i="10"/>
  <c r="X51" i="10" s="1"/>
  <c r="Y688" i="10" l="1"/>
  <c r="Z688" i="10" s="1"/>
  <c r="AA688" i="10" s="1"/>
  <c r="AB688" i="10" s="1"/>
  <c r="Y687" i="10"/>
  <c r="Z687" i="10" s="1"/>
  <c r="AA687" i="10" s="1"/>
  <c r="AB687" i="10" s="1"/>
  <c r="Y517" i="10"/>
  <c r="Z517" i="10" s="1"/>
  <c r="AA517" i="10" s="1"/>
  <c r="AB517" i="10" s="1"/>
  <c r="Y518" i="10"/>
  <c r="Z518" i="10" s="1"/>
  <c r="J51" i="10"/>
  <c r="M51" i="10" s="1"/>
  <c r="N51" i="10" s="1"/>
  <c r="J52" i="10"/>
  <c r="M52" i="10" s="1"/>
  <c r="N52" i="10" s="1"/>
  <c r="S62" i="13"/>
  <c r="H88" i="10"/>
  <c r="H89" i="10"/>
  <c r="U690" i="10" l="1"/>
  <c r="U689" i="10"/>
  <c r="U556" i="10"/>
  <c r="AA518" i="10"/>
  <c r="AB518" i="10" s="1"/>
  <c r="V89" i="10"/>
  <c r="P89" i="10"/>
  <c r="Q89" i="10" s="1"/>
  <c r="P88" i="10"/>
  <c r="Q88" i="10" s="1"/>
  <c r="V88" i="10"/>
  <c r="R45" i="13"/>
  <c r="H54" i="10"/>
  <c r="M45" i="13"/>
  <c r="H53" i="10"/>
  <c r="Y691" i="10" l="1"/>
  <c r="Z691" i="10" s="1"/>
  <c r="AA691" i="10" s="1"/>
  <c r="AB691" i="10" s="1"/>
  <c r="Y689" i="10"/>
  <c r="Z689" i="10" s="1"/>
  <c r="AA689" i="10" s="1"/>
  <c r="AB689" i="10" s="1"/>
  <c r="Y690" i="10"/>
  <c r="Z690" i="10" s="1"/>
  <c r="AA690" i="10" s="1"/>
  <c r="AB690" i="10" s="1"/>
  <c r="Y556" i="10"/>
  <c r="Z556" i="10" s="1"/>
  <c r="Y557" i="10"/>
  <c r="U537" i="10"/>
  <c r="P53" i="10"/>
  <c r="Q53" i="10" s="1"/>
  <c r="P54" i="10"/>
  <c r="Q54" i="10" s="1"/>
  <c r="V53" i="10"/>
  <c r="V54" i="10"/>
  <c r="W89" i="10"/>
  <c r="X89" i="10" s="1"/>
  <c r="W88" i="10"/>
  <c r="X88" i="10" s="1"/>
  <c r="U694" i="10" l="1"/>
  <c r="U693" i="10"/>
  <c r="U692" i="10"/>
  <c r="Y538" i="10"/>
  <c r="Z538" i="10" s="1"/>
  <c r="AA538" i="10" s="1"/>
  <c r="AB538" i="10" s="1"/>
  <c r="Y537" i="10"/>
  <c r="Z537" i="10" s="1"/>
  <c r="J89" i="10"/>
  <c r="M89" i="10" s="1"/>
  <c r="N89" i="10" s="1"/>
  <c r="J88" i="10"/>
  <c r="M88" i="10" s="1"/>
  <c r="N88" i="10" s="1"/>
  <c r="W54" i="10"/>
  <c r="X54" i="10" s="1"/>
  <c r="W53" i="10"/>
  <c r="X53" i="10" s="1"/>
  <c r="Y693" i="10" l="1"/>
  <c r="Z693" i="10" s="1"/>
  <c r="AA693" i="10" s="1"/>
  <c r="AB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U697" i="10" l="1"/>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696" i="10" s="1"/>
  <c r="AB696" i="10" s="1"/>
  <c r="AA539" i="10"/>
  <c r="AB539" i="10" s="1"/>
  <c r="U546" i="10"/>
  <c r="U541" i="10"/>
  <c r="P56" i="10"/>
  <c r="Q56" i="10" s="1"/>
  <c r="P55" i="10"/>
  <c r="Q55" i="10" s="1"/>
  <c r="V55" i="10"/>
  <c r="V56" i="10"/>
  <c r="U699" i="10" l="1"/>
  <c r="U698" i="10"/>
  <c r="U700" i="10"/>
  <c r="Y546" i="10"/>
  <c r="Z546" i="10" s="1"/>
  <c r="Y545" i="10"/>
  <c r="Y541" i="10"/>
  <c r="Z541" i="10" s="1"/>
  <c r="Y542" i="10"/>
  <c r="Z542" i="10" s="1"/>
  <c r="AA542" i="10" s="1"/>
  <c r="AB542" i="10" s="1"/>
  <c r="W55" i="10"/>
  <c r="X55" i="10" s="1"/>
  <c r="W56" i="10"/>
  <c r="X56" i="10" s="1"/>
  <c r="Y698" i="10" l="1"/>
  <c r="Z698" i="10" s="1"/>
  <c r="AA698" i="10" s="1"/>
  <c r="AB698" i="10" s="1"/>
  <c r="Y699" i="10"/>
  <c r="Z699" i="10" s="1"/>
  <c r="AA699" i="10" s="1"/>
  <c r="AB699" i="10" s="1"/>
  <c r="Y700" i="10"/>
  <c r="Z700" i="10" s="1"/>
  <c r="AA700" i="10" s="1"/>
  <c r="AB700" i="10" s="1"/>
  <c r="B124" i="7" s="1"/>
  <c r="AA541" i="10"/>
  <c r="AB541" i="10" s="1"/>
  <c r="U550" i="10"/>
  <c r="U543" i="10"/>
  <c r="J55" i="10"/>
  <c r="M55" i="10" s="1"/>
  <c r="N55" i="10" s="1"/>
  <c r="J56" i="10"/>
  <c r="M56" i="10" s="1"/>
  <c r="N56" i="10" s="1"/>
  <c r="U702" i="10" l="1"/>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AA702" i="10" s="1"/>
  <c r="AB702" i="10" s="1"/>
  <c r="Y701" i="10"/>
  <c r="Z701" i="10" s="1"/>
  <c r="AA701" i="10" s="1"/>
  <c r="AB701" i="10" s="1"/>
  <c r="AA543" i="10"/>
  <c r="AB543" i="10" s="1"/>
  <c r="U555" i="10"/>
  <c r="U545" i="10"/>
  <c r="V74" i="10"/>
  <c r="V58" i="10"/>
  <c r="X58" i="10" s="1"/>
  <c r="Q58" i="10"/>
  <c r="U704" i="10" l="1"/>
  <c r="U703" i="10"/>
  <c r="Y554" i="10"/>
  <c r="Y555" i="10"/>
  <c r="Z555" i="10" s="1"/>
  <c r="Z545" i="10"/>
  <c r="J57" i="10"/>
  <c r="M57" i="10" s="1"/>
  <c r="N57" i="10" s="1"/>
  <c r="J58" i="10"/>
  <c r="M58" i="10" s="1"/>
  <c r="N58" i="10" s="1"/>
  <c r="Y703" i="10" l="1"/>
  <c r="Z703" i="10" s="1"/>
  <c r="AA703" i="10" s="1"/>
  <c r="AB703" i="10" s="1"/>
  <c r="G124" i="7" s="1"/>
  <c r="Y704" i="10"/>
  <c r="Z704" i="10" s="1"/>
  <c r="AA704" i="10" s="1"/>
  <c r="AB704" i="10" s="1"/>
  <c r="I124" i="7" s="1"/>
  <c r="AA545" i="10"/>
  <c r="AB545" i="10" s="1"/>
  <c r="AA546" i="10"/>
  <c r="AB546" i="10" s="1"/>
  <c r="R49" i="13"/>
  <c r="R48" i="13"/>
  <c r="H62" i="10"/>
  <c r="O48" i="13"/>
  <c r="H59" i="10"/>
  <c r="P124" i="7" l="1"/>
  <c r="B28" i="3" s="1"/>
  <c r="C28" i="3" s="1"/>
  <c r="U633" i="10"/>
  <c r="U547" i="10"/>
  <c r="P60" i="10"/>
  <c r="Q60" i="10" s="1"/>
  <c r="P59" i="10"/>
  <c r="Q59" i="10" s="1"/>
  <c r="V59" i="10"/>
  <c r="P62" i="10"/>
  <c r="Q62" i="10" s="1"/>
  <c r="P61" i="10"/>
  <c r="V62" i="10"/>
  <c r="D28" i="3" l="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633" i="10" l="1"/>
  <c r="AB633" i="10" s="1"/>
  <c r="U635" i="10"/>
  <c r="AA547" i="10"/>
  <c r="AB547" i="10" s="1"/>
  <c r="U554" i="10"/>
  <c r="U549" i="10"/>
  <c r="J59" i="10"/>
  <c r="M59" i="10" s="1"/>
  <c r="N59" i="10" s="1"/>
  <c r="J60" i="10"/>
  <c r="M60" i="10" s="1"/>
  <c r="N60" i="10" s="1"/>
  <c r="Y635" i="10" l="1"/>
  <c r="Z635" i="10" s="1"/>
  <c r="Y636" i="10"/>
  <c r="Z636" i="10" s="1"/>
  <c r="AA636" i="10" s="1"/>
  <c r="AB636" i="10" s="1"/>
  <c r="U638" i="10" s="1"/>
  <c r="Z554" i="10"/>
  <c r="Z549" i="10"/>
  <c r="N49" i="13"/>
  <c r="H61" i="10"/>
  <c r="O49" i="13"/>
  <c r="O50" i="13"/>
  <c r="H63" i="10"/>
  <c r="AA635" i="10" l="1"/>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638" i="10" l="1"/>
  <c r="Z638" i="10" s="1"/>
  <c r="AA638" i="10" s="1"/>
  <c r="AB638" i="10" s="1"/>
  <c r="U640" i="10" s="1"/>
  <c r="U559" i="10"/>
  <c r="U557" i="10"/>
  <c r="J61" i="10"/>
  <c r="M61" i="10" s="1"/>
  <c r="N61" i="10" s="1"/>
  <c r="J62" i="10"/>
  <c r="M62" i="10" s="1"/>
  <c r="N62" i="10" s="1"/>
  <c r="W64" i="10"/>
  <c r="W63" i="10"/>
  <c r="X63" i="10" s="1"/>
  <c r="AA637" i="10" l="1"/>
  <c r="AB637" i="10" s="1"/>
  <c r="U639" i="10" s="1"/>
  <c r="Z557" i="10"/>
  <c r="R50" i="13"/>
  <c r="H64" i="10"/>
  <c r="N51" i="13"/>
  <c r="N50" i="13"/>
  <c r="H66" i="10"/>
  <c r="Y639" i="10" l="1"/>
  <c r="Z639" i="10" s="1"/>
  <c r="Y640" i="10"/>
  <c r="Z640" i="10" s="1"/>
  <c r="AA640" i="10" s="1"/>
  <c r="AB640" i="10" s="1"/>
  <c r="U642" i="10" s="1"/>
  <c r="AA557" i="10"/>
  <c r="AB557" i="10" s="1"/>
  <c r="AA556" i="10"/>
  <c r="AB556" i="10" s="1"/>
  <c r="V66" i="10"/>
  <c r="V64" i="10"/>
  <c r="X64" i="10" s="1"/>
  <c r="Q64" i="10"/>
  <c r="AA639" i="10" l="1"/>
  <c r="AB639" i="10" s="1"/>
  <c r="U641" i="10" s="1"/>
  <c r="Y642" i="10" s="1"/>
  <c r="Z642" i="10" s="1"/>
  <c r="AA642" i="10" s="1"/>
  <c r="AB642" i="10" s="1"/>
  <c r="L117" i="7" s="1"/>
  <c r="U560" i="10"/>
  <c r="U558" i="10"/>
  <c r="J63" i="10"/>
  <c r="M63" i="10" s="1"/>
  <c r="N63" i="10" s="1"/>
  <c r="J64" i="10"/>
  <c r="M64" i="10" s="1"/>
  <c r="N64" i="10" s="1"/>
  <c r="Y641" i="10" l="1"/>
  <c r="Z641" i="10" s="1"/>
  <c r="AA641" i="10" s="1"/>
  <c r="AB641" i="10" s="1"/>
  <c r="H117" i="7" s="1"/>
  <c r="Y561" i="10"/>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20" i="13" s="1"/>
  <c r="L318" i="13" l="1"/>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20" i="13" s="1"/>
  <c r="J241" i="10"/>
  <c r="M241" i="10" s="1"/>
  <c r="N241" i="10" s="1"/>
  <c r="J240" i="10"/>
  <c r="M240" i="10" s="1"/>
  <c r="N240" i="10" s="1"/>
  <c r="W279" i="10"/>
  <c r="X279" i="10" s="1"/>
  <c r="W278" i="10"/>
  <c r="T318" i="13" l="1"/>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516" i="10"/>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320" i="13" s="1"/>
  <c r="Q484" i="10"/>
  <c r="Q485" i="10"/>
  <c r="V484" i="10"/>
  <c r="W318" i="13" l="1"/>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320" i="13" s="1"/>
  <c r="V247" i="13"/>
  <c r="V248" i="13"/>
  <c r="R232" i="13"/>
  <c r="H488" i="10"/>
  <c r="V232" i="13"/>
  <c r="V234" i="13"/>
  <c r="V236" i="13"/>
  <c r="V233" i="13"/>
  <c r="V235" i="13"/>
  <c r="P2" i="14"/>
  <c r="B19" i="13"/>
  <c r="V318" i="13" l="1"/>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H619" i="10"/>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320" i="13" s="1"/>
  <c r="S285" i="13"/>
  <c r="S286" i="13"/>
  <c r="N615" i="10"/>
  <c r="S284" i="13"/>
  <c r="B10" i="14"/>
  <c r="L2" i="14" s="1"/>
  <c r="S318" i="13" l="1"/>
  <c r="S319" i="13"/>
  <c r="S316" i="13"/>
  <c r="S317" i="13"/>
  <c r="AL15" i="13"/>
  <c r="J15" i="13" s="1"/>
  <c r="S315" i="13"/>
  <c r="S313" i="13"/>
  <c r="S314" i="13"/>
  <c r="S311" i="13"/>
  <c r="S312" i="13"/>
  <c r="S309" i="13"/>
  <c r="S310" i="13"/>
  <c r="S307" i="13"/>
  <c r="S308" i="13"/>
  <c r="S304" i="13"/>
  <c r="S306" i="13"/>
  <c r="S305" i="13"/>
  <c r="S302" i="13"/>
  <c r="S303" i="13"/>
  <c r="S301"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N320" i="13" s="1"/>
  <c r="J618" i="10"/>
  <c r="M618" i="10" s="1"/>
  <c r="N618" i="10" s="1"/>
  <c r="N318" i="13" l="1"/>
  <c r="N319" i="13"/>
  <c r="N316" i="13"/>
  <c r="N317" i="13"/>
  <c r="AL10" i="13"/>
  <c r="J10" i="13" s="1"/>
  <c r="N315" i="13"/>
  <c r="N313" i="13"/>
  <c r="N314" i="13"/>
  <c r="N311" i="13"/>
  <c r="N312" i="13"/>
  <c r="N309" i="13"/>
  <c r="N310" i="13"/>
  <c r="N307" i="13"/>
  <c r="N308" i="13"/>
  <c r="N304" i="13"/>
  <c r="N305" i="13"/>
  <c r="N306" i="13"/>
  <c r="N302" i="13"/>
  <c r="N303" i="13"/>
  <c r="N301"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H691" i="10" s="1"/>
  <c r="R286" i="13"/>
  <c r="K286" i="13"/>
  <c r="F101" i="7"/>
  <c r="S101" i="7" s="1"/>
  <c r="W10" i="13"/>
  <c r="AI10" i="13"/>
  <c r="V691" i="10" l="1"/>
  <c r="AL7" i="13"/>
  <c r="J7" i="13" s="1"/>
  <c r="K313" i="13"/>
  <c r="K314" i="13"/>
  <c r="K311" i="13"/>
  <c r="K312" i="13"/>
  <c r="K309" i="13"/>
  <c r="K310" i="13"/>
  <c r="K307" i="13"/>
  <c r="K308" i="13"/>
  <c r="K304" i="13"/>
  <c r="K306" i="13"/>
  <c r="K305" i="13"/>
  <c r="K302" i="13"/>
  <c r="K303" i="13"/>
  <c r="K301" i="13"/>
  <c r="K298" i="13"/>
  <c r="K300" i="13"/>
  <c r="K299" i="13"/>
  <c r="K297" i="13"/>
  <c r="K296" i="13"/>
  <c r="K295" i="13"/>
  <c r="K294" i="13"/>
  <c r="K293" i="13"/>
  <c r="K292" i="13"/>
  <c r="K291" i="13"/>
  <c r="K289" i="13"/>
  <c r="K290" i="13"/>
  <c r="K287" i="13"/>
  <c r="K288" i="13"/>
  <c r="Q626" i="10"/>
  <c r="V626" i="10"/>
  <c r="X626" i="10" s="1"/>
  <c r="J626" i="10" l="1"/>
  <c r="M626" i="10" s="1"/>
  <c r="N626" i="10" s="1"/>
  <c r="J625" i="10"/>
  <c r="M625" i="10" s="1"/>
  <c r="N625" i="10" s="1"/>
  <c r="H627" i="10" l="1"/>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H655" i="10"/>
  <c r="N652" i="10"/>
  <c r="H659" i="10" s="1"/>
  <c r="V659" i="10" l="1"/>
  <c r="P656" i="10"/>
  <c r="Q656" i="10" s="1"/>
  <c r="P655" i="10"/>
  <c r="Q655" i="10" s="1"/>
  <c r="V655" i="10"/>
  <c r="W655" i="10" l="1"/>
  <c r="X655" i="10" s="1"/>
  <c r="J655" i="10" s="1"/>
  <c r="M655" i="10" s="1"/>
  <c r="W656" i="10"/>
  <c r="X656" i="10" s="1"/>
  <c r="J656" i="10" s="1"/>
  <c r="M656" i="10" s="1"/>
  <c r="N656" i="10" s="1"/>
  <c r="H676" i="10" s="1"/>
  <c r="V676" i="10" l="1"/>
  <c r="X676" i="10" s="1"/>
  <c r="Q676" i="10"/>
  <c r="R307" i="13"/>
  <c r="R306" i="13"/>
  <c r="R305" i="13"/>
  <c r="R303" i="13"/>
  <c r="R304" i="13"/>
  <c r="R302" i="13"/>
  <c r="N655" i="10"/>
  <c r="H657" i="10" s="1"/>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AL14" i="13" s="1"/>
  <c r="J14" i="13" s="1"/>
  <c r="W677" i="10"/>
  <c r="X677" i="10" s="1"/>
  <c r="J677" i="10" s="1"/>
  <c r="M677" i="10" s="1"/>
  <c r="N677" i="10" s="1"/>
  <c r="O320" i="13" s="1"/>
  <c r="V660" i="10"/>
  <c r="P661" i="10"/>
  <c r="Q661" i="10" s="1"/>
  <c r="P662" i="10"/>
  <c r="Q662" i="10" s="1"/>
  <c r="P660" i="10"/>
  <c r="Q660" i="10" s="1"/>
  <c r="V661" i="10"/>
  <c r="O318" i="13" l="1"/>
  <c r="O319" i="13"/>
  <c r="O316" i="13"/>
  <c r="O317" i="13"/>
  <c r="AL11" i="13"/>
  <c r="J11" i="13" s="1"/>
  <c r="O315" i="13"/>
  <c r="O313" i="13"/>
  <c r="O314" i="13"/>
  <c r="O312" i="13"/>
  <c r="H681" i="10"/>
  <c r="O310" i="13"/>
  <c r="O311" i="13"/>
  <c r="R310" i="13"/>
  <c r="O309" i="13"/>
  <c r="B6" i="14"/>
  <c r="H2" i="14" s="1"/>
  <c r="R309" i="13"/>
  <c r="W660" i="10"/>
  <c r="X660" i="10" s="1"/>
  <c r="W661" i="10"/>
  <c r="X661" i="10" s="1"/>
  <c r="W662" i="10"/>
  <c r="X662" i="10" s="1"/>
  <c r="J662" i="10" s="1"/>
  <c r="M662" i="10" s="1"/>
  <c r="N662" i="10" s="1"/>
  <c r="H665" i="10" s="1"/>
  <c r="V665" i="10" s="1"/>
  <c r="P681" i="10" l="1"/>
  <c r="Q681" i="10" s="1"/>
  <c r="P682" i="10"/>
  <c r="V681" i="10"/>
  <c r="B11" i="13"/>
  <c r="S11" i="13" s="1"/>
  <c r="W11" i="13" s="1"/>
  <c r="B24" i="5" s="1"/>
  <c r="J661" i="10"/>
  <c r="M661" i="10" s="1"/>
  <c r="N661" i="10" s="1"/>
  <c r="H664" i="10" s="1"/>
  <c r="J660" i="10"/>
  <c r="M660" i="10" s="1"/>
  <c r="N660" i="10" s="1"/>
  <c r="H663" i="10"/>
  <c r="W681" i="10" l="1"/>
  <c r="X681" i="10" s="1"/>
  <c r="W682" i="10"/>
  <c r="F90" i="7"/>
  <c r="S90" i="7" s="1"/>
  <c r="AI11" i="13"/>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W672" i="10"/>
  <c r="W673" i="10"/>
  <c r="X673" i="10" s="1"/>
  <c r="W674" i="10"/>
  <c r="Q674" i="10"/>
  <c r="V674" i="10"/>
  <c r="V672" i="10"/>
  <c r="P306" i="13"/>
  <c r="X672" i="10" l="1"/>
  <c r="J672" i="10" s="1"/>
  <c r="M672" i="10" s="1"/>
  <c r="N672" i="10" s="1"/>
  <c r="J673" i="10"/>
  <c r="M673" i="10" s="1"/>
  <c r="N673" i="10" s="1"/>
  <c r="Q320" i="13" s="1"/>
  <c r="X674" i="10"/>
  <c r="J674" i="10" s="1"/>
  <c r="M674" i="10" s="1"/>
  <c r="N674" i="10" s="1"/>
  <c r="U320" i="13" s="1"/>
  <c r="U307" i="13"/>
  <c r="B12" i="14"/>
  <c r="U318" i="13" l="1"/>
  <c r="U319" i="13"/>
  <c r="Q318" i="13"/>
  <c r="Q319" i="13"/>
  <c r="U316" i="13"/>
  <c r="U317" i="13"/>
  <c r="Q316" i="13"/>
  <c r="Q317" i="13"/>
  <c r="AL17" i="13"/>
  <c r="J17" i="13" s="1"/>
  <c r="U315" i="13"/>
  <c r="AL13" i="13"/>
  <c r="J13" i="13" s="1"/>
  <c r="Q315" i="13"/>
  <c r="U313" i="13"/>
  <c r="U314" i="13"/>
  <c r="Q313" i="13"/>
  <c r="Q314" i="13"/>
  <c r="U312" i="13"/>
  <c r="Q312" i="13"/>
  <c r="U310" i="13"/>
  <c r="U311" i="13"/>
  <c r="Q310" i="13"/>
  <c r="Q311" i="13"/>
  <c r="H679" i="10"/>
  <c r="P308" i="13"/>
  <c r="P309" i="13"/>
  <c r="U308" i="13"/>
  <c r="U309" i="13"/>
  <c r="Q308" i="13"/>
  <c r="Q309" i="13"/>
  <c r="B8" i="14"/>
  <c r="Q307" i="13"/>
  <c r="B17" i="13"/>
  <c r="S17" i="13" s="1"/>
  <c r="N2" i="14"/>
  <c r="P307" i="13"/>
  <c r="P679" i="10" l="1"/>
  <c r="Q679" i="10" s="1"/>
  <c r="P680" i="10"/>
  <c r="Q680" i="10" s="1"/>
  <c r="V679" i="10"/>
  <c r="W680" i="10" s="1"/>
  <c r="X680" i="10" s="1"/>
  <c r="B13" i="13"/>
  <c r="S13" i="13" s="1"/>
  <c r="J2" i="14"/>
  <c r="AI17" i="13"/>
  <c r="F92" i="7"/>
  <c r="S92" i="7" s="1"/>
  <c r="W17" i="13"/>
  <c r="J680" i="10" l="1"/>
  <c r="M680" i="10" s="1"/>
  <c r="N680" i="10" s="1"/>
  <c r="J679" i="10"/>
  <c r="M679" i="10" s="1"/>
  <c r="N679" i="10" s="1"/>
  <c r="AL12" i="13" s="1"/>
  <c r="J12" i="13" s="1"/>
  <c r="W679" i="10"/>
  <c r="X679" i="10" s="1"/>
  <c r="P310" i="13"/>
  <c r="W13" i="13"/>
  <c r="F91" i="7"/>
  <c r="S91" i="7" s="1"/>
  <c r="AI13" i="13"/>
  <c r="M319" i="13" l="1"/>
  <c r="M320" i="13"/>
  <c r="M317" i="13"/>
  <c r="M318" i="13"/>
  <c r="M315" i="13"/>
  <c r="M316" i="13"/>
  <c r="M314" i="13"/>
  <c r="AL9" i="13"/>
  <c r="J9" i="13" s="1"/>
  <c r="M312" i="13"/>
  <c r="M313" i="13"/>
  <c r="H682" i="10"/>
  <c r="M311" i="13"/>
  <c r="M310" i="13"/>
  <c r="B4" i="14"/>
  <c r="Q682" i="10" l="1"/>
  <c r="V682" i="10"/>
  <c r="X682" i="10" s="1"/>
  <c r="K14" i="13"/>
  <c r="K12" i="13"/>
  <c r="K18" i="13"/>
  <c r="K20" i="13"/>
  <c r="K7" i="13"/>
  <c r="K16" i="13"/>
  <c r="K10" i="13"/>
  <c r="K8" i="13"/>
  <c r="K9" i="13"/>
  <c r="K15" i="13"/>
  <c r="K19" i="13"/>
  <c r="K11" i="13"/>
  <c r="K17" i="13"/>
  <c r="K13" i="13"/>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s="1"/>
  <c r="M685" i="10" s="1"/>
  <c r="H688" i="10" l="1"/>
  <c r="N685" i="10"/>
  <c r="P313" i="13"/>
  <c r="V688" i="10" l="1"/>
  <c r="H687" i="10"/>
  <c r="P688" i="10" s="1"/>
  <c r="Q688" i="10" s="1"/>
  <c r="R313" i="13"/>
  <c r="P687" i="10" l="1"/>
  <c r="Q687" i="10" s="1"/>
  <c r="W688" i="10"/>
  <c r="X688" i="10" s="1"/>
  <c r="W687" i="10"/>
  <c r="V687" i="10"/>
  <c r="J688" i="10" l="1"/>
  <c r="M688" i="10" s="1"/>
  <c r="N688" i="10" s="1"/>
  <c r="X687" i="10"/>
  <c r="J687" i="10" s="1"/>
  <c r="M687" i="10" s="1"/>
  <c r="N687" i="10" s="1"/>
  <c r="H690" i="10" l="1"/>
  <c r="H689" i="10"/>
  <c r="P314" i="13"/>
  <c r="R314" i="13"/>
  <c r="P690" i="10" l="1"/>
  <c r="Q690" i="10" s="1"/>
  <c r="P691" i="10"/>
  <c r="Q691" i="10" s="1"/>
  <c r="P689" i="10"/>
  <c r="Q689" i="10" s="1"/>
  <c r="V689" i="10"/>
  <c r="V690" i="10"/>
  <c r="W691" i="10" l="1"/>
  <c r="X691" i="10" s="1"/>
  <c r="J691" i="10" s="1"/>
  <c r="M691" i="10" s="1"/>
  <c r="N691" i="10" s="1"/>
  <c r="W689" i="10"/>
  <c r="X689" i="10" s="1"/>
  <c r="J689" i="10" s="1"/>
  <c r="M689" i="10" s="1"/>
  <c r="W690" i="10"/>
  <c r="X690" i="10" s="1"/>
  <c r="J690" i="10" s="1"/>
  <c r="M690" i="10" s="1"/>
  <c r="N690" i="10" s="1"/>
  <c r="H694" i="10" l="1"/>
  <c r="H693" i="10"/>
  <c r="R315" i="13"/>
  <c r="N689" i="10"/>
  <c r="K315" i="13"/>
  <c r="P315" i="13"/>
  <c r="P693" i="10" l="1"/>
  <c r="Q693" i="10" s="1"/>
  <c r="P692" i="10"/>
  <c r="P694" i="10"/>
  <c r="Q694" i="10" s="1"/>
  <c r="V694" i="10"/>
  <c r="H692" i="10"/>
  <c r="V693" i="10"/>
  <c r="W693" i="10" l="1"/>
  <c r="X693" i="10" s="1"/>
  <c r="W692" i="10"/>
  <c r="W694" i="10"/>
  <c r="X694" i="10" s="1"/>
  <c r="Q692" i="10"/>
  <c r="V692" i="10"/>
  <c r="X692" i="10" l="1"/>
  <c r="J692" i="10" s="1"/>
  <c r="M692" i="10" s="1"/>
  <c r="J694" i="10"/>
  <c r="M694" i="10" s="1"/>
  <c r="N694" i="10" s="1"/>
  <c r="J693" i="10"/>
  <c r="M693" i="10" s="1"/>
  <c r="N693" i="10" s="1"/>
  <c r="K316" i="13"/>
  <c r="R316" i="13"/>
  <c r="N692" i="10"/>
  <c r="H695" i="10" l="1"/>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s="1"/>
  <c r="M696" i="10" s="1"/>
  <c r="N696" i="10" s="1"/>
  <c r="H699" i="10" l="1"/>
  <c r="H700" i="10"/>
  <c r="R317" i="13"/>
  <c r="N695" i="10"/>
  <c r="K317" i="13"/>
  <c r="H698" i="10" l="1"/>
  <c r="V700" i="10"/>
  <c r="V699" i="10"/>
  <c r="P317" i="13"/>
  <c r="P700" i="10" l="1"/>
  <c r="Q700" i="10" s="1"/>
  <c r="P698" i="10"/>
  <c r="Q698" i="10" s="1"/>
  <c r="P699" i="10"/>
  <c r="Q699" i="10" s="1"/>
  <c r="V698" i="10"/>
  <c r="W698" i="10" l="1"/>
  <c r="X698" i="10" s="1"/>
  <c r="J698" i="10" s="1"/>
  <c r="M698" i="10" s="1"/>
  <c r="W699" i="10"/>
  <c r="X699" i="10" s="1"/>
  <c r="J699" i="10" s="1"/>
  <c r="M699" i="10" s="1"/>
  <c r="N699" i="10" s="1"/>
  <c r="W700" i="10"/>
  <c r="X700" i="10" s="1"/>
  <c r="J700" i="10" s="1"/>
  <c r="M700" i="10" s="1"/>
  <c r="N700" i="10" s="1"/>
  <c r="K319" i="13" l="1"/>
  <c r="K320" i="13"/>
  <c r="H702" i="10"/>
  <c r="N698" i="10"/>
  <c r="K318" i="13"/>
  <c r="B2" i="14"/>
  <c r="R318" i="13"/>
  <c r="P318" i="13"/>
  <c r="P702" i="10" l="1"/>
  <c r="Q702" i="10" s="1"/>
  <c r="P701" i="10"/>
  <c r="H701" i="10"/>
  <c r="V702" i="10"/>
  <c r="B7" i="13"/>
  <c r="S7" i="13" s="1"/>
  <c r="D2" i="14"/>
  <c r="W702" i="10" l="1"/>
  <c r="X702" i="10" s="1"/>
  <c r="W701" i="10"/>
  <c r="Q701" i="10"/>
  <c r="V701" i="10"/>
  <c r="W7" i="13"/>
  <c r="F94" i="7"/>
  <c r="S94" i="7" s="1"/>
  <c r="AI7" i="13"/>
  <c r="J702" i="10" l="1"/>
  <c r="M702" i="10" s="1"/>
  <c r="N702" i="10" s="1"/>
  <c r="X701" i="10"/>
  <c r="J701" i="10" s="1"/>
  <c r="M701" i="10" s="1"/>
  <c r="N701" i="10"/>
  <c r="H704" i="10" l="1"/>
  <c r="H703" i="10"/>
  <c r="R319" i="13"/>
  <c r="P319" i="13"/>
  <c r="P703" i="10" l="1"/>
  <c r="Q703" i="10" s="1"/>
  <c r="P704" i="10"/>
  <c r="Q704" i="10" s="1"/>
  <c r="V704" i="10"/>
  <c r="V703" i="10"/>
  <c r="W703" i="10" l="1"/>
  <c r="X703" i="10" s="1"/>
  <c r="J703" i="10" s="1"/>
  <c r="M703" i="10" s="1"/>
  <c r="W704" i="10"/>
  <c r="X704" i="10" s="1"/>
  <c r="J704" i="10" s="1"/>
  <c r="M704" i="10" s="1"/>
  <c r="N704" i="10" s="1"/>
  <c r="B9" i="14" l="1"/>
  <c r="K2" i="14" s="1"/>
  <c r="R320" i="13"/>
  <c r="B19" i="8"/>
  <c r="H19" i="8"/>
  <c r="F19" i="8" s="1"/>
  <c r="H18" i="8"/>
  <c r="D18" i="8" s="1"/>
  <c r="B18" i="8"/>
  <c r="N703" i="10"/>
  <c r="P320" i="13"/>
  <c r="H17" i="8"/>
  <c r="B7" i="14"/>
  <c r="B17" i="8"/>
  <c r="C19" i="8" l="1"/>
  <c r="F18" i="8"/>
  <c r="D19" i="8"/>
  <c r="E19" i="8"/>
  <c r="C18" i="8"/>
  <c r="E18" i="8"/>
  <c r="B14" i="13"/>
  <c r="S14" i="13" s="1"/>
  <c r="F93" i="7" s="1"/>
  <c r="S93" i="7" s="1"/>
  <c r="B12" i="13"/>
  <c r="I2" i="14"/>
  <c r="D17" i="8"/>
  <c r="C17" i="8"/>
  <c r="F17" i="8" s="1"/>
  <c r="E17" i="8"/>
  <c r="W14" i="13" l="1"/>
  <c r="AI14" i="13"/>
  <c r="C4" i="14"/>
  <c r="C9" i="13" s="1"/>
  <c r="AA9" i="13" s="1"/>
  <c r="C5" i="14"/>
  <c r="C10" i="13" s="1"/>
  <c r="AA10" i="13" s="1"/>
  <c r="C8" i="14"/>
  <c r="C13" i="13" s="1"/>
  <c r="AA13" i="13" s="1"/>
  <c r="C11" i="14"/>
  <c r="C16" i="13" s="1"/>
  <c r="AA16" i="13" s="1"/>
  <c r="C9" i="14"/>
  <c r="C14" i="13" s="1"/>
  <c r="AA14" i="13" s="1"/>
  <c r="C7" i="14"/>
  <c r="C12" i="13" s="1"/>
  <c r="AA12" i="13" s="1"/>
  <c r="C15" i="14"/>
  <c r="C20" i="13" s="1"/>
  <c r="AA20" i="13" s="1"/>
  <c r="C12" i="14"/>
  <c r="C17" i="13" s="1"/>
  <c r="AA17" i="13" s="1"/>
  <c r="C6" i="14"/>
  <c r="C11" i="13" s="1"/>
  <c r="C3" i="14"/>
  <c r="C8" i="13" s="1"/>
  <c r="AA8" i="13" s="1"/>
  <c r="C13" i="14"/>
  <c r="C18" i="13" s="1"/>
  <c r="AA18" i="13" s="1"/>
  <c r="C14" i="14"/>
  <c r="C19" i="13" s="1"/>
  <c r="AA19" i="13" s="1"/>
  <c r="C10" i="14"/>
  <c r="C15" i="13" s="1"/>
  <c r="AA15" i="13" s="1"/>
  <c r="C2" i="14"/>
  <c r="C7" i="13" s="1"/>
  <c r="AA7" i="13" s="1"/>
  <c r="D15" i="13"/>
  <c r="D13" i="13"/>
  <c r="E15" i="13"/>
  <c r="D18" i="13"/>
  <c r="D9" i="13"/>
  <c r="E10" i="13"/>
  <c r="D16" i="13"/>
  <c r="E11" i="13"/>
  <c r="D20" i="13"/>
  <c r="D7" i="13"/>
  <c r="E20" i="13"/>
  <c r="D11" i="13"/>
  <c r="D8" i="13"/>
  <c r="E19" i="13"/>
  <c r="D19" i="13"/>
  <c r="E13" i="13"/>
  <c r="S12" i="13"/>
  <c r="E17" i="13"/>
  <c r="E8" i="13"/>
  <c r="E18" i="13"/>
  <c r="D14" i="13"/>
  <c r="E7" i="13"/>
  <c r="D10" i="13"/>
  <c r="E14" i="13"/>
  <c r="D17" i="13"/>
  <c r="E9" i="13"/>
  <c r="D12" i="13"/>
  <c r="E12" i="13"/>
  <c r="E16" i="13"/>
  <c r="F95" i="7" l="1"/>
  <c r="S95" i="7" s="1"/>
  <c r="C4" i="7" s="1"/>
  <c r="W12" i="13"/>
  <c r="AI12" i="13"/>
  <c r="AA11" i="13"/>
  <c r="B28" i="5" s="1"/>
  <c r="B12" i="5"/>
  <c r="L10" i="13" l="1"/>
  <c r="L14" i="13"/>
  <c r="L15" i="13"/>
  <c r="L20" i="13"/>
  <c r="B15" i="4"/>
  <c r="B8" i="4"/>
  <c r="B18" i="4"/>
  <c r="L12" i="13"/>
  <c r="L19" i="13"/>
  <c r="B14" i="4"/>
  <c r="B7" i="4"/>
  <c r="B10" i="4"/>
  <c r="L7" i="13"/>
  <c r="L16" i="13"/>
  <c r="B17" i="4"/>
  <c r="L13" i="13"/>
  <c r="L17" i="13"/>
  <c r="B6" i="4"/>
  <c r="L8" i="13"/>
  <c r="B11" i="4"/>
  <c r="B12" i="4"/>
  <c r="B5" i="4"/>
  <c r="L11" i="13"/>
  <c r="B16" i="4"/>
  <c r="L18" i="13"/>
  <c r="L9" i="13"/>
  <c r="B13" i="4"/>
  <c r="B9" i="4"/>
  <c r="A6" i="3"/>
  <c r="A5" i="3"/>
  <c r="B28" i="8" s="1"/>
  <c r="U9" i="4" l="1"/>
  <c r="R9" i="4"/>
  <c r="P9" i="4"/>
  <c r="K9" i="4"/>
  <c r="Y12" i="13" s="1"/>
  <c r="H9" i="4"/>
  <c r="D9" i="4"/>
  <c r="J9" i="4"/>
  <c r="I9" i="4"/>
  <c r="V9" i="4"/>
  <c r="Q9" i="4"/>
  <c r="T9" i="4"/>
  <c r="O9" i="4"/>
  <c r="M9" i="4"/>
  <c r="S9" i="4"/>
  <c r="C9" i="4"/>
  <c r="E9" i="4"/>
  <c r="X9" i="4"/>
  <c r="A8" i="9"/>
  <c r="J18" i="4"/>
  <c r="X18" i="4"/>
  <c r="I18" i="4"/>
  <c r="O18" i="4"/>
  <c r="M18" i="4"/>
  <c r="T18" i="4"/>
  <c r="Q18" i="4"/>
  <c r="P18" i="4"/>
  <c r="U18" i="4"/>
  <c r="R18" i="4"/>
  <c r="H18" i="4"/>
  <c r="V18" i="4"/>
  <c r="C18" i="4"/>
  <c r="D18" i="4"/>
  <c r="S18" i="4"/>
  <c r="K18" i="4"/>
  <c r="Y16" i="13" s="1"/>
  <c r="E18" i="4"/>
  <c r="O10" i="4"/>
  <c r="T10" i="4"/>
  <c r="E10" i="4"/>
  <c r="S10" i="4"/>
  <c r="D10" i="4"/>
  <c r="K10" i="4"/>
  <c r="I10" i="4"/>
  <c r="Q10" i="4"/>
  <c r="H10" i="4"/>
  <c r="C10" i="4"/>
  <c r="U10" i="4"/>
  <c r="V10" i="4"/>
  <c r="M10" i="4"/>
  <c r="X10" i="4"/>
  <c r="R10" i="4"/>
  <c r="J10" i="4"/>
  <c r="P10" i="4"/>
  <c r="S8" i="4"/>
  <c r="T8" i="4"/>
  <c r="X8" i="4"/>
  <c r="E8" i="4"/>
  <c r="U8" i="4"/>
  <c r="I8" i="4"/>
  <c r="O8" i="4"/>
  <c r="R8" i="4"/>
  <c r="K8" i="4"/>
  <c r="AE13" i="13" s="1"/>
  <c r="C8" i="4"/>
  <c r="J8" i="4"/>
  <c r="Q8" i="4"/>
  <c r="M8" i="4"/>
  <c r="P8" i="4"/>
  <c r="D8" i="4"/>
  <c r="H8" i="4"/>
  <c r="V8" i="4"/>
  <c r="D15" i="4"/>
  <c r="X15" i="4"/>
  <c r="V15" i="4"/>
  <c r="Q15" i="4"/>
  <c r="J15" i="4"/>
  <c r="C15" i="4"/>
  <c r="U15" i="4"/>
  <c r="P15" i="4"/>
  <c r="T15" i="4"/>
  <c r="E15" i="4"/>
  <c r="M15" i="4"/>
  <c r="K15" i="4"/>
  <c r="Y17" i="13" s="1"/>
  <c r="O15" i="4"/>
  <c r="S15" i="4"/>
  <c r="I15" i="4"/>
  <c r="R15" i="4"/>
  <c r="H15" i="4"/>
  <c r="U17" i="4"/>
  <c r="D17" i="4"/>
  <c r="K17" i="4"/>
  <c r="Y10" i="13" s="1"/>
  <c r="H17" i="4"/>
  <c r="C17" i="4"/>
  <c r="P17" i="4"/>
  <c r="R17" i="4"/>
  <c r="J17" i="4"/>
  <c r="M17" i="4"/>
  <c r="Q17" i="4"/>
  <c r="O17" i="4"/>
  <c r="S17" i="4"/>
  <c r="E17" i="4"/>
  <c r="V17" i="4"/>
  <c r="X17" i="4"/>
  <c r="T17" i="4"/>
  <c r="I17" i="4"/>
  <c r="V14" i="4"/>
  <c r="R14" i="4"/>
  <c r="S14" i="4"/>
  <c r="X14" i="4"/>
  <c r="D14" i="4"/>
  <c r="Q14" i="4"/>
  <c r="K14" i="4"/>
  <c r="AE20" i="13" s="1"/>
  <c r="J14" i="4"/>
  <c r="I14" i="4"/>
  <c r="E14" i="4"/>
  <c r="T14" i="4"/>
  <c r="P14" i="4"/>
  <c r="U14" i="4"/>
  <c r="C14" i="4"/>
  <c r="H14" i="4"/>
  <c r="O14" i="4"/>
  <c r="M14" i="4"/>
  <c r="K11" i="4"/>
  <c r="Y18" i="13" s="1"/>
  <c r="V11" i="4"/>
  <c r="J11" i="4"/>
  <c r="U11" i="4"/>
  <c r="R11" i="4"/>
  <c r="H11" i="4"/>
  <c r="C11" i="4"/>
  <c r="M11" i="4"/>
  <c r="Q11" i="4"/>
  <c r="X11" i="4"/>
  <c r="S11" i="4"/>
  <c r="T11" i="4"/>
  <c r="O11" i="4"/>
  <c r="I11" i="4"/>
  <c r="P11" i="4"/>
  <c r="E11" i="4"/>
  <c r="D11" i="4"/>
  <c r="AD14" i="13" s="1"/>
  <c r="C5" i="4"/>
  <c r="X5" i="4"/>
  <c r="P5" i="4"/>
  <c r="D5" i="4"/>
  <c r="AD15" i="13" s="1"/>
  <c r="B5" i="5"/>
  <c r="U5" i="4"/>
  <c r="S5" i="4"/>
  <c r="K5" i="4"/>
  <c r="AE15" i="13" s="1"/>
  <c r="H5" i="4"/>
  <c r="B17" i="9"/>
  <c r="R5" i="4"/>
  <c r="V5" i="4"/>
  <c r="I5" i="4"/>
  <c r="O5" i="4"/>
  <c r="E5" i="4"/>
  <c r="Q5" i="4"/>
  <c r="M5" i="4"/>
  <c r="T5" i="4"/>
  <c r="J5" i="4"/>
  <c r="AD12" i="13"/>
  <c r="AD13" i="13"/>
  <c r="AD16" i="13"/>
  <c r="S7" i="4"/>
  <c r="P7" i="4"/>
  <c r="U7" i="4"/>
  <c r="T7" i="4"/>
  <c r="Q7" i="4"/>
  <c r="K7" i="4"/>
  <c r="AE7" i="13" s="1"/>
  <c r="O7" i="4"/>
  <c r="E7" i="4"/>
  <c r="V7" i="4"/>
  <c r="D7" i="4"/>
  <c r="H7" i="4"/>
  <c r="J7" i="4"/>
  <c r="X7" i="4"/>
  <c r="I7" i="4"/>
  <c r="R7" i="4"/>
  <c r="M7" i="4"/>
  <c r="C7" i="4"/>
  <c r="C19" i="9" s="1"/>
  <c r="B19" i="9"/>
  <c r="J6" i="4"/>
  <c r="C6" i="4"/>
  <c r="C18" i="9" s="1"/>
  <c r="X6" i="4"/>
  <c r="K6" i="4"/>
  <c r="B11" i="5" s="1"/>
  <c r="P6" i="4"/>
  <c r="O6" i="4"/>
  <c r="T6" i="4"/>
  <c r="B18" i="9"/>
  <c r="I6" i="4"/>
  <c r="Q6" i="4"/>
  <c r="S6" i="4"/>
  <c r="R6" i="4"/>
  <c r="E6" i="4"/>
  <c r="H6" i="4"/>
  <c r="U6" i="4"/>
  <c r="M6" i="4"/>
  <c r="V6" i="4"/>
  <c r="D6" i="4"/>
  <c r="B10" i="5" s="1"/>
  <c r="V13" i="4"/>
  <c r="Q13" i="4"/>
  <c r="U13" i="4"/>
  <c r="I13" i="4"/>
  <c r="M13" i="4"/>
  <c r="P13" i="4"/>
  <c r="S13" i="4"/>
  <c r="E13" i="4"/>
  <c r="J13" i="4"/>
  <c r="O13" i="4"/>
  <c r="H13" i="4"/>
  <c r="R13" i="4"/>
  <c r="T13" i="4"/>
  <c r="K13" i="4"/>
  <c r="Y19" i="13" s="1"/>
  <c r="C13" i="4"/>
  <c r="X13" i="4"/>
  <c r="D13" i="4"/>
  <c r="X16" i="4"/>
  <c r="H16" i="4"/>
  <c r="C16" i="4"/>
  <c r="E16" i="4"/>
  <c r="V16" i="4"/>
  <c r="D16" i="4"/>
  <c r="K16" i="4"/>
  <c r="AE8" i="13" s="1"/>
  <c r="I16" i="4"/>
  <c r="R16" i="4"/>
  <c r="O16" i="4"/>
  <c r="S16" i="4"/>
  <c r="P16" i="4"/>
  <c r="U16" i="4"/>
  <c r="Q16" i="4"/>
  <c r="M16" i="4"/>
  <c r="J16" i="4"/>
  <c r="T16" i="4"/>
  <c r="H12" i="4"/>
  <c r="X12" i="4"/>
  <c r="S12" i="4"/>
  <c r="D12" i="4"/>
  <c r="Q12" i="4"/>
  <c r="C12" i="4"/>
  <c r="I12" i="4"/>
  <c r="E12" i="4"/>
  <c r="P12" i="4"/>
  <c r="T12" i="4"/>
  <c r="U12" i="4"/>
  <c r="R12" i="4"/>
  <c r="V12" i="4"/>
  <c r="J12" i="4"/>
  <c r="K12" i="4"/>
  <c r="AE9" i="13" s="1"/>
  <c r="M12" i="4"/>
  <c r="O12" i="4"/>
  <c r="AD18" i="13" l="1"/>
  <c r="Y14" i="13"/>
  <c r="AE14" i="13"/>
  <c r="Y8" i="13"/>
  <c r="Y13" i="13"/>
  <c r="T2" i="4"/>
  <c r="B6" i="5"/>
  <c r="Y20" i="13"/>
  <c r="F5" i="4"/>
  <c r="B30" i="8"/>
  <c r="B21" i="8"/>
  <c r="G5" i="4"/>
  <c r="X15" i="13" s="1"/>
  <c r="AB15" i="13" s="1"/>
  <c r="AF15" i="13" s="1"/>
  <c r="W5" i="4" s="1"/>
  <c r="A10" i="9"/>
  <c r="L5" i="4"/>
  <c r="C21" i="8"/>
  <c r="F21" i="8" s="1"/>
  <c r="L14" i="4"/>
  <c r="F14" i="4"/>
  <c r="G14" i="4"/>
  <c r="X20" i="13" s="1"/>
  <c r="Y15" i="13"/>
  <c r="AD8" i="13"/>
  <c r="L16" i="4"/>
  <c r="G16" i="4"/>
  <c r="X8" i="13" s="1"/>
  <c r="AB8" i="13" s="1"/>
  <c r="AF8" i="13" s="1"/>
  <c r="W16" i="4" s="1"/>
  <c r="F16" i="4"/>
  <c r="Y9" i="13"/>
  <c r="AD20" i="13"/>
  <c r="AF20" i="13" s="1"/>
  <c r="W14" i="4" s="1"/>
  <c r="A5" i="9"/>
  <c r="N7" i="4"/>
  <c r="N18" i="4"/>
  <c r="N12" i="4"/>
  <c r="B33" i="8"/>
  <c r="N16" i="4"/>
  <c r="N13" i="4"/>
  <c r="N9" i="4"/>
  <c r="D18" i="9"/>
  <c r="D19" i="9"/>
  <c r="C17" i="9"/>
  <c r="N15" i="4"/>
  <c r="N17" i="4"/>
  <c r="N6" i="4"/>
  <c r="B15" i="5" s="1"/>
  <c r="N5" i="4"/>
  <c r="N11" i="4"/>
  <c r="N14" i="4"/>
  <c r="N10" i="4"/>
  <c r="N8" i="4"/>
  <c r="Y11" i="13"/>
  <c r="B26" i="5" s="1"/>
  <c r="Y7" i="13"/>
  <c r="AD10" i="13"/>
  <c r="F17" i="4"/>
  <c r="L17" i="4"/>
  <c r="G17" i="4"/>
  <c r="X10" i="13" s="1"/>
  <c r="AB10" i="13" s="1"/>
  <c r="G10" i="4"/>
  <c r="F10" i="4"/>
  <c r="L10" i="4"/>
  <c r="L13" i="4"/>
  <c r="G13" i="4"/>
  <c r="X19" i="13" s="1"/>
  <c r="AB19" i="13" s="1"/>
  <c r="F13" i="4"/>
  <c r="AE11" i="13"/>
  <c r="AD19" i="13"/>
  <c r="G6" i="4"/>
  <c r="F6" i="4"/>
  <c r="B8" i="5" s="1"/>
  <c r="L6" i="4"/>
  <c r="B16" i="5" s="1"/>
  <c r="AE18" i="13"/>
  <c r="AE19" i="13"/>
  <c r="AE16" i="13"/>
  <c r="AD11" i="13"/>
  <c r="AD9" i="13"/>
  <c r="G12" i="4"/>
  <c r="X9" i="13" s="1"/>
  <c r="AB9" i="13" s="1"/>
  <c r="L12" i="4"/>
  <c r="F12" i="4"/>
  <c r="AE12" i="13"/>
  <c r="AF12" i="13" s="1"/>
  <c r="AE17" i="13"/>
  <c r="L11" i="4"/>
  <c r="G11" i="4"/>
  <c r="X18" i="13" s="1"/>
  <c r="AB18" i="13" s="1"/>
  <c r="F11" i="4"/>
  <c r="G7" i="4"/>
  <c r="X7" i="13" s="1"/>
  <c r="F7" i="4"/>
  <c r="L7" i="4"/>
  <c r="AE10" i="13"/>
  <c r="AD17" i="13"/>
  <c r="F15" i="4"/>
  <c r="G15" i="4"/>
  <c r="X17" i="13" s="1"/>
  <c r="AB17" i="13" s="1"/>
  <c r="L15" i="4"/>
  <c r="L9" i="4"/>
  <c r="G9" i="4"/>
  <c r="X12" i="13" s="1"/>
  <c r="AB12" i="13" s="1"/>
  <c r="F9" i="4"/>
  <c r="AD7" i="13"/>
  <c r="F8" i="4"/>
  <c r="G8" i="4"/>
  <c r="X13" i="13" s="1"/>
  <c r="AB13" i="13" s="1"/>
  <c r="AF13" i="13" s="1"/>
  <c r="L8" i="4"/>
  <c r="B22" i="8"/>
  <c r="B31" i="8"/>
  <c r="C22" i="8"/>
  <c r="G18" i="4"/>
  <c r="X16" i="13" s="1"/>
  <c r="AB16" i="13" s="1"/>
  <c r="L18" i="4"/>
  <c r="F18" i="4"/>
  <c r="AF9" i="13" l="1"/>
  <c r="W12" i="4" s="1"/>
  <c r="AB7" i="13"/>
  <c r="AF7" i="13" s="1"/>
  <c r="W8" i="4" s="1"/>
  <c r="AF18" i="13"/>
  <c r="AF16" i="13"/>
  <c r="W18" i="4" s="1"/>
  <c r="AF10" i="13"/>
  <c r="W17" i="4" s="1"/>
  <c r="X14" i="13"/>
  <c r="AB14" i="13" s="1"/>
  <c r="AF14" i="13" s="1"/>
  <c r="W10" i="4" s="1"/>
  <c r="W9" i="4"/>
  <c r="A3" i="4"/>
  <c r="B9" i="5"/>
  <c r="X11" i="13"/>
  <c r="AF19" i="13"/>
  <c r="W13" i="4" s="1"/>
  <c r="AF17" i="13"/>
  <c r="W15" i="4" s="1"/>
  <c r="AB20" i="13"/>
  <c r="W7" i="4"/>
  <c r="W11" i="4" l="1"/>
  <c r="B25" i="5"/>
  <c r="AB11" i="13"/>
  <c r="B23" i="5" l="1"/>
  <c r="AF11" i="13"/>
  <c r="W6" i="4" l="1"/>
  <c r="B7" i="5"/>
</calcChain>
</file>

<file path=xl/sharedStrings.xml><?xml version="1.0" encoding="utf-8"?>
<sst xmlns="http://schemas.openxmlformats.org/spreadsheetml/2006/main" count="3096" uniqueCount="466">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</sst>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16" fillId="0" borderId="0" xfId="0" applyFont="1" applyAlignment="1">
      <alignment horizontal="left" vertical="top" wrapText="1"/>
    </xf>
    <xf numFmtId="0" fontId="0" fillId="0" borderId="0" xfId="0"/>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8"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9" t="s">
        <v>187</v>
      </c>
      <c r="B3" s="146"/>
      <c r="C3" s="146"/>
      <c r="D3" s="146"/>
      <c r="E3" s="146"/>
      <c r="F3" s="146"/>
      <c r="G3" s="146"/>
      <c r="H3" s="146"/>
    </row>
    <row r="6" spans="1:8" ht="21.75" customHeight="1" x14ac:dyDescent="0.2">
      <c r="A6" s="147" t="s">
        <v>188</v>
      </c>
      <c r="B6" s="146"/>
      <c r="C6" s="146"/>
      <c r="D6" s="146"/>
      <c r="E6" s="146"/>
      <c r="F6" s="146"/>
      <c r="G6" s="146"/>
      <c r="H6" s="146"/>
    </row>
    <row r="7" spans="1:8" ht="51" customHeight="1" x14ac:dyDescent="0.2">
      <c r="A7" s="25" t="s">
        <v>189</v>
      </c>
      <c r="B7" s="145" t="s">
        <v>190</v>
      </c>
      <c r="C7" s="146"/>
      <c r="D7" s="146"/>
      <c r="E7" s="146"/>
      <c r="F7" s="146"/>
      <c r="G7" s="146"/>
      <c r="H7" s="146"/>
    </row>
    <row r="8" spans="1:8" ht="36" customHeight="1" x14ac:dyDescent="0.2">
      <c r="A8" s="26" t="s">
        <v>191</v>
      </c>
      <c r="B8" s="145" t="s">
        <v>192</v>
      </c>
      <c r="C8" s="146"/>
      <c r="D8" s="146"/>
      <c r="E8" s="146"/>
      <c r="F8" s="146"/>
      <c r="G8" s="146"/>
      <c r="H8" s="146"/>
    </row>
    <row r="9" spans="1:8" ht="21" customHeight="1" x14ac:dyDescent="0.2">
      <c r="A9" s="25" t="s">
        <v>189</v>
      </c>
      <c r="B9" s="145" t="s">
        <v>193</v>
      </c>
      <c r="C9" s="146"/>
      <c r="D9" s="146"/>
      <c r="E9" s="146"/>
      <c r="F9" s="146"/>
      <c r="G9" s="146"/>
      <c r="H9" s="146"/>
    </row>
    <row r="10" spans="1:8" ht="36" customHeight="1" x14ac:dyDescent="0.2">
      <c r="A10" s="26" t="s">
        <v>191</v>
      </c>
      <c r="B10" s="145" t="s">
        <v>194</v>
      </c>
      <c r="C10" s="146"/>
      <c r="D10" s="146"/>
      <c r="E10" s="146"/>
      <c r="F10" s="146"/>
      <c r="G10" s="146"/>
      <c r="H10" s="146"/>
    </row>
    <row r="12" spans="1:8" ht="21.75" customHeight="1" x14ac:dyDescent="0.2">
      <c r="A12" s="147" t="s">
        <v>195</v>
      </c>
      <c r="B12" s="146"/>
      <c r="C12" s="146"/>
      <c r="D12" s="146"/>
      <c r="E12" s="146"/>
      <c r="F12" s="146"/>
      <c r="G12" s="146"/>
      <c r="H12" s="146"/>
    </row>
    <row r="13" spans="1:8" ht="36" customHeight="1" x14ac:dyDescent="0.2">
      <c r="A13" s="25" t="s">
        <v>189</v>
      </c>
      <c r="B13" s="145" t="s">
        <v>196</v>
      </c>
      <c r="C13" s="146"/>
      <c r="D13" s="146"/>
      <c r="E13" s="146"/>
      <c r="F13" s="146"/>
      <c r="G13" s="146"/>
      <c r="H13" s="146"/>
    </row>
    <row r="14" spans="1:8" ht="36" customHeight="1" x14ac:dyDescent="0.2">
      <c r="A14" s="26" t="s">
        <v>191</v>
      </c>
      <c r="B14" s="145" t="s">
        <v>197</v>
      </c>
      <c r="C14" s="146"/>
      <c r="D14" s="146"/>
      <c r="E14" s="146"/>
      <c r="F14" s="146"/>
      <c r="G14" s="146"/>
      <c r="H14" s="146"/>
    </row>
    <row r="15" spans="1:8" ht="21" customHeight="1" x14ac:dyDescent="0.2">
      <c r="A15" s="25" t="s">
        <v>189</v>
      </c>
      <c r="B15" s="145" t="s">
        <v>198</v>
      </c>
      <c r="C15" s="146"/>
      <c r="D15" s="146"/>
      <c r="E15" s="146"/>
      <c r="F15" s="146"/>
      <c r="G15" s="146"/>
      <c r="H15" s="146"/>
    </row>
    <row r="16" spans="1:8" ht="36" customHeight="1" x14ac:dyDescent="0.2">
      <c r="A16" s="26" t="s">
        <v>191</v>
      </c>
      <c r="B16" s="145" t="s">
        <v>199</v>
      </c>
      <c r="C16" s="146"/>
      <c r="D16" s="146"/>
      <c r="E16" s="146"/>
      <c r="F16" s="146"/>
      <c r="G16" s="146"/>
      <c r="H16" s="146"/>
    </row>
    <row r="18" spans="1:8" ht="21.75" customHeight="1" x14ac:dyDescent="0.2">
      <c r="A18" s="147" t="s">
        <v>200</v>
      </c>
      <c r="B18" s="146"/>
      <c r="C18" s="146"/>
      <c r="D18" s="146"/>
      <c r="E18" s="146"/>
      <c r="F18" s="146"/>
      <c r="G18" s="146"/>
      <c r="H18" s="146"/>
    </row>
    <row r="19" spans="1:8" ht="21" customHeight="1" x14ac:dyDescent="0.2">
      <c r="A19" s="25" t="s">
        <v>189</v>
      </c>
      <c r="B19" s="145" t="s">
        <v>201</v>
      </c>
      <c r="C19" s="146"/>
      <c r="D19" s="146"/>
      <c r="E19" s="146"/>
      <c r="F19" s="146"/>
      <c r="G19" s="146"/>
      <c r="H19" s="146"/>
    </row>
    <row r="20" spans="1:8" ht="51" customHeight="1" x14ac:dyDescent="0.2">
      <c r="A20" s="26" t="s">
        <v>191</v>
      </c>
      <c r="B20" s="145" t="s">
        <v>202</v>
      </c>
      <c r="C20" s="146"/>
      <c r="D20" s="146"/>
      <c r="E20" s="146"/>
      <c r="F20" s="146"/>
      <c r="G20" s="146"/>
      <c r="H20" s="146"/>
    </row>
    <row r="21" spans="1:8" ht="21" customHeight="1" x14ac:dyDescent="0.2">
      <c r="A21" s="25" t="s">
        <v>189</v>
      </c>
      <c r="B21" s="145" t="s">
        <v>203</v>
      </c>
      <c r="C21" s="146"/>
      <c r="D21" s="146"/>
      <c r="E21" s="146"/>
      <c r="F21" s="146"/>
      <c r="G21" s="146"/>
      <c r="H21" s="146"/>
    </row>
    <row r="22" spans="1:8" ht="51" customHeight="1" x14ac:dyDescent="0.2">
      <c r="A22" s="26" t="s">
        <v>191</v>
      </c>
      <c r="B22" s="145" t="s">
        <v>204</v>
      </c>
      <c r="C22" s="146"/>
      <c r="D22" s="146"/>
      <c r="E22" s="146"/>
      <c r="F22" s="146"/>
      <c r="G22" s="146"/>
      <c r="H22" s="146"/>
    </row>
    <row r="24" spans="1:8" ht="21.75" customHeight="1" x14ac:dyDescent="0.2">
      <c r="A24" s="147" t="s">
        <v>205</v>
      </c>
      <c r="B24" s="146"/>
      <c r="C24" s="146"/>
      <c r="D24" s="146"/>
      <c r="E24" s="146"/>
      <c r="F24" s="146"/>
      <c r="G24" s="146"/>
      <c r="H24" s="146"/>
    </row>
    <row r="25" spans="1:8" ht="21" customHeight="1" x14ac:dyDescent="0.2">
      <c r="A25" s="25" t="s">
        <v>189</v>
      </c>
      <c r="B25" s="145" t="s">
        <v>206</v>
      </c>
      <c r="C25" s="146"/>
      <c r="D25" s="146"/>
      <c r="E25" s="146"/>
      <c r="F25" s="146"/>
      <c r="G25" s="146"/>
      <c r="H25" s="146"/>
    </row>
    <row r="26" spans="1:8" ht="51" customHeight="1" x14ac:dyDescent="0.2">
      <c r="A26" s="26" t="s">
        <v>191</v>
      </c>
      <c r="B26" s="145" t="s">
        <v>207</v>
      </c>
      <c r="C26" s="146"/>
      <c r="D26" s="146"/>
      <c r="E26" s="146"/>
      <c r="F26" s="146"/>
      <c r="G26" s="146"/>
      <c r="H26" s="146"/>
    </row>
    <row r="27" spans="1:8" ht="21" customHeight="1" x14ac:dyDescent="0.2">
      <c r="A27" s="25" t="s">
        <v>189</v>
      </c>
      <c r="B27" s="145" t="s">
        <v>208</v>
      </c>
      <c r="C27" s="146"/>
      <c r="D27" s="146"/>
      <c r="E27" s="146"/>
      <c r="F27" s="146"/>
      <c r="G27" s="146"/>
      <c r="H27" s="146"/>
    </row>
    <row r="28" spans="1:8" ht="51" customHeight="1" x14ac:dyDescent="0.2">
      <c r="A28" s="26" t="s">
        <v>191</v>
      </c>
      <c r="B28" s="145" t="s">
        <v>209</v>
      </c>
      <c r="C28" s="146"/>
      <c r="D28" s="146"/>
      <c r="E28" s="146"/>
      <c r="F28" s="146"/>
      <c r="G28" s="146"/>
      <c r="H28" s="146"/>
    </row>
    <row r="29" spans="1:8" ht="21" customHeight="1" x14ac:dyDescent="0.2">
      <c r="A29" s="25" t="s">
        <v>189</v>
      </c>
      <c r="B29" s="145" t="s">
        <v>210</v>
      </c>
      <c r="C29" s="146"/>
      <c r="D29" s="146"/>
      <c r="E29" s="146"/>
      <c r="F29" s="146"/>
      <c r="G29" s="146"/>
      <c r="H29" s="146"/>
    </row>
    <row r="30" spans="1:8" ht="36" customHeight="1" x14ac:dyDescent="0.2">
      <c r="A30" s="26" t="s">
        <v>191</v>
      </c>
      <c r="B30" s="145" t="s">
        <v>211</v>
      </c>
      <c r="C30" s="146"/>
      <c r="D30" s="146"/>
      <c r="E30" s="146"/>
      <c r="F30" s="146"/>
      <c r="G30" s="146"/>
      <c r="H30" s="146"/>
    </row>
    <row r="32" spans="1:8" ht="21.75" customHeight="1" x14ac:dyDescent="0.2">
      <c r="A32" s="147" t="s">
        <v>212</v>
      </c>
      <c r="B32" s="146"/>
      <c r="C32" s="146"/>
      <c r="D32" s="146"/>
      <c r="E32" s="146"/>
      <c r="F32" s="146"/>
      <c r="G32" s="146"/>
      <c r="H32" s="146"/>
    </row>
    <row r="33" spans="1:8" ht="21" customHeight="1" x14ac:dyDescent="0.2">
      <c r="A33" s="25" t="s">
        <v>189</v>
      </c>
      <c r="B33" s="145" t="s">
        <v>213</v>
      </c>
      <c r="C33" s="146"/>
      <c r="D33" s="146"/>
      <c r="E33" s="146"/>
      <c r="F33" s="146"/>
      <c r="G33" s="146"/>
      <c r="H33" s="146"/>
    </row>
    <row r="34" spans="1:8" ht="51" customHeight="1" x14ac:dyDescent="0.2">
      <c r="A34" s="26" t="s">
        <v>191</v>
      </c>
      <c r="B34" s="145" t="s">
        <v>214</v>
      </c>
      <c r="C34" s="146"/>
      <c r="D34" s="146"/>
      <c r="E34" s="146"/>
      <c r="F34" s="146"/>
      <c r="G34" s="146"/>
      <c r="H34" s="146"/>
    </row>
    <row r="35" spans="1:8" ht="21" customHeight="1" x14ac:dyDescent="0.2">
      <c r="A35" s="25" t="s">
        <v>189</v>
      </c>
      <c r="B35" s="145" t="s">
        <v>215</v>
      </c>
      <c r="C35" s="146"/>
      <c r="D35" s="146"/>
      <c r="E35" s="146"/>
      <c r="F35" s="146"/>
      <c r="G35" s="146"/>
      <c r="H35" s="146"/>
    </row>
    <row r="36" spans="1:8" ht="36" customHeight="1" x14ac:dyDescent="0.2">
      <c r="A36" s="26" t="s">
        <v>191</v>
      </c>
      <c r="B36" s="145" t="s">
        <v>216</v>
      </c>
      <c r="C36" s="146"/>
      <c r="D36" s="146"/>
      <c r="E36" s="146"/>
      <c r="F36" s="146"/>
      <c r="G36" s="146"/>
      <c r="H36" s="146"/>
    </row>
    <row r="37" spans="1:8" ht="21" customHeight="1" x14ac:dyDescent="0.2">
      <c r="A37" s="25" t="s">
        <v>189</v>
      </c>
      <c r="B37" s="145" t="s">
        <v>217</v>
      </c>
      <c r="C37" s="146"/>
      <c r="D37" s="146"/>
      <c r="E37" s="146"/>
      <c r="F37" s="146"/>
      <c r="G37" s="146"/>
      <c r="H37" s="146"/>
    </row>
    <row r="38" spans="1:8" ht="51" customHeight="1" x14ac:dyDescent="0.2">
      <c r="A38" s="26" t="s">
        <v>191</v>
      </c>
      <c r="B38" s="145" t="s">
        <v>218</v>
      </c>
      <c r="C38" s="146"/>
      <c r="D38" s="146"/>
      <c r="E38" s="146"/>
      <c r="F38" s="146"/>
      <c r="G38" s="146"/>
      <c r="H38" s="146"/>
    </row>
    <row r="39" spans="1:8" ht="21" customHeight="1" x14ac:dyDescent="0.2">
      <c r="A39" s="25" t="s">
        <v>189</v>
      </c>
      <c r="B39" s="145" t="s">
        <v>219</v>
      </c>
      <c r="C39" s="146"/>
      <c r="D39" s="146"/>
      <c r="E39" s="146"/>
      <c r="F39" s="146"/>
      <c r="G39" s="146"/>
      <c r="H39" s="146"/>
    </row>
    <row r="41" spans="1:8" ht="21.75" customHeight="1" x14ac:dyDescent="0.2">
      <c r="A41" s="147" t="s">
        <v>220</v>
      </c>
      <c r="B41" s="146"/>
      <c r="C41" s="146"/>
      <c r="D41" s="146"/>
      <c r="E41" s="146"/>
      <c r="F41" s="146"/>
      <c r="G41" s="146"/>
      <c r="H41" s="146"/>
    </row>
    <row r="42" spans="1:8" ht="21" customHeight="1" x14ac:dyDescent="0.2">
      <c r="A42" s="25" t="s">
        <v>189</v>
      </c>
      <c r="B42" s="145" t="s">
        <v>221</v>
      </c>
      <c r="C42" s="146"/>
      <c r="D42" s="146"/>
      <c r="E42" s="146"/>
      <c r="F42" s="146"/>
      <c r="G42" s="146"/>
      <c r="H42" s="146"/>
    </row>
    <row r="43" spans="1:8" ht="51" customHeight="1" x14ac:dyDescent="0.2">
      <c r="A43" s="26" t="s">
        <v>191</v>
      </c>
      <c r="B43" s="145" t="s">
        <v>222</v>
      </c>
      <c r="C43" s="146"/>
      <c r="D43" s="146"/>
      <c r="E43" s="146"/>
      <c r="F43" s="146"/>
      <c r="G43" s="146"/>
      <c r="H43" s="146"/>
    </row>
    <row r="44" spans="1:8" ht="21" customHeight="1" x14ac:dyDescent="0.2">
      <c r="A44" s="25" t="s">
        <v>189</v>
      </c>
      <c r="B44" s="145" t="s">
        <v>223</v>
      </c>
      <c r="C44" s="146"/>
      <c r="D44" s="146"/>
      <c r="E44" s="146"/>
      <c r="F44" s="146"/>
      <c r="G44" s="146"/>
      <c r="H44" s="146"/>
    </row>
    <row r="45" spans="1:8" ht="36" customHeight="1" x14ac:dyDescent="0.2">
      <c r="A45" s="26" t="s">
        <v>191</v>
      </c>
      <c r="B45" s="145" t="s">
        <v>224</v>
      </c>
      <c r="C45" s="146"/>
      <c r="D45" s="146"/>
      <c r="E45" s="146"/>
      <c r="F45" s="146"/>
      <c r="G45" s="146"/>
      <c r="H45" s="146"/>
    </row>
    <row r="46" spans="1:8" ht="21" customHeight="1" x14ac:dyDescent="0.2">
      <c r="A46" s="25" t="s">
        <v>189</v>
      </c>
      <c r="B46" s="145" t="s">
        <v>225</v>
      </c>
      <c r="C46" s="146"/>
      <c r="D46" s="146"/>
      <c r="E46" s="146"/>
      <c r="F46" s="146"/>
      <c r="G46" s="146"/>
      <c r="H46" s="146"/>
    </row>
    <row r="47" spans="1:8" ht="21" customHeight="1" x14ac:dyDescent="0.2">
      <c r="A47" s="26" t="s">
        <v>191</v>
      </c>
      <c r="B47" s="145" t="s">
        <v>226</v>
      </c>
      <c r="C47" s="146"/>
      <c r="D47" s="146"/>
      <c r="E47" s="146"/>
      <c r="F47" s="146"/>
      <c r="G47" s="146"/>
      <c r="H47" s="146"/>
    </row>
    <row r="49" spans="1:8" ht="21.75" customHeight="1" x14ac:dyDescent="0.2">
      <c r="A49" s="147" t="s">
        <v>227</v>
      </c>
      <c r="B49" s="146"/>
      <c r="C49" s="146"/>
      <c r="D49" s="146"/>
      <c r="E49" s="146"/>
      <c r="F49" s="146"/>
      <c r="G49" s="146"/>
      <c r="H49" s="146"/>
    </row>
    <row r="50" spans="1:8" ht="36" customHeight="1" x14ac:dyDescent="0.2">
      <c r="A50" s="25" t="s">
        <v>189</v>
      </c>
      <c r="B50" s="145" t="s">
        <v>228</v>
      </c>
      <c r="C50" s="146"/>
      <c r="D50" s="146"/>
      <c r="E50" s="146"/>
      <c r="F50" s="146"/>
      <c r="G50" s="146"/>
      <c r="H50" s="146"/>
    </row>
    <row r="51" spans="1:8" ht="21" customHeight="1" x14ac:dyDescent="0.2">
      <c r="A51" s="26" t="s">
        <v>191</v>
      </c>
      <c r="B51" s="145" t="s">
        <v>229</v>
      </c>
      <c r="C51" s="146"/>
      <c r="D51" s="146"/>
      <c r="E51" s="146"/>
      <c r="F51" s="146"/>
      <c r="G51" s="146"/>
      <c r="H51" s="146"/>
    </row>
    <row r="52" spans="1:8" ht="21" customHeight="1" x14ac:dyDescent="0.2">
      <c r="A52" s="25" t="s">
        <v>189</v>
      </c>
      <c r="B52" s="145"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3" t="s">
        <v>231</v>
      </c>
      <c r="B1" s="146"/>
      <c r="C1" s="146"/>
      <c r="D1" s="146"/>
      <c r="E1" s="146"/>
      <c r="G1" s="27"/>
      <c r="H1" s="27"/>
      <c r="I1" s="27"/>
    </row>
    <row r="2" spans="1:9" ht="28.5" customHeight="1" x14ac:dyDescent="0.2">
      <c r="A2" s="152" t="s">
        <v>232</v>
      </c>
      <c r="B2" s="146"/>
      <c r="C2" s="146"/>
      <c r="D2" s="146"/>
      <c r="E2" s="146"/>
      <c r="G2" s="27"/>
      <c r="H2" s="27"/>
      <c r="I2" s="27"/>
    </row>
    <row r="3" spans="1:9" ht="3" customHeight="1" x14ac:dyDescent="0.2">
      <c r="G3" s="27"/>
      <c r="H3" s="27"/>
      <c r="I3" s="27"/>
    </row>
    <row r="4" spans="1:9" ht="15" customHeight="1" x14ac:dyDescent="0.2">
      <c r="A4" s="151" t="s">
        <v>233</v>
      </c>
      <c r="B4" s="146"/>
      <c r="C4" s="146"/>
      <c r="D4" s="146"/>
      <c r="E4" s="146"/>
      <c r="G4" s="27"/>
      <c r="H4" s="27"/>
      <c r="I4" s="27"/>
    </row>
    <row r="5" spans="1:9" ht="24.75" customHeight="1" x14ac:dyDescent="0.2">
      <c r="A5" s="154" t="str">
        <f ca="1">'Sport Records'!$C$4</f>
        <v>Josh</v>
      </c>
      <c r="B5" s="146"/>
      <c r="C5" s="146"/>
      <c r="D5" s="146"/>
      <c r="E5" s="146"/>
      <c r="G5" s="27"/>
      <c r="H5" s="27"/>
      <c r="I5" s="27"/>
    </row>
    <row r="6" spans="1:9" ht="15" customHeight="1" x14ac:dyDescent="0.2">
      <c r="A6" s="156"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1214   |   37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5"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Log'!$D$4:$D$1510,$B10,'Match Log'!$C$4:$C$1510,$A10,'Match Log'!$E$4:$E$1510,"Win")&amp;"–"&amp;(COUNTIFS('Match Log'!$D$4:$D$1510,$B10,'Match Log'!$C$4:$C$1510,$A10)-COUNTIFS('Match Log'!$D$4:$D$1510,$B10,'Match Log'!$C$4:$C$1510,$A10,'Match Log'!$E$4:$E$1510,"Win")))</f>
        <v>6–0</v>
      </c>
      <c r="E10" s="31">
        <f>IFERROR('Sport Records'!$P$8,0)</f>
        <v>7</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Dean B</v>
      </c>
      <c r="C14" s="31">
        <f>IF(OR($B14="—",$B14=""),"",ROUND(MAX('Sport Records'!$B$110:$O$110),0))</f>
        <v>1047</v>
      </c>
      <c r="D14" s="31" t="str">
        <f>IF(OR($B14="—",$B14=""),"—",COUNTIFS('Match Log'!$D$4:$D$1510,$B14,'Match Log'!$C$4:$C$1510,$A14,'Match Log'!$E$4:$E$1510,"Win")&amp;"–"&amp;(COUNTIFS('Match Log'!$D$4:$D$1510,$B14,'Match Log'!$C$4:$C$1510,$A14)-COUNTIFS('Match Log'!$D$4:$D$1510,$B14,'Match Log'!$C$4:$C$1510,$A14,'Match Log'!$E$4:$E$1510,"Win")))</f>
        <v>7–4</v>
      </c>
      <c r="E14" s="31">
        <f>IFERROR('Sport Records'!$P$12,0)</f>
        <v>22</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19</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1086</v>
      </c>
      <c r="D28" s="31" t="str">
        <f>IF(OR($B28="—",$B28=""),"—",COUNTIFS('Match Log'!$D$4:$D$1510,$B28,'Match Log'!$C$4:$C$1510,$A28,'Match Log'!$E$4:$E$1510,"Win")&amp;"–"&amp;(COUNTIFS('Match Log'!$D$4:$D$1510,$B28,'Match Log'!$C$4:$C$1510,$A28)-COUNTIFS('Match Log'!$D$4:$D$1510,$B28,'Match Log'!$C$4:$C$1510,$A28,'Match Log'!$E$4:$E$1510,"Win")))</f>
        <v>15–12</v>
      </c>
      <c r="E28" s="31">
        <f>IFERROR('Sport Records'!$P$26,0)</f>
        <v>43</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296  ·  22 Sep 2026</v>
      </c>
      <c r="T2" s="49"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Dean B</v>
      </c>
      <c r="C5" s="54">
        <f ca="1">IFERROR(INDEX(Calcs!$S$7:$S$20,MATCH($B5,Calcs!$A$7:$A$20,0)),"")</f>
        <v>1218.9288111472574</v>
      </c>
      <c r="D5" s="55">
        <f ca="1">COUNTIF('Match Log'!$D$4:$D$1510,$B5)</f>
        <v>39</v>
      </c>
      <c r="E5" s="55">
        <f ca="1">COUNTIFS('Match Log'!$D$4:$D$1510,$B5,'Match Log'!$E$4:$E$1510,"Win")</f>
        <v>24</v>
      </c>
      <c r="F5" s="55">
        <f t="shared" ref="F5:F18" ca="1" si="1">$D5-$E5</f>
        <v>15</v>
      </c>
      <c r="G5" s="56">
        <f t="shared" ref="G5:G18" ca="1" si="2">IF($D5=0,"",$E5/$D5)</f>
        <v>0.61538461538461542</v>
      </c>
      <c r="H5" s="57">
        <f ca="1">SUMIF('Match Log'!$D$4:$D$1510,$B5,'Match Log'!$J$4:$J$1510)</f>
        <v>111.66425787331448</v>
      </c>
      <c r="I5" s="57">
        <f ca="1">SUMIF('Match Log'!$D$4:$D$1510,$B5,'Match Log'!$K$4:$K$1510)</f>
        <v>81.264553273943164</v>
      </c>
      <c r="J5" s="57">
        <f ca="1">SUMIF('Match Log'!$D$4:$D$1510,$B5,'Match Log'!$L$4:$L$1510)</f>
        <v>56</v>
      </c>
      <c r="K5" s="55">
        <f ca="1">SUMPRODUCT(--(COUNTIFS('Match Log'!$D$4:$D$1510,$B5,'Match Log'!$C$4:$C$1510,Lists!$C$2:$C$26)&gt;0))</f>
        <v>7</v>
      </c>
      <c r="L5" s="55" t="str">
        <f ca="1">IF($D5=0,"No games",IF(AND($D5&gt;='Guide &amp; Settings'!$C$45,$K5&gt;='Guide &amp; Settings'!$C$46),"Eligible","Provisional"))</f>
        <v>Eligible</v>
      </c>
      <c r="M5" s="54">
        <f ca="1">IFERROR(INDEX(Calcs!$C$7:$C$20,MATCH($B5,Calcs!$A$7:$A$20,0)),"")</f>
        <v>1110.8538618694322</v>
      </c>
      <c r="N5" s="54">
        <f t="shared" ref="N5:N18" ca="1" si="3">MAX($C$5:$C$18)-$C5</f>
        <v>0</v>
      </c>
      <c r="O5" s="55" t="str">
        <f ca="1">IFERROR(INDEX(Calcs!$H$7:$H$20,MATCH($B5,Calcs!$A$7:$A$20,0)),"")</f>
        <v>W3</v>
      </c>
      <c r="P5" s="55" t="str">
        <f ca="1">IFERROR(INDEX(Calcs!$I$7:$I$20,MATCH($B5,Calcs!$A$7:$A$20,0)),"")</f>
        <v>WLWWW</v>
      </c>
      <c r="Q5" s="55" t="str">
        <f ca="1">IFERROR(IF(INDEX(Calcs!$L$7:$L$20,MATCH($B5,Calcs!$A$7:$A$20,0))&gt;0,"▲"&amp;INDEX(Calcs!$L$7:$L$20,MATCH($B5,Calcs!$A$7:$A$20,0)),IF(INDEX(Calcs!$L$7:$L$20,MATCH($B5,Calcs!$A$7:$A$20,0))&lt;0,"▼"&amp;ABS(INDEX(Calcs!$L$7:$L$20,MATCH($B5,Calcs!$A$7:$A$20,0))),"–")),"")</f>
        <v>▲2</v>
      </c>
      <c r="R5" s="55" t="str">
        <f ca="1">IFERROR(IF(INDEX(Calcs!$P$7:$P$20,MATCH($B5,Calcs!$A$7:$A$20,0))=0,"—",TEXT(INDEX(Calcs!$P$7:$P$20,MATCH($B5,Calcs!$A$7:$A$20,0)),"d mmm")),"")</f>
        <v>22 Aug</v>
      </c>
      <c r="S5" s="55">
        <f ca="1">IFERROR(ROUND(INDEX(Calcs!$Q$7:$Q$20,MATCH($B5,Calcs!$A$7:$A$20,0)),1),"")</f>
        <v>4.4000000000000004</v>
      </c>
      <c r="T5" s="55" t="str">
        <f ca="1">IFERROR(INDEX(Calcs!$T$7:$T$20,MATCH($B5,Calcs!$A$7:$A$20,0)),"")</f>
        <v>Inactive</v>
      </c>
      <c r="U5">
        <f ca="1">IFERROR(ROUND(INDEX(Calcs!$R$7:$R$20,MATCH($B5,Calcs!$A$7:$A$20,0))+INDEX(Calcs!$U$7:$U$20,MATCH($B5,Calcs!$A$7:$A$20,0)),0),0)</f>
        <v>30</v>
      </c>
      <c r="V5" s="57">
        <f ca="1">IFERROR(ROUND(INDEX(Calcs!$S$7:$S$20,MATCH($B5,Calcs!$A$7:$A$20,0)),0),"")</f>
        <v>1219</v>
      </c>
      <c r="W5" s="55" t="str">
        <f ca="1">IFERROR(INDEX(Calcs!$AF$7:$AF$20,MATCH($B5,Calcs!$A$7:$A$20,0)),"")</f>
        <v>Elite</v>
      </c>
      <c r="X5" s="57">
        <f ca="1">IFERROR(ROUND(SUMIF('Poker Stake Ledger'!$C$18:$C$137,$B5,'Poker Stake Ledger'!$K$18:$K$137),1),0)</f>
        <v>0</v>
      </c>
    </row>
    <row r="6" spans="1:24" ht="15" customHeight="1" x14ac:dyDescent="0.2">
      <c r="A6" s="52">
        <f t="shared" si="0"/>
        <v>2</v>
      </c>
      <c r="B6" s="53" t="str">
        <f ca="1">IFERROR(INDEX(Calcs!$A$7:$A$20,MATCH(LARGE(Calcs!$AI$7:$AI$20,ROW()-4),Calcs!$AI$7:$AI$20,0)),"")</f>
        <v>Josh</v>
      </c>
      <c r="C6" s="54">
        <f ca="1">IFERROR(INDEX(Calcs!$S$7:$S$20,MATCH($B6,Calcs!$A$7:$A$20,0)),"")</f>
        <v>1214.0621492095624</v>
      </c>
      <c r="D6" s="55">
        <f ca="1">COUNTIF('Match Log'!$D$4:$D$1510,$B6)</f>
        <v>62</v>
      </c>
      <c r="E6" s="55">
        <f ca="1">COUNTIFS('Match Log'!$D$4:$D$1510,$B6,'Match Log'!$E$4:$E$1510,"Win")</f>
        <v>37</v>
      </c>
      <c r="F6" s="55">
        <f t="shared" ca="1" si="1"/>
        <v>25</v>
      </c>
      <c r="G6" s="56">
        <f t="shared" ca="1" si="2"/>
        <v>0.59677419354838712</v>
      </c>
      <c r="H6" s="57">
        <f ca="1">SUMIF('Match Log'!$D$4:$D$1510,$B6,'Match Log'!$J$4:$J$1510)</f>
        <v>86.079325685091305</v>
      </c>
      <c r="I6" s="57">
        <f ca="1">SUMIF('Match Log'!$D$4:$D$1510,$B6,'Match Log'!$K$4:$K$1510)</f>
        <v>56.232823524470831</v>
      </c>
      <c r="J6" s="57">
        <f ca="1">SUMIF('Match Log'!$D$4:$D$1510,$B6,'Match Log'!$L$4:$L$1510)</f>
        <v>50</v>
      </c>
      <c r="K6" s="55">
        <f ca="1">SUMPRODUCT(--(COUNTIFS('Match Log'!$D$4:$D$1510,$B6,'Match Log'!$C$4:$C$1510,Lists!$C$2:$C$26)&gt;0))</f>
        <v>15</v>
      </c>
      <c r="L6" s="55" t="str">
        <f ca="1">IF($D6=0,"No games",IF(AND($D6&gt;='Guide &amp; Settings'!$C$45,$K6&gt;='Guide &amp; Settings'!$C$46),"Eligible","Provisional"))</f>
        <v>Eligible</v>
      </c>
      <c r="M6" s="54">
        <f ca="1">IFERROR(INDEX(Calcs!$C$7:$C$20,MATCH($B6,Calcs!$A$7:$A$20,0)),"")</f>
        <v>1120.9938580011403</v>
      </c>
      <c r="N6" s="54">
        <f t="shared" ca="1" si="3"/>
        <v>4.8666619376949711</v>
      </c>
      <c r="O6" s="55" t="str">
        <f ca="1">IFERROR(INDEX(Calcs!$H$7:$H$20,MATCH($B6,Calcs!$A$7:$A$20,0)),"")</f>
        <v>W3</v>
      </c>
      <c r="P6" s="55" t="str">
        <f ca="1">IFERROR(INDEX(Calcs!$I$7:$I$20,MATCH($B6,Calcs!$A$7:$A$20,0)),"")</f>
        <v>WLWWW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7 Sep</v>
      </c>
      <c r="S6" s="55">
        <f ca="1">IFERROR(ROUND(INDEX(Calcs!$Q$7:$Q$20,MATCH($B6,Calcs!$A$7:$A$20,0)),1),"")</f>
        <v>2.1</v>
      </c>
      <c r="T6" s="55" t="str">
        <f ca="1">IFERROR(INDEX(Calcs!$T$7:$T$20,MATCH($B6,Calcs!$A$7:$A$20,0)),"")</f>
        <v>At risk</v>
      </c>
      <c r="U6">
        <f ca="1">IFERROR(ROUND(INDEX(Calcs!$R$7:$R$20,MATCH($B6,Calcs!$A$7:$A$20,0))+INDEX(Calcs!$U$7:$U$20,MATCH($B6,Calcs!$A$7:$A$20,0)),0),0)</f>
        <v>0</v>
      </c>
      <c r="V6" s="57">
        <f ca="1">IFERROR(ROUND(INDEX(Calcs!$S$7:$S$20,MATCH($B6,Calcs!$A$7:$A$20,0)),0),"")</f>
        <v>1214</v>
      </c>
      <c r="W6" s="55" t="str">
        <f ca="1">IFERROR(INDEX(Calcs!$AF$7:$AF$20,MATCH($B6,Calcs!$A$7:$A$20,0)),"")</f>
        <v>Elite</v>
      </c>
      <c r="X6" s="57">
        <f ca="1">IFERROR(ROUND(SUMIF('Poker Stake Ledger'!$C$18:$C$137,$B6,'Poker Stake Ledger'!$K$18:$K$137),1),0)</f>
        <v>21.8</v>
      </c>
    </row>
    <row r="7" spans="1:24" ht="15" customHeight="1" x14ac:dyDescent="0.2">
      <c r="A7" s="52">
        <f t="shared" si="0"/>
        <v>3</v>
      </c>
      <c r="B7" s="53" t="str">
        <f ca="1">IFERROR(INDEX(Calcs!$A$7:$A$20,MATCH(LARGE(Calcs!$AI$7:$AI$20,ROW()-4),Calcs!$AI$7:$AI$20,0)),"")</f>
        <v>Aaron</v>
      </c>
      <c r="C7" s="54">
        <f ca="1">IFERROR(INDEX(Calcs!$S$7:$S$20,MATCH($B7,Calcs!$A$7:$A$20,0)),"")</f>
        <v>1211.7695151191851</v>
      </c>
      <c r="D7" s="55">
        <f ca="1">COUNTIF('Match Log'!$D$4:$D$1510,$B7)</f>
        <v>88</v>
      </c>
      <c r="E7" s="55">
        <f ca="1">COUNTIFS('Match Log'!$D$4:$D$1510,$B7,'Match Log'!$E$4:$E$1510,"Win")</f>
        <v>42</v>
      </c>
      <c r="F7" s="55">
        <f t="shared" ca="1" si="1"/>
        <v>46</v>
      </c>
      <c r="G7" s="56">
        <f t="shared" ca="1" si="2"/>
        <v>0.47727272727272729</v>
      </c>
      <c r="H7" s="57">
        <f ca="1">SUMIF('Match Log'!$D$4:$D$1510,$B7,'Match Log'!$J$4:$J$1510)</f>
        <v>59.350083858136593</v>
      </c>
      <c r="I7" s="57">
        <f ca="1">SUMIF('Match Log'!$D$4:$D$1510,$B7,'Match Log'!$K$4:$K$1510)</f>
        <v>69.519431261048254</v>
      </c>
      <c r="J7" s="57">
        <f ca="1">SUMIF('Match Log'!$D$4:$D$1510,$B7,'Match Log'!$L$4:$L$1510)</f>
        <v>104</v>
      </c>
      <c r="K7" s="55">
        <f ca="1">SUMPRODUCT(--(COUNTIFS('Match Log'!$D$4:$D$1510,$B7,'Match Log'!$C$4:$C$1510,Lists!$C$2:$C$26)&gt;0))</f>
        <v>14</v>
      </c>
      <c r="L7" s="55" t="str">
        <f ca="1">IF($D7=0,"No games",IF(AND($D7&gt;='Guide &amp; Settings'!$C$45,$K7&gt;='Guide &amp; Settings'!$C$46),"Eligible","Provisional"))</f>
        <v>Eligible</v>
      </c>
      <c r="M7" s="54">
        <f ca="1">IFERROR(INDEX(Calcs!$C$7:$C$20,MATCH($B7,Calcs!$A$7:$A$20,0)),"")</f>
        <v>1139.0476374221903</v>
      </c>
      <c r="N7" s="54">
        <f t="shared" ca="1" si="3"/>
        <v>7.1592960280722764</v>
      </c>
      <c r="O7" s="55" t="str">
        <f ca="1">IFERROR(INDEX(Calcs!$H$7:$H$20,MATCH($B7,Calcs!$A$7:$A$20,0)),"")</f>
        <v>L4</v>
      </c>
      <c r="P7" s="55" t="str">
        <f ca="1">IFERROR(INDEX(Calcs!$I$7:$I$20,MATCH($B7,Calcs!$A$7:$A$20,0)),"")</f>
        <v>WLLLL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22 Sep</v>
      </c>
      <c r="S7" s="55">
        <f ca="1">IFERROR(ROUND(INDEX(Calcs!$Q$7:$Q$20,MATCH($B7,Calcs!$A$7:$A$20,0)),1),"")</f>
        <v>0</v>
      </c>
      <c r="T7" s="55" t="str">
        <f ca="1">IFERROR(INDEX(Calcs!$T$7:$T$20,MATCH($B7,Calcs!$A$7:$A$20,0)),"")</f>
        <v>Active</v>
      </c>
      <c r="U7">
        <f ca="1">IFERROR(ROUND(INDEX(Calcs!$R$7:$R$20,MATCH($B7,Calcs!$A$7:$A$20,0))+INDEX(Calcs!$U$7:$U$20,MATCH($B7,Calcs!$A$7:$A$20,0)),0),0)</f>
        <v>10</v>
      </c>
      <c r="V7" s="57">
        <f ca="1">IFERROR(ROUND(INDEX(Calcs!$S$7:$S$20,MATCH($B7,Calcs!$A$7:$A$20,0)),0),"")</f>
        <v>1212</v>
      </c>
      <c r="W7" s="55" t="str">
        <f ca="1">IFERROR(INDEX(Calcs!$AF$7:$AF$20,MATCH($B7,Calcs!$A$7:$A$20,0)),"")</f>
        <v>Elite</v>
      </c>
      <c r="X7" s="57">
        <f ca="1">IFERROR(ROUND(SUMIF('Poker Stake Ledger'!$C$18:$C$137,$B7,'Poker Stake Ledger'!$K$18:$K$137),1),0)</f>
        <v>-11.1</v>
      </c>
    </row>
    <row r="8" spans="1:24" ht="15" customHeight="1" x14ac:dyDescent="0.2">
      <c r="A8" s="52">
        <f t="shared" si="0"/>
        <v>4</v>
      </c>
      <c r="B8" s="53" t="str">
        <f ca="1">IFERROR(INDEX(Calcs!$A$7:$A$20,MATCH(LARGE(Calcs!$AI$7:$AI$20,ROW()-4),Calcs!$AI$7:$AI$20,0)),"")</f>
        <v>Simon</v>
      </c>
      <c r="C8" s="54">
        <f ca="1">IFERROR(INDEX(Calcs!$S$7:$S$20,MATCH($B8,Calcs!$A$7:$A$20,0)),"")</f>
        <v>1210.4461816871431</v>
      </c>
      <c r="D8" s="55">
        <f ca="1">COUNTIF('Match Log'!$D$4:$D$1510,$B8)</f>
        <v>40</v>
      </c>
      <c r="E8" s="55">
        <f ca="1">COUNTIFS('Match Log'!$D$4:$D$1510,$B8,'Match Log'!$E$4:$E$1510,"Win")</f>
        <v>21</v>
      </c>
      <c r="F8" s="55">
        <f t="shared" ca="1" si="1"/>
        <v>19</v>
      </c>
      <c r="G8" s="56">
        <f t="shared" ca="1" si="2"/>
        <v>0.52500000000000002</v>
      </c>
      <c r="H8" s="57">
        <f ca="1">SUMIF('Match Log'!$D$4:$D$1510,$B8,'Match Log'!$J$4:$J$1510)</f>
        <v>74.310240078644824</v>
      </c>
      <c r="I8" s="57">
        <f ca="1">SUMIF('Match Log'!$D$4:$D$1510,$B8,'Match Log'!$K$4:$K$1510)</f>
        <v>55.685941608498204</v>
      </c>
      <c r="J8" s="57">
        <f ca="1">SUMIF('Match Log'!$D$4:$D$1510,$B8,'Match Log'!$L$4:$L$1510)</f>
        <v>86</v>
      </c>
      <c r="K8" s="55">
        <f ca="1">SUMPRODUCT(--(COUNTIFS('Match Log'!$D$4:$D$1510,$B8,'Match Log'!$C$4:$C$1510,Lists!$C$2:$C$26)&gt;0))</f>
        <v>12</v>
      </c>
      <c r="L8" s="55" t="str">
        <f ca="1">IF($D8=0,"No games",IF(AND($D8&gt;='Guide &amp; Settings'!$C$45,$K8&gt;='Guide &amp; Settings'!$C$46),"Eligible","Provisional"))</f>
        <v>Eligible</v>
      </c>
      <c r="M8" s="54">
        <f ca="1">IFERROR(INDEX(Calcs!$C$7:$C$20,MATCH($B8,Calcs!$A$7:$A$20,0)),"")</f>
        <v>1075.761704803989</v>
      </c>
      <c r="N8" s="54">
        <f t="shared" ca="1" si="3"/>
        <v>8.4826294601143672</v>
      </c>
      <c r="O8" s="55" t="str">
        <f ca="1">IFERROR(INDEX(Calcs!$H$7:$H$20,MATCH($B8,Calcs!$A$7:$A$20,0)),"")</f>
        <v>W5</v>
      </c>
      <c r="P8" s="55" t="str">
        <f ca="1">IFERROR(INDEX(Calcs!$I$7:$I$20,MATCH($B8,Calcs!$A$7:$A$20,0)),"")</f>
        <v>WWWWW</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6 Sep</v>
      </c>
      <c r="S8" s="55">
        <f ca="1">IFERROR(ROUND(INDEX(Calcs!$Q$7:$Q$20,MATCH($B8,Calcs!$A$7:$A$20,0)),1),"")</f>
        <v>2.2999999999999998</v>
      </c>
      <c r="T8" s="55" t="str">
        <f ca="1">IFERROR(INDEX(Calcs!$T$7:$T$20,MATCH($B8,Calcs!$A$7:$A$20,0)),"")</f>
        <v>At risk</v>
      </c>
      <c r="U8">
        <f ca="1">IFERROR(ROUND(INDEX(Calcs!$R$7:$R$20,MATCH($B8,Calcs!$A$7:$A$20,0))+INDEX(Calcs!$U$7:$U$20,MATCH($B8,Calcs!$A$7:$A$20,0)),0),0)</f>
        <v>0</v>
      </c>
      <c r="V8" s="57">
        <f ca="1">IFERROR(ROUND(INDEX(Calcs!$S$7:$S$20,MATCH($B8,Calcs!$A$7:$A$20,0)),0),"")</f>
        <v>1210</v>
      </c>
      <c r="W8" s="55" t="str">
        <f ca="1">IFERROR(INDEX(Calcs!$AF$7:$AF$20,MATCH($B8,Calcs!$A$7:$A$20,0)),"")</f>
        <v>Elite</v>
      </c>
      <c r="X8" s="57">
        <f ca="1">IFERROR(ROUND(SUMIF('Poker Stake Ledger'!$C$18:$C$137,$B8,'Poker Stake Ledger'!$K$18:$K$137),1),0)</f>
        <v>-5.6</v>
      </c>
    </row>
    <row r="9" spans="1:24" ht="15" customHeight="1" x14ac:dyDescent="0.2">
      <c r="A9" s="52">
        <f t="shared" si="0"/>
        <v>5</v>
      </c>
      <c r="B9" s="53" t="str">
        <f ca="1">IFERROR(INDEX(Calcs!$A$7:$A$20,MATCH(LARGE(Calcs!$AI$7:$AI$20,ROW()-4),Calcs!$AI$7:$AI$20,0)),"")</f>
        <v>Shawn</v>
      </c>
      <c r="C9" s="54">
        <f ca="1">IFERROR(INDEX(Calcs!$S$7:$S$20,MATCH($B9,Calcs!$A$7:$A$20,0)),"")</f>
        <v>1205.024905680516</v>
      </c>
      <c r="D9" s="55">
        <f ca="1">COUNTIF('Match Log'!$D$4:$D$1510,$B9)</f>
        <v>153</v>
      </c>
      <c r="E9" s="55">
        <f ca="1">COUNTIFS('Match Log'!$D$4:$D$1510,$B9,'Match Log'!$E$4:$E$1510,"Win")</f>
        <v>73</v>
      </c>
      <c r="F9" s="55">
        <f t="shared" ca="1" si="1"/>
        <v>80</v>
      </c>
      <c r="G9" s="56">
        <f t="shared" ca="1" si="2"/>
        <v>0.47712418300653597</v>
      </c>
      <c r="H9" s="57">
        <f ca="1">SUMIF('Match Log'!$D$4:$D$1510,$B9,'Match Log'!$J$4:$J$1510)</f>
        <v>8.6909019126598146</v>
      </c>
      <c r="I9" s="57">
        <f ca="1">SUMIF('Match Log'!$D$4:$D$1510,$B9,'Match Log'!$K$4:$K$1510)</f>
        <v>23.084003767856554</v>
      </c>
      <c r="J9" s="57">
        <f ca="1">SUMIF('Match Log'!$D$4:$D$1510,$B9,'Match Log'!$L$4:$L$1510)</f>
        <v>177</v>
      </c>
      <c r="K9" s="55">
        <f ca="1">SUMPRODUCT(--(COUNTIFS('Match Log'!$D$4:$D$1510,$B9,'Match Log'!$C$4:$C$1510,Lists!$C$2:$C$26)&gt;0))</f>
        <v>19</v>
      </c>
      <c r="L9" s="55" t="str">
        <f ca="1">IF($D9=0,"No games",IF(AND($D9&gt;='Guide &amp; Settings'!$C$45,$K9&gt;='Guide &amp; Settings'!$C$46),"Eligible","Provisional"))</f>
        <v>Eligible</v>
      </c>
      <c r="M9" s="54">
        <f ca="1">IFERROR(INDEX(Calcs!$C$7:$C$20,MATCH($B9,Calcs!$A$7:$A$20,0)),"")</f>
        <v>1125.0184018657783</v>
      </c>
      <c r="N9" s="54">
        <f t="shared" ca="1" si="3"/>
        <v>13.903905466741435</v>
      </c>
      <c r="O9" s="55" t="str">
        <f ca="1">IFERROR(INDEX(Calcs!$H$7:$H$20,MATCH($B9,Calcs!$A$7:$A$20,0)),"")</f>
        <v>L2</v>
      </c>
      <c r="P9" s="55" t="str">
        <f ca="1">IFERROR(INDEX(Calcs!$I$7:$I$20,MATCH($B9,Calcs!$A$7:$A$20,0)),"")</f>
        <v>LLWLL</v>
      </c>
      <c r="Q9" s="55" t="str">
        <f ca="1">IFERROR(IF(INDEX(Calcs!$L$7:$L$20,MATCH($B9,Calcs!$A$7:$A$20,0))&gt;0,"▲"&amp;INDEX(Calcs!$L$7:$L$20,MATCH($B9,Calcs!$A$7:$A$20,0)),IF(INDEX(Calcs!$L$7:$L$20,MATCH($B9,Calcs!$A$7:$A$20,0))&lt;0,"▼"&amp;ABS(INDEX(Calcs!$L$7:$L$20,MATCH($B9,Calcs!$A$7:$A$20,0))),"–")),"")</f>
        <v>▼4</v>
      </c>
      <c r="R9" s="55" t="str">
        <f ca="1">IFERROR(IF(INDEX(Calcs!$P$7:$P$20,MATCH($B9,Calcs!$A$7:$A$20,0))=0,"—",TEXT(INDEX(Calcs!$P$7:$P$20,MATCH($B9,Calcs!$A$7:$A$20,0)),"d mmm")),"")</f>
        <v>22 Sep</v>
      </c>
      <c r="S9" s="55">
        <f ca="1">IFERROR(ROUND(INDEX(Calcs!$Q$7:$Q$20,MATCH($B9,Calcs!$A$7:$A$20,0)),1),"")</f>
        <v>0</v>
      </c>
      <c r="T9" s="55" t="str">
        <f ca="1">IFERROR(INDEX(Calcs!$T$7:$T$20,MATCH($B9,Calcs!$A$7:$A$20,0)),"")</f>
        <v>Active</v>
      </c>
      <c r="U9">
        <f ca="1">IFERROR(ROUND(INDEX(Calcs!$R$7:$R$20,MATCH($B9,Calcs!$A$7:$A$20,0))+INDEX(Calcs!$U$7:$U$20,MATCH($B9,Calcs!$A$7:$A$20,0)),0),0)</f>
        <v>0</v>
      </c>
      <c r="V9" s="57">
        <f ca="1">IFERROR(ROUND(INDEX(Calcs!$S$7:$S$20,MATCH($B9,Calcs!$A$7:$A$20,0)),0),"")</f>
        <v>1205</v>
      </c>
      <c r="W9" s="55" t="str">
        <f ca="1">IFERROR(INDEX(Calcs!$AF$7:$AF$20,MATCH($B9,Calcs!$A$7:$A$20,0)),"")</f>
        <v>Elite</v>
      </c>
      <c r="X9" s="57">
        <f ca="1">IFERROR(ROUND(SUMIF('Poker Stake Ledger'!$C$18:$C$137,$B9,'Poker Stake Ledger'!$K$18:$K$137),1),0)</f>
        <v>-3.8</v>
      </c>
    </row>
    <row r="10" spans="1:24" ht="15" customHeight="1" x14ac:dyDescent="0.2">
      <c r="A10" s="52">
        <f t="shared" si="0"/>
        <v>6</v>
      </c>
      <c r="B10" s="53" t="str">
        <f ca="1">IFERROR(INDEX(Calcs!$A$7:$A$20,MATCH(LARGE(Calcs!$AI$7:$AI$20,ROW()-4),Calcs!$AI$7:$AI$20,0)),"")</f>
        <v>Daniel (Ferret)</v>
      </c>
      <c r="C10" s="54">
        <f ca="1">IFERROR(INDEX(Calcs!$S$7:$S$20,MATCH($B10,Calcs!$A$7:$A$20,0)),"")</f>
        <v>1121.6051369054642</v>
      </c>
      <c r="D10" s="55">
        <f ca="1">COUNTIF('Match Log'!$D$4:$D$1510,$B10)</f>
        <v>139</v>
      </c>
      <c r="E10" s="55">
        <f ca="1">COUNTIFS('Match Log'!$D$4:$D$1510,$B10,'Match Log'!$E$4:$E$1510,"Win")</f>
        <v>56</v>
      </c>
      <c r="F10" s="55">
        <f t="shared" ca="1" si="1"/>
        <v>83</v>
      </c>
      <c r="G10" s="56">
        <f t="shared" ca="1" si="2"/>
        <v>0.40287769784172661</v>
      </c>
      <c r="H10" s="57">
        <f ca="1">SUMIF('Match Log'!$D$4:$D$1510,$B10,'Match Log'!$J$4:$J$1510)</f>
        <v>-54.484107107838156</v>
      </c>
      <c r="I10" s="57">
        <f ca="1">SUMIF('Match Log'!$D$4:$D$1510,$B10,'Match Log'!$K$4:$K$1510)</f>
        <v>22.439244013302989</v>
      </c>
      <c r="J10" s="57">
        <f ca="1">SUMIF('Match Log'!$D$4:$D$1510,$B10,'Match Log'!$L$4:$L$1510)</f>
        <v>155</v>
      </c>
      <c r="K10" s="55">
        <f ca="1">SUMPRODUCT(--(COUNTIFS('Match Log'!$D$4:$D$1510,$B10,'Match Log'!$C$4:$C$1510,Lists!$C$2:$C$26)&gt;0))</f>
        <v>20</v>
      </c>
      <c r="L10" s="55" t="str">
        <f ca="1">IF($D10=0,"No games",IF(AND($D10&gt;='Guide &amp; Settings'!$C$45,$K10&gt;='Guide &amp; Settings'!$C$46),"Eligible","Provisional"))</f>
        <v>Eligible</v>
      </c>
      <c r="M10" s="54">
        <f ca="1">IFERROR(INDEX(Calcs!$C$7:$C$20,MATCH($B10,Calcs!$A$7:$A$20,0)),"")</f>
        <v>1163.2169284484555</v>
      </c>
      <c r="N10" s="54">
        <f t="shared" ca="1" si="3"/>
        <v>97.323674241793242</v>
      </c>
      <c r="O10" s="55" t="str">
        <f ca="1">IFERROR(INDEX(Calcs!$H$7:$H$20,MATCH($B10,Calcs!$A$7:$A$20,0)),"")</f>
        <v>W2</v>
      </c>
      <c r="P10" s="55" t="str">
        <f ca="1">IFERROR(INDEX(Calcs!$I$7:$I$20,MATCH($B10,Calcs!$A$7:$A$20,0)),"")</f>
        <v>WWLWW</v>
      </c>
      <c r="Q10" s="55" t="str">
        <f ca="1">IFERROR(IF(INDEX(Calcs!$L$7:$L$20,MATCH($B10,Calcs!$A$7:$A$20,0))&gt;0,"▲"&amp;INDEX(Calcs!$L$7:$L$20,MATCH($B10,Calcs!$A$7:$A$20,0)),IF(INDEX(Calcs!$L$7:$L$20,MATCH($B10,Calcs!$A$7:$A$20,0))&lt;0,"▼"&amp;ABS(INDEX(Calcs!$L$7:$L$20,MATCH($B10,Calcs!$A$7:$A$20,0))),"–")),"")</f>
        <v>▲4</v>
      </c>
      <c r="R10" s="55" t="str">
        <f ca="1">IFERROR(IF(INDEX(Calcs!$P$7:$P$20,MATCH($B10,Calcs!$A$7:$A$20,0))=0,"—",TEXT(INDEX(Calcs!$P$7:$P$20,MATCH($B10,Calcs!$A$7:$A$20,0)),"d mmm")),"")</f>
        <v>22 Sep</v>
      </c>
      <c r="S10" s="55">
        <f ca="1">IFERROR(ROUND(INDEX(Calcs!$Q$7:$Q$20,MATCH($B10,Calcs!$A$7:$A$20,0)),1),"")</f>
        <v>0</v>
      </c>
      <c r="T10" s="55" t="str">
        <f ca="1">IFERROR(INDEX(Calcs!$T$7:$T$20,MATCH($B10,Calcs!$A$7:$A$20,0)),"")</f>
        <v>Active</v>
      </c>
      <c r="U10">
        <f ca="1">IFERROR(ROUND(INDEX(Calcs!$R$7:$R$20,MATCH($B10,Calcs!$A$7:$A$20,0))+INDEX(Calcs!$U$7:$U$20,MATCH($B10,Calcs!$A$7:$A$20,0)),0),0)</f>
        <v>0</v>
      </c>
      <c r="V10" s="57">
        <f ca="1">IFERROR(ROUND(INDEX(Calcs!$S$7:$S$20,MATCH($B10,Calcs!$A$7:$A$20,0)),0),"")</f>
        <v>1122</v>
      </c>
      <c r="W10" s="55" t="str">
        <f ca="1">IFERROR(INDEX(Calcs!$AF$7:$AF$20,MATCH($B10,Calcs!$A$7:$A$20,0)),"")</f>
        <v>Elite</v>
      </c>
      <c r="X10" s="57">
        <f ca="1">IFERROR(ROUND(SUMIF('Poker Stake Ledger'!$C$18:$C$137,$B10,'Poker Stake Ledger'!$K$18:$K$137),1),0)</f>
        <v>-1.4</v>
      </c>
    </row>
    <row r="11" spans="1:24" ht="15" customHeight="1" x14ac:dyDescent="0.2">
      <c r="A11" s="52">
        <f t="shared" si="0"/>
        <v>7</v>
      </c>
      <c r="B11" s="53" t="str">
        <f ca="1">IFERROR(INDEX(Calcs!$A$7:$A$20,MATCH(LARGE(Calcs!$AI$7:$AI$20,ROW()-4),Calcs!$AI$7:$AI$20,0)),"")</f>
        <v>Dean M</v>
      </c>
      <c r="C11" s="54">
        <f ca="1">IFERROR(INDEX(Calcs!$S$7:$S$20,MATCH($B11,Calcs!$A$7:$A$20,0)),"")</f>
        <v>1067.5488947064855</v>
      </c>
      <c r="D11" s="55">
        <f ca="1">COUNTIF('Match Log'!$D$4:$D$1510,$B11)</f>
        <v>15</v>
      </c>
      <c r="E11" s="55">
        <f ca="1">COUNTIFS('Match Log'!$D$4:$D$1510,$B11,'Match Log'!$E$4:$E$1510,"Win")</f>
        <v>7</v>
      </c>
      <c r="F11" s="55">
        <f t="shared" ca="1" si="1"/>
        <v>8</v>
      </c>
      <c r="G11" s="56">
        <f t="shared" ca="1" si="2"/>
        <v>0.46666666666666667</v>
      </c>
      <c r="H11" s="57">
        <f ca="1">SUMIF('Match Log'!$D$4:$D$1510,$B11,'Match Log'!$J$4:$J$1510)</f>
        <v>28.076161354904098</v>
      </c>
      <c r="I11" s="57">
        <f ca="1">SUMIF('Match Log'!$D$4:$D$1510,$B11,'Match Log'!$K$4:$K$1510)</f>
        <v>24.47273335158134</v>
      </c>
      <c r="J11" s="57">
        <f ca="1">SUMIF('Match Log'!$D$4:$D$1510,$B11,'Match Log'!$L$4:$L$1510)</f>
        <v>35</v>
      </c>
      <c r="K11" s="55">
        <f ca="1">SUMPRODUCT(--(COUNTIFS('Match Log'!$D$4:$D$1510,$B11,'Match Log'!$C$4:$C$1510,Lists!$C$2:$C$26)&gt;0))</f>
        <v>4</v>
      </c>
      <c r="L11" s="55" t="str">
        <f ca="1">IF($D11=0,"No games",IF(AND($D11&gt;='Guide &amp; Settings'!$C$45,$K11&gt;='Guide &amp; Settings'!$C$46),"Eligible","Provisional"))</f>
        <v>Eligible</v>
      </c>
      <c r="M11" s="54">
        <f ca="1">IFERROR(INDEX(Calcs!$C$7:$C$20,MATCH($B11,Calcs!$A$7:$A$20,0)),"")</f>
        <v>1059.6253815425109</v>
      </c>
      <c r="N11" s="54">
        <f t="shared" ca="1" si="3"/>
        <v>151.37991644077192</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15 Aug</v>
      </c>
      <c r="S11" s="55">
        <f ca="1">IFERROR(ROUND(INDEX(Calcs!$Q$7:$Q$20,MATCH($B11,Calcs!$A$7:$A$20,0)),1),"")</f>
        <v>5.4</v>
      </c>
      <c r="T11" s="55" t="str">
        <f ca="1">IFERROR(INDEX(Calcs!$T$7:$T$20,MATCH($B11,Calcs!$A$7:$A$20,0)),"")</f>
        <v>Inactive</v>
      </c>
      <c r="U11">
        <f ca="1">IFERROR(ROUND(INDEX(Calcs!$R$7:$R$20,MATCH($B11,Calcs!$A$7:$A$20,0))+INDEX(Calcs!$U$7:$U$20,MATCH($B11,Calcs!$A$7:$A$20,0)),0),0)</f>
        <v>20</v>
      </c>
      <c r="V11" s="57">
        <f ca="1">IFERROR(ROUND(INDEX(Calcs!$S$7:$S$20,MATCH($B11,Calcs!$A$7:$A$20,0)),0),"")</f>
        <v>1068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Chase</v>
      </c>
      <c r="C12" s="54">
        <f ca="1">IFERROR(INDEX(Calcs!$S$7:$S$20,MATCH($B12,Calcs!$A$7:$A$20,0)),"")</f>
        <v>1061.2287215286424</v>
      </c>
      <c r="D12" s="55">
        <f ca="1">COUNTIF('Match Log'!$D$4:$D$1510,$B12)</f>
        <v>20</v>
      </c>
      <c r="E12" s="55">
        <f ca="1">COUNTIFS('Match Log'!$D$4:$D$1510,$B12,'Match Log'!$E$4:$E$1510,"Win")</f>
        <v>9</v>
      </c>
      <c r="F12" s="55">
        <f t="shared" ca="1" si="1"/>
        <v>11</v>
      </c>
      <c r="G12" s="56">
        <f t="shared" ca="1" si="2"/>
        <v>0.45</v>
      </c>
      <c r="H12" s="57">
        <f ca="1">SUMIF('Match Log'!$D$4:$D$1510,$B12,'Match Log'!$J$4:$J$1510)</f>
        <v>38.265554488910006</v>
      </c>
      <c r="I12" s="57">
        <f ca="1">SUMIF('Match Log'!$D$4:$D$1510,$B12,'Match Log'!$K$4:$K$1510)</f>
        <v>2.963167039732447</v>
      </c>
      <c r="J12" s="57">
        <f ca="1">SUMIF('Match Log'!$D$4:$D$1510,$B12,'Match Log'!$L$4:$L$1510)</f>
        <v>40</v>
      </c>
      <c r="K12" s="55">
        <f ca="1">SUMPRODUCT(--(COUNTIFS('Match Log'!$D$4:$D$1510,$B12,'Match Log'!$C$4:$C$1510,Lists!$C$2:$C$26)&gt;0))</f>
        <v>10</v>
      </c>
      <c r="L12" s="55" t="str">
        <f ca="1">IF($D12=0,"No games",IF(AND($D12&gt;='Guide &amp; Settings'!$C$45,$K12&gt;='Guide &amp; Settings'!$C$46),"Eligible","Provisional"))</f>
        <v>Eligible</v>
      </c>
      <c r="M12" s="54">
        <f ca="1">IFERROR(INDEX(Calcs!$C$7:$C$20,MATCH($B12,Calcs!$A$7:$A$20,0)),"")</f>
        <v>1127.7568283571582</v>
      </c>
      <c r="N12" s="54">
        <f t="shared" ca="1" si="3"/>
        <v>157.70008961861504</v>
      </c>
      <c r="O12" s="55" t="str">
        <f ca="1">IFERROR(INDEX(Calcs!$H$7:$H$20,MATCH($B12,Calcs!$A$7:$A$20,0)),"")</f>
        <v>L1</v>
      </c>
      <c r="P12" s="55" t="str">
        <f ca="1">IFERROR(INDEX(Calcs!$I$7:$I$20,MATCH($B12,Calcs!$A$7:$A$20,0)),"")</f>
        <v>LLWWL</v>
      </c>
      <c r="Q12" s="55" t="str">
        <f ca="1">IFERROR(IF(INDEX(Calcs!$L$7:$L$20,MATCH($B12,Calcs!$A$7:$A$20,0))&gt;0,"▲"&amp;INDEX(Calcs!$L$7:$L$20,MATCH($B12,Calcs!$A$7:$A$20,0)),IF(INDEX(Calcs!$L$7:$L$20,MATCH($B12,Calcs!$A$7:$A$20,0))&lt;0,"▼"&amp;ABS(INDEX(Calcs!$L$7:$L$20,MATCH($B12,Calcs!$A$7:$A$20,0))),"–")),"")</f>
        <v>▼1</v>
      </c>
      <c r="R12" s="55" t="str">
        <f ca="1">IFERROR(IF(INDEX(Calcs!$P$7:$P$20,MATCH($B12,Calcs!$A$7:$A$20,0))=0,"—",TEXT(INDEX(Calcs!$P$7:$P$20,MATCH($B12,Calcs!$A$7:$A$20,0)),"d mmm")),"")</f>
        <v>9 Sep</v>
      </c>
      <c r="S12" s="55">
        <f ca="1">IFERROR(ROUND(INDEX(Calcs!$Q$7:$Q$20,MATCH($B12,Calcs!$A$7:$A$20,0)),1),"")</f>
        <v>1.9</v>
      </c>
      <c r="T12" s="55" t="str">
        <f ca="1">IFERROR(INDEX(Calcs!$T$7:$T$20,MATCH($B12,Calcs!$A$7:$A$20,0)),"")</f>
        <v>Active</v>
      </c>
      <c r="U12">
        <f ca="1">IFERROR(ROUND(INDEX(Calcs!$R$7:$R$20,MATCH($B12,Calcs!$A$7:$A$20,0))+INDEX(Calcs!$U$7:$U$20,MATCH($B12,Calcs!$A$7:$A$20,0)),0),0)</f>
        <v>20</v>
      </c>
      <c r="V12" s="57">
        <f ca="1">IFERROR(ROUND(INDEX(Calcs!$S$7:$S$20,MATCH($B12,Calcs!$A$7:$A$20,0)),0),"")</f>
        <v>1061</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A</v>
      </c>
      <c r="C13" s="54">
        <f ca="1">IFERROR(INDEX(Calcs!$S$7:$S$20,MATCH($B13,Calcs!$A$7:$A$20,0)),"")</f>
        <v>1003.2192605207141</v>
      </c>
      <c r="D13" s="55">
        <f ca="1">COUNTIF('Match Log'!$D$4:$D$1510,$B13)</f>
        <v>15</v>
      </c>
      <c r="E13" s="55">
        <f ca="1">COUNTIFS('Match Log'!$D$4:$D$1510,$B13,'Match Log'!$E$4:$E$1510,"Win")</f>
        <v>6</v>
      </c>
      <c r="F13" s="55">
        <f t="shared" ca="1" si="1"/>
        <v>9</v>
      </c>
      <c r="G13" s="56">
        <f t="shared" ca="1" si="2"/>
        <v>0.4</v>
      </c>
      <c r="H13" s="57">
        <f ca="1">SUMIF('Match Log'!$D$4:$D$1510,$B13,'Match Log'!$J$4:$J$1510)</f>
        <v>-11.626983026245711</v>
      </c>
      <c r="I13" s="57">
        <f ca="1">SUMIF('Match Log'!$D$4:$D$1510,$B13,'Match Log'!$K$4:$K$1510)</f>
        <v>3.8462435469599932</v>
      </c>
      <c r="J13" s="57">
        <f ca="1">SUMIF('Match Log'!$D$4:$D$1510,$B13,'Match Log'!$L$4:$L$1510)</f>
        <v>31</v>
      </c>
      <c r="K13" s="55">
        <f ca="1">SUMPRODUCT(--(COUNTIFS('Match Log'!$D$4:$D$1510,$B13,'Match Log'!$C$4:$C$1510,Lists!$C$2:$C$26)&gt;0))</f>
        <v>4</v>
      </c>
      <c r="L13" s="55" t="str">
        <f ca="1">IF($D13=0,"No games",IF(AND($D13&gt;='Guide &amp; Settings'!$C$45,$K13&gt;='Guide &amp; Settings'!$C$46),"Eligible","Provisional"))</f>
        <v>Eligible</v>
      </c>
      <c r="M13" s="54">
        <f ca="1">IFERROR(INDEX(Calcs!$C$7:$C$20,MATCH($B13,Calcs!$A$7:$A$20,0)),"")</f>
        <v>1092.8470236980786</v>
      </c>
      <c r="N13" s="54">
        <f t="shared" ca="1" si="3"/>
        <v>215.70955062654332</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15 Aug</v>
      </c>
      <c r="S13" s="55">
        <f ca="1">IFERROR(ROUND(INDEX(Calcs!$Q$7:$Q$20,MATCH($B13,Calcs!$A$7:$A$20,0)),1),"")</f>
        <v>5.4</v>
      </c>
      <c r="T13" s="55" t="str">
        <f ca="1">IFERROR(INDEX(Calcs!$T$7:$T$20,MATCH($B13,Calcs!$A$7:$A$20,0)),"")</f>
        <v>Inactive</v>
      </c>
      <c r="U13">
        <f ca="1">IFERROR(ROUND(INDEX(Calcs!$R$7:$R$20,MATCH($B13,Calcs!$A$7:$A$20,0))+INDEX(Calcs!$U$7:$U$20,MATCH($B13,Calcs!$A$7:$A$20,0)),0),0)</f>
        <v>20</v>
      </c>
      <c r="V13" s="57">
        <f ca="1">IFERROR(ROUND(INDEX(Calcs!$S$7:$S$20,MATCH($B13,Calcs!$A$7:$A$20,0)),0),"")</f>
        <v>1003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218.92881114725742</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Log'!$D$4:$D$1510,$B15)</f>
        <v>82</v>
      </c>
      <c r="E15" s="55">
        <f ca="1">COUNTIFS('Match Log'!$D$4:$D$1510,$B15,'Match Log'!$E$4:$E$1510,"Win")</f>
        <v>28</v>
      </c>
      <c r="F15" s="55">
        <f t="shared" ca="1" si="1"/>
        <v>54</v>
      </c>
      <c r="G15" s="56">
        <f t="shared" ca="1" si="2"/>
        <v>0.34146341463414637</v>
      </c>
      <c r="H15" s="57">
        <f ca="1">SUMIF('Match Log'!$D$4:$D$1510,$B15,'Match Log'!$J$4:$J$1510)</f>
        <v>-130.51564376153294</v>
      </c>
      <c r="I15" s="57">
        <f ca="1">SUMIF('Match Log'!$D$4:$D$1510,$B15,'Match Log'!$K$4:$K$1510)</f>
        <v>-45.089809454901385</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1171.2070927192344</v>
      </c>
      <c r="N15" s="54">
        <f t="shared" ca="1" si="3"/>
        <v>274.53426436369159</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2.2999999999999998</v>
      </c>
      <c r="T15" s="55" t="str">
        <f ca="1">IFERROR(INDEX(Calcs!$T$7:$T$20,MATCH($B15,Calcs!$A$7:$A$20,0)),"")</f>
        <v>At risk</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919.51759653351382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1090.1293746791509</v>
      </c>
      <c r="N16" s="54">
        <f t="shared" ca="1" si="3"/>
        <v>299.4112146137436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14.1</v>
      </c>
      <c r="T16" s="55" t="str">
        <f ca="1">IFERROR(INDEX(Calcs!$T$7:$T$20,MATCH($B16,Calcs!$A$7:$A$20,0)),"")</f>
        <v>Inactive</v>
      </c>
      <c r="U16">
        <f ca="1">IFERROR(ROUND(INDEX(Calcs!$R$7:$R$20,MATCH($B16,Calcs!$A$7:$A$20,0))+INDEX(Calcs!$U$7:$U$20,MATCH($B16,Calcs!$A$7:$A$20,0)),0),0)</f>
        <v>110</v>
      </c>
      <c r="V16" s="57">
        <f ca="1">IFERROR(ROUND(INDEX(Calcs!$S$7:$S$20,MATCH($B16,Calcs!$A$7:$A$20,0)),0),"")</f>
        <v>920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877.03133644117429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1159.8121570438734</v>
      </c>
      <c r="N17" s="54">
        <f t="shared" ca="1" si="3"/>
        <v>341.89747470608313</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4.4000000000000004</v>
      </c>
      <c r="T17" s="55" t="str">
        <f ca="1">IFERROR(INDEX(Calcs!$T$7:$T$20,MATCH($B17,Calcs!$A$7:$A$20,0)),"")</f>
        <v>Inactive</v>
      </c>
      <c r="U17">
        <f ca="1">IFERROR(ROUND(INDEX(Calcs!$R$7:$R$20,MATCH($B17,Calcs!$A$7:$A$20,0))+INDEX(Calcs!$U$7:$U$20,MATCH($B17,Calcs!$A$7:$A$20,0)),0),0)</f>
        <v>30</v>
      </c>
      <c r="V17" s="57">
        <f ca="1">IFERROR(ROUND(INDEX(Calcs!$S$7:$S$20,MATCH($B17,Calcs!$A$7:$A$20,0)),0),"")</f>
        <v>877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792.22294373677494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1111.7657118679115</v>
      </c>
      <c r="N18" s="54">
        <f t="shared" ca="1" si="3"/>
        <v>426.70586741048248</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9.3000000000000007</v>
      </c>
      <c r="T18" s="55" t="str">
        <f ca="1">IFERROR(INDEX(Calcs!$T$7:$T$20,MATCH($B18,Calcs!$A$7:$A$20,0)),"")</f>
        <v>Inactive</v>
      </c>
      <c r="U18">
        <f ca="1">IFERROR(ROUND(INDEX(Calcs!$R$7:$R$20,MATCH($B18,Calcs!$A$7:$A$20,0))+INDEX(Calcs!$U$7:$U$20,MATCH($B18,Calcs!$A$7:$A$20,0)),0),0)</f>
        <v>70</v>
      </c>
      <c r="V18" s="57">
        <f ca="1">IFERROR(ROUND(INDEX(Calcs!$S$7:$S$20,MATCH($B18,Calcs!$A$7:$A$20,0)),0),"")</f>
        <v>792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2</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1214.0621492095624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37–25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1120.9938580011403</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W3</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WLWWW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4.8666619376949711</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7 Sep  ·  At risk</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5</v>
      </c>
      <c r="F18" s="40">
        <f>COUNTIFS('Match Log'!$D$4:$D$1510,$B$3,'Match Log'!$C$4:$C$1510,$D18,'Match Log'!$E$4:$E$1510,"Win")</f>
        <v>4</v>
      </c>
      <c r="G18" s="68">
        <f t="shared" si="0"/>
        <v>0.8</v>
      </c>
      <c r="H18" s="69">
        <f>IFERROR(IF($E18=0,"",INDEX('Sport Records'!$B$106:$O$130,MATCH($D18,'Sport Records'!$A$106:$A$130,0),MATCH($B$3,'Sport Records'!$B$105:$O$105,0))),"")</f>
        <v>1025.9268866328202</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87</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60</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80</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9" t="s">
        <v>290</v>
      </c>
      <c r="B2" s="146"/>
      <c r="C2" s="146"/>
      <c r="D2" s="146"/>
      <c r="E2" s="146"/>
      <c r="F2" s="146"/>
      <c r="G2" s="146"/>
      <c r="H2" s="146"/>
      <c r="I2" s="146"/>
      <c r="J2" s="146"/>
      <c r="K2" s="146"/>
      <c r="L2" s="146"/>
      <c r="M2" s="146"/>
      <c r="N2" s="146"/>
      <c r="O2" s="146"/>
    </row>
    <row r="3" spans="1:15" ht="37.5" customHeight="1" x14ac:dyDescent="0.2">
      <c r="A3" s="157" t="s">
        <v>291</v>
      </c>
      <c r="B3" s="158"/>
      <c r="C3" s="158"/>
      <c r="D3" s="158"/>
      <c r="E3" s="158"/>
      <c r="F3" s="158"/>
      <c r="G3" s="158"/>
      <c r="H3" s="158"/>
      <c r="I3" s="158"/>
      <c r="J3" s="158"/>
      <c r="K3" s="158"/>
      <c r="L3" s="158"/>
      <c r="M3" s="158"/>
      <c r="N3" s="158"/>
      <c r="O3" s="158"/>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45% of 53</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56% of 25</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38% of 8</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60% of 30</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55% of 53</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63% of 8</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57% of 56</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56% of 32</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44% of 25</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40% of 30</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43% of 56</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22% of 9</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78% of 9</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44% of 32</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5</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58</v>
      </c>
      <c r="H22" s="77">
        <f>IF($A22=H$21,0,SUMPRODUCT(('Match Log'!$D$4:$D$1510=$A22)*(COUNTIFS('Match Log'!$A$4:$A$1510,'Match Log'!$A$4:$A$1510,'Match Log'!$D$4:$D$1510,H$21)&gt;0)))</f>
        <v>8</v>
      </c>
      <c r="I22" s="77">
        <f>IF($A22=I$21,0,SUMPRODUCT(('Match Log'!$D$4:$D$1510=$A22)*(COUNTIFS('Match Log'!$A$4:$A$1510,'Match Log'!$A$4:$A$1510,'Match Log'!$D$4:$D$1510,I$21)&gt;0)))</f>
        <v>35</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5</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10</v>
      </c>
      <c r="H24" s="77">
        <f>IF($A24=H$21,0,SUMPRODUCT(('Match Log'!$D$4:$D$1510=$A24)*(COUNTIFS('Match Log'!$A$4:$A$1510,'Match Log'!$A$4:$A$1510,'Match Log'!$D$4:$D$1510,H$21)&gt;0)))</f>
        <v>4</v>
      </c>
      <c r="I24" s="77">
        <f>IF($A24=I$21,0,SUMPRODUCT(('Match Log'!$D$4:$D$1510=$A24)*(COUNTIFS('Match Log'!$A$4:$A$1510,'Match Log'!$A$4:$A$1510,'Match Log'!$D$4:$D$1510,I$21)&gt;0)))</f>
        <v>10</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31</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58</v>
      </c>
      <c r="C27" s="77">
        <f>IF($A27=C$21,0,SUMPRODUCT(('Match Log'!$D$4:$D$1510=$A27)*(COUNTIFS('Match Log'!$A$4:$A$1510,'Match Log'!$A$4:$A$1510,'Match Log'!$D$4:$D$1510,C$21)&gt;0)))</f>
        <v>1</v>
      </c>
      <c r="D27" s="77">
        <f>IF($A27=D$21,0,SUMPRODUCT(('Match Log'!$D$4:$D$1510=$A27)*(COUNTIFS('Match Log'!$A$4:$A$1510,'Match Log'!$A$4:$A$1510,'Match Log'!$D$4:$D$1510,D$21)&gt;0)))</f>
        <v>10</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67</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46</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35</v>
      </c>
      <c r="C29" s="77">
        <f>IF($A29=C$21,0,SUMPRODUCT(('Match Log'!$D$4:$D$1510=$A29)*(COUNTIFS('Match Log'!$A$4:$A$1510,'Match Log'!$A$4:$A$1510,'Match Log'!$D$4:$D$1510,C$21)&gt;0)))</f>
        <v>2</v>
      </c>
      <c r="D29" s="77">
        <f>IF($A29=D$21,0,SUMPRODUCT(('Match Log'!$D$4:$D$1510=$A29)*(COUNTIFS('Match Log'!$A$4:$A$1510,'Match Log'!$A$4:$A$1510,'Match Log'!$D$4:$D$1510,D$21)&gt;0)))</f>
        <v>10</v>
      </c>
      <c r="E29" s="77">
        <f>IF($A29=E$21,0,SUMPRODUCT(('Match Log'!$D$4:$D$1510=$A29)*(COUNTIFS('Match Log'!$A$4:$A$1510,'Match Log'!$A$4:$A$1510,'Match Log'!$D$4:$D$1510,E$21)&gt;0)))</f>
        <v>6</v>
      </c>
      <c r="F29" s="77">
        <f>IF($A29=F$21,0,SUMPRODUCT(('Match Log'!$D$4:$D$1510=$A29)*(COUNTIFS('Match Log'!$A$4:$A$1510,'Match Log'!$A$4:$A$1510,'Match Log'!$D$4:$D$1510,F$21)&gt;0)))</f>
        <v>31</v>
      </c>
      <c r="G29" s="77">
        <f>IF($A29=G$21,0,SUMPRODUCT(('Match Log'!$D$4:$D$1510=$A29)*(COUNTIFS('Match Log'!$A$4:$A$1510,'Match Log'!$A$4:$A$1510,'Match Log'!$D$4:$D$1510,G$21)&gt;0)))</f>
        <v>67</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21</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21</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46</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2"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296</v>
      </c>
    </row>
    <row r="4" spans="1:18" ht="18.75" customHeight="1" x14ac:dyDescent="0.2">
      <c r="A4" s="43" t="s">
        <v>298</v>
      </c>
      <c r="C4" s="161" t="str">
        <f ca="1">INDEX($A$89:$A$102,MATCH(MAX($S$89:$S$102),$S$89:$S$102,0))</f>
        <v>Josh</v>
      </c>
      <c r="D4" s="146"/>
      <c r="E4" s="146"/>
      <c r="F4" s="146"/>
      <c r="G4" s="146"/>
    </row>
    <row r="6" spans="1:18" ht="15" customHeight="1" x14ac:dyDescent="0.2">
      <c r="A6" s="160"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2</v>
      </c>
      <c r="E8" s="83">
        <f>COUNTIFS('Match Log'!$D$4:$D$1510,E$7,'Match Log'!$C$4:$C$1510,$A8)</f>
        <v>0</v>
      </c>
      <c r="F8" s="83">
        <f>COUNTIFS('Match Log'!$D$4:$D$1510,F$7,'Match Log'!$C$4:$C$1510,$A8)</f>
        <v>0</v>
      </c>
      <c r="G8" s="83">
        <f>COUNTIFS('Match Log'!$D$4:$D$1510,G$7,'Match Log'!$C$4:$C$1510,$A8)</f>
        <v>6</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7</v>
      </c>
      <c r="Q8" s="85" t="str">
        <f t="shared" ref="Q8:Q32" si="0">IF($P8=0,"—",INDEX($B$34:$O$34,MATCH(MAX($B35:$O35),$B35:$O35,0)))</f>
        <v>Shawn</v>
      </c>
      <c r="R8" s="84">
        <f t="shared" ref="R8:R32" si="1">IF($P8=0,"—",MAX($B35:$O35))</f>
        <v>6</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22</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7</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30</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8</v>
      </c>
      <c r="J12" s="83">
        <f>COUNTIFS('Match Log'!$D$4:$D$1510,J$7,'Match Log'!$C$4:$C$1510,$A12)</f>
        <v>11</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22</v>
      </c>
      <c r="Q12" s="85" t="str">
        <f t="shared" si="0"/>
        <v>Dean B</v>
      </c>
      <c r="R12" s="84">
        <f t="shared" si="1"/>
        <v>7</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5</v>
      </c>
      <c r="G21" s="83">
        <f>COUNTIFS('Match Log'!$D$4:$D$1510,G$7,'Match Log'!$C$4:$C$1510,$A21)</f>
        <v>14</v>
      </c>
      <c r="H21" s="83">
        <f>COUNTIFS('Match Log'!$D$4:$D$1510,H$7,'Match Log'!$C$4:$C$1510,$A21)</f>
        <v>1</v>
      </c>
      <c r="I21" s="83">
        <f>COUNTIFS('Match Log'!$D$4:$D$1510,I$7,'Match Log'!$C$4:$C$1510,$A21)</f>
        <v>5</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19</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13</v>
      </c>
      <c r="C26" s="83">
        <f>COUNTIFS('Match Log'!$D$4:$D$1510,C$7,'Match Log'!$C$4:$C$1510,$A26)</f>
        <v>0</v>
      </c>
      <c r="D26" s="83">
        <f>COUNTIFS('Match Log'!$D$4:$D$1510,D$7,'Match Log'!$C$4:$C$1510,$A26)</f>
        <v>8</v>
      </c>
      <c r="E26" s="83">
        <f>COUNTIFS('Match Log'!$D$4:$D$1510,E$7,'Match Log'!$C$4:$C$1510,$A26)</f>
        <v>0</v>
      </c>
      <c r="F26" s="83">
        <f>COUNTIFS('Match Log'!$D$4:$D$1510,F$7,'Match Log'!$C$4:$C$1510,$A26)</f>
        <v>4</v>
      </c>
      <c r="G26" s="83">
        <f>COUNTIFS('Match Log'!$D$4:$D$1510,G$7,'Match Log'!$C$4:$C$1510,$A26)</f>
        <v>35</v>
      </c>
      <c r="H26" s="83">
        <f>COUNTIFS('Match Log'!$D$4:$D$1510,H$7,'Match Log'!$C$4:$C$1510,$A26)</f>
        <v>1</v>
      </c>
      <c r="I26" s="83">
        <f>COUNTIFS('Match Log'!$D$4:$D$1510,I$7,'Match Log'!$C$4:$C$1510,$A26)</f>
        <v>27</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43</v>
      </c>
      <c r="Q26" s="85" t="str">
        <f t="shared" si="0"/>
        <v>Shawn</v>
      </c>
      <c r="R26" s="84">
        <f t="shared" si="1"/>
        <v>18</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0"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6</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3</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3</v>
      </c>
      <c r="J39" s="83">
        <f>COUNTIFS('Match Log'!$D$4:$D$1510,J$34,'Match Log'!$C$4:$C$1510,$A39,'Match Log'!$E$4:$E$1510,"Win")</f>
        <v>7</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4</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18</v>
      </c>
      <c r="H53" s="83">
        <f>COUNTIFS('Match Log'!$D$4:$D$1510,H$34,'Match Log'!$C$4:$C$1510,$A53,'Match Log'!$E$4:$E$1510,"Win")</f>
        <v>0</v>
      </c>
      <c r="I53" s="83">
        <f>COUNTIFS('Match Log'!$D$4:$D$1510,I$34,'Match Log'!$C$4:$C$1510,$A53,'Match Log'!$E$4:$E$1510,"Win")</f>
        <v>15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0"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0.375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0.23076923076923078</v>
      </c>
      <c r="C80" s="86" t="str">
        <f t="shared" si="20"/>
        <v/>
      </c>
      <c r="D80" s="86">
        <f t="shared" si="20"/>
        <v>0.5</v>
      </c>
      <c r="E80" s="86" t="str">
        <f t="shared" si="20"/>
        <v/>
      </c>
      <c r="F80" s="86">
        <f t="shared" si="20"/>
        <v>0.5</v>
      </c>
      <c r="G80" s="86">
        <f t="shared" si="20"/>
        <v>0.51428571428571423</v>
      </c>
      <c r="H80" s="86">
        <f t="shared" si="20"/>
        <v>0</v>
      </c>
      <c r="I80" s="86">
        <f t="shared" si="20"/>
        <v>0.55555555555555558</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0"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39</v>
      </c>
      <c r="C89" s="83">
        <f>SUMPRODUCT(--(COUNTIFS('Match Log'!$D$4:$D$1510,$A89,'Match Log'!$C$4:$C$1510,Lists!$C$2:$C$26)&gt;0))</f>
        <v>7</v>
      </c>
      <c r="D89" s="83">
        <f>COUNTIFS('Match Log'!$D$4:$D$1510,$A89,'Match Log'!$E$4:$E$1510,"Win")</f>
        <v>24</v>
      </c>
      <c r="E89" s="86">
        <f t="shared" ref="E89:E102" si="27">IF($B89=0,"",$D89/$B89)</f>
        <v>0.61538461538461542</v>
      </c>
      <c r="F89" s="88">
        <f ca="1">IFERROR(INDEX(Calcs!$S$7:$S$20,MATCH($A89,Calcs!$A$7:$A$20,0)),"")</f>
        <v>1218.9288111472574</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62</v>
      </c>
      <c r="C90" s="83">
        <f>SUMPRODUCT(--(COUNTIFS('Match Log'!$D$4:$D$1510,$A90,'Match Log'!$C$4:$C$1510,Lists!$C$2:$C$26)&gt;0))</f>
        <v>15</v>
      </c>
      <c r="D90" s="83">
        <f>COUNTIFS('Match Log'!$D$4:$D$1510,$A90,'Match Log'!$E$4:$E$1510,"Win")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82</v>
      </c>
      <c r="C92" s="83">
        <f>SUMPRODUCT(--(COUNTIFS('Match Log'!$D$4:$D$1510,$A92,'Match Log'!$C$4:$C$1510,Lists!$C$2:$C$26)&gt;0))</f>
        <v>14</v>
      </c>
      <c r="D92" s="83">
        <f>COUNTIFS('Match Log'!$D$4:$D$1510,$A92,'Match Log'!$E$4:$E$1510,"Win")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Log'!$D$4:$D$1510,$A93)</f>
        <v>139</v>
      </c>
      <c r="C93" s="83">
        <f>SUMPRODUCT(--(COUNTIFS('Match Log'!$D$4:$D$1510,$A93,'Match Log'!$C$4:$C$1510,Lists!$C$2:$C$26)&gt;0))</f>
        <v>20</v>
      </c>
      <c r="D93" s="83">
        <f>COUNTIFS('Match Log'!$D$4:$D$1510,$A93,'Match Log'!$E$4:$E$1510,"Win")</f>
        <v>56</v>
      </c>
      <c r="E93" s="86">
        <f t="shared" si="27"/>
        <v>0.40287769784172661</v>
      </c>
      <c r="F93" s="88">
        <f ca="1">IFERROR(INDEX(Calcs!$S$7:$S$20,MATCH($A93,Calcs!$A$7:$A$20,0)),"")</f>
        <v>1121.6051369054642</v>
      </c>
      <c r="G93" s="83" t="str">
        <f>IF($B93=0,"No games",IF(AND($B93&gt;='Guide &amp; Settings'!$C$45,$C93&gt;='Guide &amp; Settings'!$C$46),"Eligible","Provisional"))</f>
        <v>Eligible</v>
      </c>
      <c r="S93" s="89">
        <f ca="1">IF($G93="Eligible",IF(IFERROR(INDEX(Calcs!$T$7:$T$20,MATCH($A93,Calcs!$A$7:$A$20,0)),"")="Inactive",-1,$F93),-1)</f>
        <v>1121.6051369054642</v>
      </c>
    </row>
    <row r="94" spans="1:19" ht="15" customHeight="1" x14ac:dyDescent="0.2">
      <c r="A94" s="82" t="s">
        <v>15</v>
      </c>
      <c r="B94" s="83">
        <f>COUNTIF('Match Log'!$D$4:$D$1510,$A94)</f>
        <v>88</v>
      </c>
      <c r="C94" s="83">
        <f>SUMPRODUCT(--(COUNTIFS('Match Log'!$D$4:$D$1510,$A94,'Match Log'!$C$4:$C$1510,Lists!$C$2:$C$26)&gt;0))</f>
        <v>14</v>
      </c>
      <c r="D94" s="83">
        <f>COUNTIFS('Match Log'!$D$4:$D$1510,$A94,'Match Log'!$E$4:$E$1510,"Win")</f>
        <v>42</v>
      </c>
      <c r="E94" s="86">
        <f t="shared" si="27"/>
        <v>0.47727272727272729</v>
      </c>
      <c r="F94" s="88">
        <f ca="1">IFERROR(INDEX(Calcs!$S$7:$S$20,MATCH($A94,Calcs!$A$7:$A$20,0)),"")</f>
        <v>1211.7695151191851</v>
      </c>
      <c r="G94" s="83" t="str">
        <f>IF($B94=0,"No games",IF(AND($B94&gt;='Guide &amp; Settings'!$C$45,$C94&gt;='Guide &amp; Settings'!$C$46),"Eligible","Provisional"))</f>
        <v>Eligible</v>
      </c>
      <c r="S94" s="89">
        <f ca="1">IF($G94="Eligible",IF(IFERROR(INDEX(Calcs!$T$7:$T$20,MATCH($A94,Calcs!$A$7:$A$20,0)),"")="Inactive",-1,$F94),-1)</f>
        <v>1211.7695151191851</v>
      </c>
    </row>
    <row r="95" spans="1:19" ht="15" customHeight="1" x14ac:dyDescent="0.2">
      <c r="A95" s="82" t="s">
        <v>20</v>
      </c>
      <c r="B95" s="83">
        <f>COUNTIF('Match Log'!$D$4:$D$1510,$A95)</f>
        <v>153</v>
      </c>
      <c r="C95" s="83">
        <f>SUMPRODUCT(--(COUNTIFS('Match Log'!$D$4:$D$1510,$A95,'Match Log'!$C$4:$C$1510,Lists!$C$2:$C$26)&gt;0))</f>
        <v>19</v>
      </c>
      <c r="D95" s="83">
        <f>COUNTIFS('Match Log'!$D$4:$D$1510,$A95,'Match Log'!$E$4:$E$1510,"Win")</f>
        <v>73</v>
      </c>
      <c r="E95" s="86">
        <f t="shared" si="27"/>
        <v>0.47712418300653597</v>
      </c>
      <c r="F95" s="88">
        <f ca="1">IFERROR(INDEX(Calcs!$S$7:$S$20,MATCH($A95,Calcs!$A$7:$A$20,0)),"")</f>
        <v>1205.024905680516</v>
      </c>
      <c r="G95" s="83" t="str">
        <f>IF($B95=0,"No games",IF(AND($B95&gt;='Guide &amp; Settings'!$C$45,$C95&gt;='Guide &amp; Settings'!$C$46),"Eligible","Provisional"))</f>
        <v>Eligible</v>
      </c>
      <c r="S95" s="89">
        <f ca="1">IF($G95="Eligible",IF(IFERROR(INDEX(Calcs!$T$7:$T$20,MATCH($A95,Calcs!$A$7:$A$20,0)),"")="Inactive",-1,$F95),-1)</f>
        <v>1205.024905680516</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919.51759653351382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1067.5488947064855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1003.2192605207141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20</v>
      </c>
      <c r="C99" s="83">
        <f>SUMPRODUCT(--(COUNTIFS('Match Log'!$D$4:$D$1510,$A99,'Match Log'!$C$4:$C$1510,Lists!$C$2:$C$26)&gt;0))</f>
        <v>10</v>
      </c>
      <c r="D99" s="83">
        <f>COUNTIFS('Match Log'!$D$4:$D$1510,$A99,'Match Log'!$E$4:$E$1510,"Win")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877.03133644117429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792.22294373677494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0"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1002.3243051567958</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1080.5069404636042</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977.16140054243726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991.24131700741486</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962.9291503873319</v>
      </c>
      <c r="J110" s="88">
        <f>IFERROR(LOOKUP(2,1/(('Match Log'!$D$4:$D$1510=J$105)*('Match Log'!$C$4:$C$1510=$A110)),'Match Log'!$AB$4:$AB$1510),"")</f>
        <v>1046.915152217651</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Dean B</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1025.9268866328202</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1014.7130743334857</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950.45315170081028</v>
      </c>
      <c r="C124" s="88" t="str">
        <f>IFERROR(LOOKUP(2,1/(('Match Log'!$D$4:$D$1510=C$105)*('Match Log'!$C$4:$C$1510=$A124)),'Match Log'!$AB$4:$AB$1510),"")</f>
        <v/>
      </c>
      <c r="D124" s="88">
        <f>IFERROR(LOOKUP(2,1/(('Match Log'!$D$4:$D$1510=D$105)*('Match Log'!$C$4:$C$1510=$A124)),'Match Log'!$AB$4:$AB$1510),"")</f>
        <v>1025.1456607850155</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995.25244282252595</v>
      </c>
      <c r="H124" s="88">
        <f>IFERROR(LOOKUP(2,1/(('Match Log'!$D$4:$D$1510=H$105)*('Match Log'!$C$4:$C$1510=$A124)),'Match Log'!$AB$4:$AB$1510),"")</f>
        <v>995.11454772974389</v>
      </c>
      <c r="I124" s="88">
        <f>IFERROR(LOOKUP(2,1/(('Match Log'!$D$4:$D$1510=I$105)*('Match Log'!$C$4:$C$1510=$A124)),'Match Log'!$AB$4:$AB$1510),"")</f>
        <v>1086.3519056767914</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3"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153</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Simon</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Simon</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Dean B leads the title race, 5 points clear of Josh.</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Daniel (Ferret) is surging — up 4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153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296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Dean B</v>
      </c>
      <c r="C17" s="143">
        <f ca="1">ROUND(Dashboard!$C$5,0)</f>
        <v>1219</v>
      </c>
      <c r="D17" s="109" t="str">
        <f>"leader"</f>
        <v>leader</v>
      </c>
      <c r="E17" s="105"/>
      <c r="F17" s="27"/>
    </row>
    <row r="18" spans="1:6" ht="15" customHeight="1" x14ac:dyDescent="0.2">
      <c r="A18" s="110">
        <v>2</v>
      </c>
      <c r="B18" s="62" t="str">
        <f ca="1">Dashboard!$B$6</f>
        <v>Josh</v>
      </c>
      <c r="C18" s="144">
        <f ca="1">ROUND(Dashboard!$C$6,0)</f>
        <v>1214</v>
      </c>
      <c r="D18" s="111" t="str">
        <f ca="1">ROUND(Dashboard!$C$5-Dashboard!$C$6,0)&amp;" behind"</f>
        <v>5 behind</v>
      </c>
      <c r="E18" s="105"/>
      <c r="F18" s="27"/>
    </row>
    <row r="19" spans="1:6" ht="15" customHeight="1" x14ac:dyDescent="0.2">
      <c r="A19" s="110">
        <v>3</v>
      </c>
      <c r="B19" s="62" t="str">
        <f ca="1">Dashboard!$B$7</f>
        <v>Aaron</v>
      </c>
      <c r="C19" s="144">
        <f ca="1">ROUND(Dashboard!$C$7,0)</f>
        <v>1212</v>
      </c>
      <c r="D19" s="111" t="str">
        <f ca="1">ROUND(Dashboard!$C$5-Dashboard!$C$7,0)&amp;" behind"</f>
        <v>7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W</v>
      </c>
      <c r="D40" s="113" t="str">
        <f>IFERROR(IF(INDEX('Match Log'!$E$1:$E$1510,_xlfn.AGGREGATE(14,6,ROW('Match Log'!$A$4:$A$1510)/('Match Log'!$D$4:$D$1510=$A40),8))="Win","W","L"),"")</f>
        <v>W</v>
      </c>
      <c r="E40" s="113" t="str">
        <f>IFERROR(IF(INDEX('Match Log'!$E$1:$E$1510,_xlfn.AGGREGATE(14,6,ROW('Match Log'!$A$4:$A$1510)/('Match Log'!$D$4:$D$1510=$A40),7))="Win","W","L"),"")</f>
        <v>L</v>
      </c>
      <c r="F40" s="113" t="str">
        <f>IFERROR(IF(INDEX('Match Log'!$E$1:$E$1510,_xlfn.AGGREGATE(14,6,ROW('Match Log'!$A$4:$A$1510)/('Match Log'!$D$4:$D$1510=$A40),6))="Win","W","L"),"")</f>
        <v>W</v>
      </c>
      <c r="G40" s="113" t="str">
        <f>IFERROR(IF(INDEX('Match Log'!$E$1:$E$1510,_xlfn.AGGREGATE(14,6,ROW('Match Log'!$A$4:$A$1510)/('Match Log'!$D$4:$D$1510=$A40),5))="Win","W","L"),"")</f>
        <v>W</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W</v>
      </c>
      <c r="C42" s="113" t="str">
        <f>IFERROR(IF(INDEX('Match Log'!$E$1:$E$1510,_xlfn.AGGREGATE(14,6,ROW('Match Log'!$A$4:$A$1510)/('Match Log'!$D$4:$D$1510=$A42),9))="Win","W","L"),"")</f>
        <v>L</v>
      </c>
      <c r="D42" s="113" t="str">
        <f>IFERROR(IF(INDEX('Match Log'!$E$1:$E$1510,_xlfn.AGGREGATE(14,6,ROW('Match Log'!$A$4:$A$1510)/('Match Log'!$D$4:$D$1510=$A42),8))="Win","W","L"),"")</f>
        <v>W</v>
      </c>
      <c r="E42" s="113" t="str">
        <f>IFERROR(IF(INDEX('Match Log'!$E$1:$E$1510,_xlfn.AGGREGATE(14,6,ROW('Match Log'!$A$4:$A$1510)/('Match Log'!$D$4:$D$1510=$A42),7))="Win","W","L"),"")</f>
        <v>L</v>
      </c>
      <c r="F42" s="113" t="str">
        <f>IFERROR(IF(INDEX('Match Log'!$E$1:$E$1510,_xlfn.AGGREGATE(14,6,ROW('Match Log'!$A$4:$A$1510)/('Match Log'!$D$4:$D$1510=$A42),6))="Win","W","L"),"")</f>
        <v>L</v>
      </c>
      <c r="G42" s="113" t="str">
        <f>IFERROR(IF(INDEX('Match Log'!$E$1:$E$1510,_xlfn.AGGREGATE(14,6,ROW('Match Log'!$A$4:$A$1510)/('Match Log'!$D$4:$D$1510=$A42),5))="Win","W","L"),"")</f>
        <v>L</v>
      </c>
      <c r="H42" s="113" t="str">
        <f>IFERROR(IF(INDEX('Match Log'!$E$1:$E$1510,_xlfn.AGGREGATE(14,6,ROW('Match Log'!$A$4:$A$1510)/('Match Log'!$D$4:$D$1510=$A42),4))="Win","W","L"),"")</f>
        <v>L</v>
      </c>
      <c r="I42" s="113" t="str">
        <f>IFERROR(IF(INDEX('Match Log'!$E$1:$E$1510,_xlfn.AGGREGATE(14,6,ROW('Match Log'!$A$4:$A$1510)/('Match Log'!$D$4:$D$1510=$A42),3))="Win","W","L"),"")</f>
        <v>W</v>
      </c>
      <c r="J42" s="113" t="str">
        <f>IFERROR(IF(INDEX('Match Log'!$E$1:$E$1510,_xlfn.AGGREGATE(14,6,ROW('Match Log'!$A$4:$A$1510)/('Match Log'!$D$4:$D$1510=$A42),2))="Win","W","L"),"")</f>
        <v>W</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L</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W</v>
      </c>
      <c r="F45" s="113" t="str">
        <f>IFERROR(IF(INDEX('Match Log'!$E$1:$E$1510,_xlfn.AGGREGATE(14,6,ROW('Match Log'!$A$4:$A$1510)/('Match Log'!$D$4:$D$1510=$A45),6))="Win","W","L"),"")</f>
        <v>W</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W</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W</v>
      </c>
      <c r="D47" s="113" t="str">
        <f>IFERROR(IF(INDEX('Match Log'!$E$1:$E$1510,_xlfn.AGGREGATE(14,6,ROW('Match Log'!$A$4:$A$1510)/('Match Log'!$D$4:$D$1510=$A47),8))="Win","W","L"),"")</f>
        <v>W</v>
      </c>
      <c r="E47" s="113" t="str">
        <f>IFERROR(IF(INDEX('Match Log'!$E$1:$E$1510,_xlfn.AGGREGATE(14,6,ROW('Match Log'!$A$4:$A$1510)/('Match Log'!$D$4:$D$1510=$A47),7))="Win","W","L"),"")</f>
        <v>L</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L</v>
      </c>
      <c r="J47" s="113" t="str">
        <f>IFERROR(IF(INDEX('Match Log'!$E$1:$E$1510,_xlfn.AGGREGATE(14,6,ROW('Match Log'!$A$4:$A$1510)/('Match Log'!$D$4:$D$1510=$A47),2))="Win","W","L"),"")</f>
        <v>W</v>
      </c>
      <c r="K47" s="113" t="str">
        <f>IFERROR(IF(INDEX('Match Log'!$E$1:$E$1510,_xlfn.AGGREGATE(14,6,ROW('Match Log'!$A$4:$A$1510)/('Match Log'!$D$4:$D$1510=$A47),1))="Win","W","L"),"")</f>
        <v>W</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L</v>
      </c>
      <c r="E48" s="113" t="str">
        <f>IFERROR(IF(INDEX('Match Log'!$E$1:$E$1510,_xlfn.AGGREGATE(14,6,ROW('Match Log'!$A$4:$A$1510)/('Match Log'!$D$4:$D$1510=$A48),7))="Win","W","L"),"")</f>
        <v>L</v>
      </c>
      <c r="F48" s="113" t="str">
        <f>IFERROR(IF(INDEX('Match Log'!$E$1:$E$1510,_xlfn.AGGREGATE(14,6,ROW('Match Log'!$A$4:$A$1510)/('Match Log'!$D$4:$D$1510=$A48),6))="Win","W","L"),"")</f>
        <v>L</v>
      </c>
      <c r="G48" s="113" t="str">
        <f>IFERROR(IF(INDEX('Match Log'!$E$1:$E$1510,_xlfn.AGGREGATE(14,6,ROW('Match Log'!$A$4:$A$1510)/('Match Log'!$D$4:$D$1510=$A48),5))="Win","W","L"),"")</f>
        <v>W</v>
      </c>
      <c r="H48" s="113" t="str">
        <f>IFERROR(IF(INDEX('Match Log'!$E$1:$E$1510,_xlfn.AGGREGATE(14,6,ROW('Match Log'!$A$4:$A$1510)/('Match Log'!$D$4:$D$1510=$A48),4))="Win","W","L"),"")</f>
        <v>L</v>
      </c>
      <c r="I48" s="113" t="str">
        <f>IFERROR(IF(INDEX('Match Log'!$E$1:$E$1510,_xlfn.AGGREGATE(14,6,ROW('Match Log'!$A$4:$A$1510)/('Match Log'!$D$4:$D$1510=$A48),3))="Win","W","L"),"")</f>
        <v>W</v>
      </c>
      <c r="J48" s="113" t="str">
        <f>IFERROR(IF(INDEX('Match Log'!$E$1:$E$1510,_xlfn.AGGREGATE(14,6,ROW('Match Log'!$A$4:$A$1510)/('Match Log'!$D$4:$D$1510=$A48),2))="Win","W","L"),"")</f>
        <v>W</v>
      </c>
      <c r="K48" s="113" t="str">
        <f>IFERROR(IF(INDEX('Match Log'!$E$1:$E$1510,_xlfn.AGGREGATE(14,6,ROW('Match Log'!$A$4:$A$1510)/('Match Log'!$D$4:$D$1510=$A48),1))="Win","W","L"),"")</f>
        <v>W</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W</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L</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0.23076923076923078</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0.51428571428571423</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0.375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0.55555555555555558</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zoomScale="118" zoomScaleNormal="118" workbookViewId="0">
      <pane xSplit="5" ySplit="3" topLeftCell="F666" activePane="bottomRight" state="frozen"/>
      <selection pane="topRight" activeCell="F1" sqref="F1"/>
      <selection pane="bottomLeft" activeCell="A442" sqref="A442"/>
      <selection pane="bottomRight" activeCell="E705" sqref="E705"/>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4" t="s">
        <v>346</v>
      </c>
      <c r="B1" s="146"/>
      <c r="C1" s="146"/>
      <c r="D1" s="146"/>
      <c r="E1" s="146"/>
      <c r="F1" s="146"/>
      <c r="G1" s="146"/>
      <c r="H1" s="146"/>
      <c r="I1" s="146"/>
      <c r="J1" s="146"/>
      <c r="K1" s="146"/>
      <c r="L1" s="146"/>
      <c r="M1" s="146"/>
      <c r="N1" s="146"/>
      <c r="O1" s="146"/>
    </row>
    <row r="2" spans="1:32" ht="15" customHeight="1" x14ac:dyDescent="0.2">
      <c r="A2" s="165"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c r="B705" s="118"/>
      <c r="C705" s="119"/>
      <c r="D705" s="119"/>
      <c r="E705" s="117"/>
      <c r="F705" s="120">
        <f t="shared" si="200"/>
        <v>0</v>
      </c>
      <c r="G705" s="121" t="str">
        <f t="shared" si="201"/>
        <v/>
      </c>
      <c r="H705" s="122">
        <f>IF($D705="",0,IFERROR(LOOKUP(2,1/(($D$3:D704=$D705)*($A$3:A704&lt;$A705)),$N$3:N704),'Guide &amp; Settings'!$C$41))</f>
        <v>0</v>
      </c>
      <c r="I705" s="123">
        <f t="shared" si="202"/>
        <v>0</v>
      </c>
      <c r="J705" s="124">
        <f>IF($D705="",0,IF($F705&lt;2,0,IF($E705="Win",('Guide &amp; Settings'!$C$42/(($F705-1)*COUNTIFS($A$4:$A$1510,$A705,$E$4:$E$1510,"Win")))*SUMIFS($X$4:$X$1510,$A$4:$A$1510,$A705,$E$4:$E$1510,"Loss"),-('Guide &amp; Settings'!$C$42/($F705-1))*$X705)))</f>
        <v>0</v>
      </c>
      <c r="K705" s="124">
        <f>IF($D705="",0,'Guide &amp; Settings'!$C$43*(IF($E705="Win",1,0)-$I705))</f>
        <v>0</v>
      </c>
      <c r="L705" s="125">
        <f>IF($D705="",0,'Guide &amp; Settings'!$C$44*IF($F705&gt;=3,$F705,0))</f>
        <v>0</v>
      </c>
      <c r="M705" s="124">
        <f t="shared" si="203"/>
        <v>0</v>
      </c>
      <c r="N705" s="122">
        <f t="shared" si="204"/>
        <v>0</v>
      </c>
      <c r="O705" s="121" t="str">
        <f t="shared" si="205"/>
        <v/>
      </c>
      <c r="P705">
        <f t="shared" si="206"/>
        <v>0</v>
      </c>
      <c r="Q705">
        <f t="shared" si="207"/>
        <v>0</v>
      </c>
      <c r="R705">
        <f t="shared" si="208"/>
        <v>0</v>
      </c>
      <c r="S705">
        <f t="shared" si="209"/>
        <v>0</v>
      </c>
      <c r="T705" s="89">
        <f t="shared" si="210"/>
        <v>0</v>
      </c>
      <c r="U705" s="126">
        <f>IF($D705="",0,IFERROR(LOOKUP(2,1/(($D$3:D704=$D705)*($C$3:C704=$C705)*($A$3:A704&lt;$A705)),$AB$3:AB704),1000))</f>
        <v>0</v>
      </c>
      <c r="V705" s="126">
        <f t="shared" si="211"/>
        <v>0</v>
      </c>
      <c r="W705">
        <f t="shared" si="212"/>
        <v>0</v>
      </c>
      <c r="X705">
        <f t="shared" si="213"/>
        <v>0</v>
      </c>
      <c r="Y705">
        <f t="shared" si="214"/>
        <v>0</v>
      </c>
      <c r="Z705">
        <f t="shared" si="215"/>
        <v>0</v>
      </c>
      <c r="AA705">
        <f>IF($D705="",0,IF($F705&lt;2,0,IF($E705="Win",('Guide &amp; Settings'!$C$42/(($F705-1)*COUNTIFS($A$4:$A$1510,$A705,$E$4:$E$1510,"Win")))*SUMIFS($Z$4:$Z$1510,$A$4:$A$1510,$A705,$E$4:$E$1510,"Loss"),-('Guide &amp; Settings'!$C$42/($F705-1))*$Z705)))</f>
        <v>0</v>
      </c>
      <c r="AB705" s="126">
        <f t="shared" si="216"/>
        <v>0</v>
      </c>
      <c r="AC705" s="126" t="str">
        <f>IF($D705="","",IF($AD705=0,0,IF(COUNTIFS($D$4:$D705,$D705,$B$4:$B705,$B705)&gt;1,0,IF($B705&lt;'Guide &amp; Settings'!$C$50,0,IF(($B705-$AD705)/7-'Guide &amp; Settings'!$C$48&gt;=0,(INT(($B705-$AD705)/7-'Guide &amp; Settings'!$C$48)+1)*'Guide &amp; Settings'!$C$49,0)))))</f>
        <v/>
      </c>
      <c r="AD705" s="142">
        <f t="shared" si="217"/>
        <v>0</v>
      </c>
      <c r="AE705">
        <f t="shared" si="218"/>
        <v>0</v>
      </c>
      <c r="AF705">
        <f t="shared" si="219"/>
        <v>0</v>
      </c>
    </row>
    <row r="706" spans="1:32" x14ac:dyDescent="0.2">
      <c r="A706" s="117"/>
      <c r="B706" s="118"/>
      <c r="C706" s="119"/>
      <c r="D706" s="119"/>
      <c r="E706" s="117"/>
      <c r="F706" s="120">
        <f t="shared" si="200"/>
        <v>0</v>
      </c>
      <c r="G706" s="121" t="str">
        <f t="shared" si="201"/>
        <v/>
      </c>
      <c r="H706" s="122">
        <f>IF($D706="",0,IFERROR(LOOKUP(2,1/(($D$3:D705=$D706)*($A$3:A705&lt;$A706)),$N$3:N705),'Guide &amp; Settings'!$C$41))</f>
        <v>0</v>
      </c>
      <c r="I706" s="123">
        <f t="shared" si="202"/>
        <v>0</v>
      </c>
      <c r="J706" s="124">
        <f>IF($D706="",0,IF($F706&lt;2,0,IF($E706="Win",('Guide &amp; Settings'!$C$42/(($F706-1)*COUNTIFS($A$4:$A$1510,$A706,$E$4:$E$1510,"Win")))*SUMIFS($X$4:$X$1510,$A$4:$A$1510,$A706,$E$4:$E$1510,"Loss"),-('Guide &amp; Settings'!$C$42/($F706-1))*$X706)))</f>
        <v>0</v>
      </c>
      <c r="K706" s="124">
        <f>IF($D706="",0,'Guide &amp; Settings'!$C$43*(IF($E706="Win",1,0)-$I706))</f>
        <v>0</v>
      </c>
      <c r="L706" s="125">
        <f>IF($D706="",0,'Guide &amp; Settings'!$C$44*IF($F706&gt;=3,$F706,0))</f>
        <v>0</v>
      </c>
      <c r="M706" s="124">
        <f t="shared" si="203"/>
        <v>0</v>
      </c>
      <c r="N706" s="122">
        <f t="shared" si="204"/>
        <v>0</v>
      </c>
      <c r="O706" s="121" t="str">
        <f t="shared" si="205"/>
        <v/>
      </c>
      <c r="P706">
        <f t="shared" si="206"/>
        <v>0</v>
      </c>
      <c r="Q706">
        <f t="shared" si="207"/>
        <v>0</v>
      </c>
      <c r="R706">
        <f t="shared" si="208"/>
        <v>0</v>
      </c>
      <c r="S706">
        <f t="shared" si="209"/>
        <v>0</v>
      </c>
      <c r="T706" s="89">
        <f t="shared" si="210"/>
        <v>0</v>
      </c>
      <c r="U706" s="126">
        <f>IF($D706="",0,IFERROR(LOOKUP(2,1/(($D$3:D705=$D706)*($C$3:C705=$C706)*($A$3:A705&lt;$A706)),$AB$3:AB705),1000))</f>
        <v>0</v>
      </c>
      <c r="V706" s="126">
        <f t="shared" si="211"/>
        <v>0</v>
      </c>
      <c r="W706">
        <f t="shared" si="212"/>
        <v>0</v>
      </c>
      <c r="X706">
        <f t="shared" si="213"/>
        <v>0</v>
      </c>
      <c r="Y706">
        <f t="shared" si="214"/>
        <v>0</v>
      </c>
      <c r="Z706">
        <f t="shared" si="215"/>
        <v>0</v>
      </c>
      <c r="AA706">
        <f>IF($D706="",0,IF($F706&lt;2,0,IF($E706="Win",('Guide &amp; Settings'!$C$42/(($F706-1)*COUNTIFS($A$4:$A$1510,$A706,$E$4:$E$1510,"Win")))*SUMIFS($Z$4:$Z$1510,$A$4:$A$1510,$A706,$E$4:$E$1510,"Loss"),-('Guide &amp; Settings'!$C$42/($F706-1))*$Z706)))</f>
        <v>0</v>
      </c>
      <c r="AB706" s="126">
        <f t="shared" si="216"/>
        <v>0</v>
      </c>
      <c r="AC706" s="126" t="str">
        <f>IF($D706="","",IF($AD706=0,0,IF(COUNTIFS($D$4:$D706,$D706,$B$4:$B706,$B706)&gt;1,0,IF($B706&lt;'Guide &amp; Settings'!$C$50,0,IF(($B706-$AD706)/7-'Guide &amp; Settings'!$C$48&gt;=0,(INT(($B706-$AD706)/7-'Guide &amp; Settings'!$C$48)+1)*'Guide &amp; Settings'!$C$49,0)))))</f>
        <v/>
      </c>
      <c r="AD706" s="142">
        <f t="shared" si="217"/>
        <v>0</v>
      </c>
      <c r="AE706">
        <f t="shared" si="218"/>
        <v>0</v>
      </c>
      <c r="AF706">
        <f t="shared" si="219"/>
        <v>0</v>
      </c>
    </row>
    <row r="707" spans="1:32" x14ac:dyDescent="0.2">
      <c r="A707" s="117"/>
      <c r="B707" s="118"/>
      <c r="C707" s="119"/>
      <c r="D707" s="119"/>
      <c r="E707" s="117"/>
      <c r="F707" s="120">
        <f t="shared" si="200"/>
        <v>0</v>
      </c>
      <c r="G707" s="121" t="str">
        <f t="shared" si="201"/>
        <v/>
      </c>
      <c r="H707" s="122">
        <f>IF($D707="",0,IFERROR(LOOKUP(2,1/(($D$3:D706=$D707)*($A$3:A706&lt;$A707)),$N$3:N706),'Guide &amp; Settings'!$C$41))</f>
        <v>0</v>
      </c>
      <c r="I707" s="123">
        <f t="shared" si="202"/>
        <v>0</v>
      </c>
      <c r="J707" s="124">
        <f>IF($D707="",0,IF($F707&lt;2,0,IF($E707="Win",('Guide &amp; Settings'!$C$42/(($F707-1)*COUNTIFS($A$4:$A$1510,$A707,$E$4:$E$1510,"Win")))*SUMIFS($X$4:$X$1510,$A$4:$A$1510,$A707,$E$4:$E$1510,"Loss"),-('Guide &amp; Settings'!$C$42/($F707-1))*$X707)))</f>
        <v>0</v>
      </c>
      <c r="K707" s="124">
        <f>IF($D707="",0,'Guide &amp; Settings'!$C$43*(IF($E707="Win",1,0)-$I707))</f>
        <v>0</v>
      </c>
      <c r="L707" s="125">
        <f>IF($D707="",0,'Guide &amp; Settings'!$C$44*IF($F707&gt;=3,$F707,0))</f>
        <v>0</v>
      </c>
      <c r="M707" s="124">
        <f t="shared" si="203"/>
        <v>0</v>
      </c>
      <c r="N707" s="122">
        <f t="shared" si="204"/>
        <v>0</v>
      </c>
      <c r="O707" s="121" t="str">
        <f t="shared" si="205"/>
        <v/>
      </c>
      <c r="P707">
        <f t="shared" si="206"/>
        <v>0</v>
      </c>
      <c r="Q707">
        <f t="shared" si="207"/>
        <v>0</v>
      </c>
      <c r="R707">
        <f t="shared" si="208"/>
        <v>0</v>
      </c>
      <c r="S707">
        <f t="shared" si="209"/>
        <v>0</v>
      </c>
      <c r="T707" s="89">
        <f t="shared" si="210"/>
        <v>0</v>
      </c>
      <c r="U707" s="126">
        <f>IF($D707="",0,IFERROR(LOOKUP(2,1/(($D$3:D706=$D707)*($C$3:C706=$C707)*($A$3:A706&lt;$A707)),$AB$3:AB706),1000))</f>
        <v>0</v>
      </c>
      <c r="V707" s="126">
        <f t="shared" si="211"/>
        <v>0</v>
      </c>
      <c r="W707">
        <f t="shared" si="212"/>
        <v>0</v>
      </c>
      <c r="X707">
        <f t="shared" si="213"/>
        <v>0</v>
      </c>
      <c r="Y707">
        <f t="shared" si="214"/>
        <v>0</v>
      </c>
      <c r="Z707">
        <f t="shared" si="215"/>
        <v>0</v>
      </c>
      <c r="AA707">
        <f>IF($D707="",0,IF($F707&lt;2,0,IF($E707="Win",('Guide &amp; Settings'!$C$42/(($F707-1)*COUNTIFS($A$4:$A$1510,$A707,$E$4:$E$1510,"Win")))*SUMIFS($Z$4:$Z$1510,$A$4:$A$1510,$A707,$E$4:$E$1510,"Loss"),-('Guide &amp; Settings'!$C$42/($F707-1))*$Z707)))</f>
        <v>0</v>
      </c>
      <c r="AB707" s="126">
        <f t="shared" si="216"/>
        <v>0</v>
      </c>
      <c r="AC707" s="126" t="str">
        <f>IF($D707="","",IF($AD707=0,0,IF(COUNTIFS($D$4:$D707,$D707,$B$4:$B707,$B707)&gt;1,0,IF($B707&lt;'Guide &amp; Settings'!$C$50,0,IF(($B707-$AD707)/7-'Guide &amp; Settings'!$C$48&gt;=0,(INT(($B707-$AD707)/7-'Guide &amp; Settings'!$C$48)+1)*'Guide &amp; Settings'!$C$49,0)))))</f>
        <v/>
      </c>
      <c r="AD707" s="142">
        <f t="shared" si="217"/>
        <v>0</v>
      </c>
      <c r="AE707">
        <f t="shared" si="218"/>
        <v>0</v>
      </c>
      <c r="AF707">
        <f t="shared" si="219"/>
        <v>0</v>
      </c>
    </row>
    <row r="708" spans="1:32" x14ac:dyDescent="0.2">
      <c r="A708" s="117"/>
      <c r="B708" s="118"/>
      <c r="C708" s="119"/>
      <c r="D708" s="119"/>
      <c r="E708" s="117"/>
      <c r="F708" s="120">
        <f t="shared" ref="F708:F771" si="220">IF($D708="",0,COUNTIF($A$4:$A$1510,$A708))</f>
        <v>0</v>
      </c>
      <c r="G708" s="121" t="str">
        <f t="shared" ref="G708:G771" si="221">IF($D708="","",IFERROR(LOOKUP(2,1/(($A$4:$A$1510=$A708)*($E$4:$E$1510="Win")),$D$4:$D$1510),"(no winner)"))</f>
        <v/>
      </c>
      <c r="H708" s="122">
        <f>IF($D708="",0,IFERROR(LOOKUP(2,1/(($D$3:D707=$D708)*($A$3:A707&lt;$A708)),$N$3:N707),'Guide &amp; Settings'!$C$41))</f>
        <v>0</v>
      </c>
      <c r="I708" s="123">
        <f t="shared" ref="I708:I771" si="222">IF($D708="",0,IF($S708=0,0,$R708/$S708))</f>
        <v>0</v>
      </c>
      <c r="J708" s="124">
        <f>IF($D708="",0,IF($F708&lt;2,0,IF($E708="Win",('Guide &amp; Settings'!$C$42/(($F708-1)*COUNTIFS($A$4:$A$1510,$A708,$E$4:$E$1510,"Win")))*SUMIFS($X$4:$X$1510,$A$4:$A$1510,$A708,$E$4:$E$1510,"Loss"),-('Guide &amp; Settings'!$C$42/($F708-1))*$X708)))</f>
        <v>0</v>
      </c>
      <c r="K708" s="124">
        <f>IF($D708="",0,'Guide &amp; Settings'!$C$43*(IF($E708="Win",1,0)-$I708))</f>
        <v>0</v>
      </c>
      <c r="L708" s="125">
        <f>IF($D708="",0,'Guide &amp; Settings'!$C$44*IF($F708&gt;=3,$F708,0))</f>
        <v>0</v>
      </c>
      <c r="M708" s="124">
        <f t="shared" ref="M708:M771" si="223">IF($D708="",0,$J708+$K708+$L708)</f>
        <v>0</v>
      </c>
      <c r="N708" s="122">
        <f t="shared" ref="N708:N771" si="224">IF($D708="",0,$H708+$M708)</f>
        <v>0</v>
      </c>
      <c r="O708" s="121" t="str">
        <f t="shared" ref="O708:O771" si="225">IF($D708="","",IF($AE708=0,"need a winner",IF($F708-$AE708=0,"need a loser",IF(MOD($AF708,2)=1,"duplicate player",IF(MOD(INT($AF708/2),2)=1,"mixed sports",IF($AF708&gt;=4,"mixed dates",IF($AE708&gt;1,IF($F708&gt;=4,"OK (team)","check winners"),"OK")))))))</f>
        <v/>
      </c>
      <c r="P708">
        <f t="shared" ref="P708:P771" si="226">IF($D708="",0,IFERROR(SUMIFS($H$4:$H$1510,$A$4:$A$1510,$A708,$E$4:$E$1510,"Win")/COUNTIFS($A$4:$A$1510,$A708,$E$4:$E$1510,"Win"),0))</f>
        <v>0</v>
      </c>
      <c r="Q708">
        <f t="shared" ref="Q708:Q771" si="227">IF($D708="",0,1/(1+10^(($P708-$H708)/400)))</f>
        <v>0</v>
      </c>
      <c r="R708">
        <f t="shared" ref="R708:R771" si="228">IF($D708="",0,(COUNTIFS($D$4:$D$1510,$D708,$C$4:$C$1510,$C708,$E$4:$E$1510,"Win",$A$4:$A$1510,"&lt;"&amp;$A708)+1)/(COUNTIFS($D$4:$D$1510,$D708,$C$4:$C$1510,$C708,$A$4:$A$1510,"&lt;"&amp;$A708)+2))</f>
        <v>0</v>
      </c>
      <c r="S708">
        <f t="shared" ref="S708:S771" si="229">IF($D708="",0,SUMIFS($R$4:$R$1510,$A$4:$A$1510,$A708))</f>
        <v>0</v>
      </c>
      <c r="T708" s="89">
        <f t="shared" ref="T708:T771" si="230">IF($D708="",0,COUNTIFS($D$4:$D$1510,$D708,$C$4:$C$1510,$C708,$A$4:$A$1510,"&lt;"&amp;$A708))</f>
        <v>0</v>
      </c>
      <c r="U708" s="126">
        <f>IF($D708="",0,IFERROR(LOOKUP(2,1/(($D$3:D707=$D708)*($C$3:C707=$C708)*($A$3:A707&lt;$A708)),$AB$3:AB707),1000))</f>
        <v>0</v>
      </c>
      <c r="V708" s="126">
        <f t="shared" ref="V708:V771" si="231">IF($D708="",0,$U708*($T708/($T708+5))+$H708*(1-$T708/($T708+5)))</f>
        <v>0</v>
      </c>
      <c r="W708">
        <f t="shared" ref="W708:W771" si="232">IF($D708="",0,IFERROR(SUMIFS($V$4:$V$1510,$A$4:$A$1510,$A708,$E$4:$E$1510,"Win")/COUNTIFS($A$4:$A$1510,$A708,$E$4:$E$1510,"Win"),0))</f>
        <v>0</v>
      </c>
      <c r="X708">
        <f t="shared" ref="X708:X771" si="233">IF($D708="",0,1/(1+10^(($W708-$V708)/400)))</f>
        <v>0</v>
      </c>
      <c r="Y708">
        <f t="shared" ref="Y708:Y771" si="234">IF($D708="",0,IFERROR(SUMIFS($U$4:$U$1510,$A$4:$A$1510,$A708,$E$4:$E$1510,"Win")/COUNTIFS($A$4:$A$1510,$A708,$E$4:$E$1510,"Win"),0))</f>
        <v>0</v>
      </c>
      <c r="Z708">
        <f t="shared" ref="Z708:Z771" si="235">IF($D708="",0,1/(1+10^(($Y708-$U708)/400)))</f>
        <v>0</v>
      </c>
      <c r="AA708">
        <f>IF($D708="",0,IF($F708&lt;2,0,IF($E708="Win",('Guide &amp; Settings'!$C$42/(($F708-1)*COUNTIFS($A$4:$A$1510,$A708,$E$4:$E$1510,"Win")))*SUMIFS($Z$4:$Z$1510,$A$4:$A$1510,$A708,$E$4:$E$1510,"Loss"),-('Guide &amp; Settings'!$C$42/($F708-1))*$Z708)))</f>
        <v>0</v>
      </c>
      <c r="AB708" s="126">
        <f t="shared" ref="AB708:AB771" si="236">IF($D708="",0,$U708+$AA708)</f>
        <v>0</v>
      </c>
      <c r="AC708" s="126" t="str">
        <f>IF($D708="","",IF($AD708=0,0,IF(COUNTIFS($D$4:$D708,$D708,$B$4:$B708,$B708)&gt;1,0,IF($B708&lt;'Guide &amp; Settings'!$C$50,0,IF(($B708-$AD708)/7-'Guide &amp; Settings'!$C$48&gt;=0,(INT(($B708-$AD708)/7-'Guide &amp; Settings'!$C$48)+1)*'Guide &amp; Settings'!$C$49,0)))))</f>
        <v/>
      </c>
      <c r="AD708" s="142">
        <f t="shared" ref="AD708:AD771" si="237">IF($D708="",0,SUMPRODUCT(MAX(($D$4:$D$1510=$D708)*($B$4:$B$1510&lt;$B708)*$B$4:$B$1510)))</f>
        <v>0</v>
      </c>
      <c r="AE708">
        <f t="shared" ref="AE708:AE771" si="238">IF($D708="",0,COUNTIFS($A$4:$A$1510,$A708,$E$4:$E$1510,"Win"))</f>
        <v>0</v>
      </c>
      <c r="AF708">
        <f t="shared" ref="AF708:AF771" si="239">IF($D708="",0,(COUNTIFS($A$4:$A$1510,$A708,$D$4:$D$1510,$D708)&gt;1)*1+(COUNTIFS($A$4:$A$1510,$A708,$C$4:$C$1510,"&lt;&gt;"&amp;$C708)&gt;0)*2+(COUNTIFS($A$4:$A$1510,$A708,$B$4:$B$1510,"&lt;&gt;"&amp;$B708)&gt;0)*4)</f>
        <v>0</v>
      </c>
    </row>
    <row r="709" spans="1:32" x14ac:dyDescent="0.2">
      <c r="A709" s="117"/>
      <c r="B709" s="118"/>
      <c r="C709" s="119"/>
      <c r="D709" s="119"/>
      <c r="E709" s="117"/>
      <c r="F709" s="120">
        <f t="shared" si="220"/>
        <v>0</v>
      </c>
      <c r="G709" s="121" t="str">
        <f t="shared" si="221"/>
        <v/>
      </c>
      <c r="H709" s="122">
        <f>IF($D709="",0,IFERROR(LOOKUP(2,1/(($D$3:D708=$D709)*($A$3:A708&lt;$A709)),$N$3:N708),'Guide &amp; Settings'!$C$41))</f>
        <v>0</v>
      </c>
      <c r="I709" s="123">
        <f t="shared" si="222"/>
        <v>0</v>
      </c>
      <c r="J709" s="124">
        <f>IF($D709="",0,IF($F709&lt;2,0,IF($E709="Win",('Guide &amp; Settings'!$C$42/(($F709-1)*COUNTIFS($A$4:$A$1510,$A709,$E$4:$E$1510,"Win")))*SUMIFS($X$4:$X$1510,$A$4:$A$1510,$A709,$E$4:$E$1510,"Loss"),-('Guide &amp; Settings'!$C$42/($F709-1))*$X709)))</f>
        <v>0</v>
      </c>
      <c r="K709" s="124">
        <f>IF($D709="",0,'Guide &amp; Settings'!$C$43*(IF($E709="Win",1,0)-$I709))</f>
        <v>0</v>
      </c>
      <c r="L709" s="125">
        <f>IF($D709="",0,'Guide &amp; Settings'!$C$44*IF($F709&gt;=3,$F709,0))</f>
        <v>0</v>
      </c>
      <c r="M709" s="124">
        <f t="shared" si="223"/>
        <v>0</v>
      </c>
      <c r="N709" s="122">
        <f t="shared" si="224"/>
        <v>0</v>
      </c>
      <c r="O709" s="121" t="str">
        <f t="shared" si="225"/>
        <v/>
      </c>
      <c r="P709">
        <f t="shared" si="226"/>
        <v>0</v>
      </c>
      <c r="Q709">
        <f t="shared" si="227"/>
        <v>0</v>
      </c>
      <c r="R709">
        <f t="shared" si="228"/>
        <v>0</v>
      </c>
      <c r="S709">
        <f t="shared" si="229"/>
        <v>0</v>
      </c>
      <c r="T709" s="89">
        <f t="shared" si="230"/>
        <v>0</v>
      </c>
      <c r="U709" s="126">
        <f>IF($D709="",0,IFERROR(LOOKUP(2,1/(($D$3:D708=$D709)*($C$3:C708=$C709)*($A$3:A708&lt;$A709)),$AB$3:AB708),1000))</f>
        <v>0</v>
      </c>
      <c r="V709" s="126">
        <f t="shared" si="231"/>
        <v>0</v>
      </c>
      <c r="W709">
        <f t="shared" si="232"/>
        <v>0</v>
      </c>
      <c r="X709">
        <f t="shared" si="233"/>
        <v>0</v>
      </c>
      <c r="Y709">
        <f t="shared" si="234"/>
        <v>0</v>
      </c>
      <c r="Z709">
        <f t="shared" si="235"/>
        <v>0</v>
      </c>
      <c r="AA709">
        <f>IF($D709="",0,IF($F709&lt;2,0,IF($E709="Win",('Guide &amp; Settings'!$C$42/(($F709-1)*COUNTIFS($A$4:$A$1510,$A709,$E$4:$E$1510,"Win")))*SUMIFS($Z$4:$Z$1510,$A$4:$A$1510,$A709,$E$4:$E$1510,"Loss"),-('Guide &amp; Settings'!$C$42/($F709-1))*$Z709)))</f>
        <v>0</v>
      </c>
      <c r="AB709" s="126">
        <f t="shared" si="236"/>
        <v>0</v>
      </c>
      <c r="AC709" s="126" t="str">
        <f>IF($D709="","",IF($AD709=0,0,IF(COUNTIFS($D$4:$D709,$D709,$B$4:$B709,$B709)&gt;1,0,IF($B709&lt;'Guide &amp; Settings'!$C$50,0,IF(($B709-$AD709)/7-'Guide &amp; Settings'!$C$48&gt;=0,(INT(($B709-$AD709)/7-'Guide &amp; Settings'!$C$48)+1)*'Guide &amp; Settings'!$C$49,0)))))</f>
        <v/>
      </c>
      <c r="AD709" s="142">
        <f t="shared" si="237"/>
        <v>0</v>
      </c>
      <c r="AE709">
        <f t="shared" si="238"/>
        <v>0</v>
      </c>
      <c r="AF709">
        <f t="shared" si="239"/>
        <v>0</v>
      </c>
    </row>
    <row r="710" spans="1:32" x14ac:dyDescent="0.2">
      <c r="A710" s="117"/>
      <c r="B710" s="118"/>
      <c r="C710" s="119"/>
      <c r="D710" s="119"/>
      <c r="E710" s="117"/>
      <c r="F710" s="120">
        <f t="shared" si="220"/>
        <v>0</v>
      </c>
      <c r="G710" s="121" t="str">
        <f t="shared" si="221"/>
        <v/>
      </c>
      <c r="H710" s="122">
        <f>IF($D710="",0,IFERROR(LOOKUP(2,1/(($D$3:D709=$D710)*($A$3:A709&lt;$A710)),$N$3:N709),'Guide &amp; Settings'!$C$41))</f>
        <v>0</v>
      </c>
      <c r="I710" s="123">
        <f t="shared" si="222"/>
        <v>0</v>
      </c>
      <c r="J710" s="124">
        <f>IF($D710="",0,IF($F710&lt;2,0,IF($E710="Win",('Guide &amp; Settings'!$C$42/(($F710-1)*COUNTIFS($A$4:$A$1510,$A710,$E$4:$E$1510,"Win")))*SUMIFS($X$4:$X$1510,$A$4:$A$1510,$A710,$E$4:$E$1510,"Loss"),-('Guide &amp; Settings'!$C$42/($F710-1))*$X710)))</f>
        <v>0</v>
      </c>
      <c r="K710" s="124">
        <f>IF($D710="",0,'Guide &amp; Settings'!$C$43*(IF($E710="Win",1,0)-$I710))</f>
        <v>0</v>
      </c>
      <c r="L710" s="125">
        <f>IF($D710="",0,'Guide &amp; Settings'!$C$44*IF($F710&gt;=3,$F710,0))</f>
        <v>0</v>
      </c>
      <c r="M710" s="124">
        <f t="shared" si="223"/>
        <v>0</v>
      </c>
      <c r="N710" s="122">
        <f t="shared" si="224"/>
        <v>0</v>
      </c>
      <c r="O710" s="121" t="str">
        <f t="shared" si="225"/>
        <v/>
      </c>
      <c r="P710">
        <f t="shared" si="226"/>
        <v>0</v>
      </c>
      <c r="Q710">
        <f t="shared" si="227"/>
        <v>0</v>
      </c>
      <c r="R710">
        <f t="shared" si="228"/>
        <v>0</v>
      </c>
      <c r="S710">
        <f t="shared" si="229"/>
        <v>0</v>
      </c>
      <c r="T710" s="89">
        <f t="shared" si="230"/>
        <v>0</v>
      </c>
      <c r="U710" s="126">
        <f>IF($D710="",0,IFERROR(LOOKUP(2,1/(($D$3:D709=$D710)*($C$3:C709=$C710)*($A$3:A709&lt;$A710)),$AB$3:AB709),1000))</f>
        <v>0</v>
      </c>
      <c r="V710" s="126">
        <f t="shared" si="231"/>
        <v>0</v>
      </c>
      <c r="W710">
        <f t="shared" si="232"/>
        <v>0</v>
      </c>
      <c r="X710">
        <f t="shared" si="233"/>
        <v>0</v>
      </c>
      <c r="Y710">
        <f t="shared" si="234"/>
        <v>0</v>
      </c>
      <c r="Z710">
        <f t="shared" si="235"/>
        <v>0</v>
      </c>
      <c r="AA710">
        <f>IF($D710="",0,IF($F710&lt;2,0,IF($E710="Win",('Guide &amp; Settings'!$C$42/(($F710-1)*COUNTIFS($A$4:$A$1510,$A710,$E$4:$E$1510,"Win")))*SUMIFS($Z$4:$Z$1510,$A$4:$A$1510,$A710,$E$4:$E$1510,"Loss"),-('Guide &amp; Settings'!$C$42/($F710-1))*$Z710)))</f>
        <v>0</v>
      </c>
      <c r="AB710" s="126">
        <f t="shared" si="236"/>
        <v>0</v>
      </c>
      <c r="AC710" s="126" t="str">
        <f>IF($D710="","",IF($AD710=0,0,IF(COUNTIFS($D$4:$D710,$D710,$B$4:$B710,$B710)&gt;1,0,IF($B710&lt;'Guide &amp; Settings'!$C$50,0,IF(($B710-$AD710)/7-'Guide &amp; Settings'!$C$48&gt;=0,(INT(($B710-$AD710)/7-'Guide &amp; Settings'!$C$48)+1)*'Guide &amp; Settings'!$C$49,0)))))</f>
        <v/>
      </c>
      <c r="AD710" s="142">
        <f t="shared" si="237"/>
        <v>0</v>
      </c>
      <c r="AE710">
        <f t="shared" si="238"/>
        <v>0</v>
      </c>
      <c r="AF710">
        <f t="shared" si="239"/>
        <v>0</v>
      </c>
    </row>
    <row r="711" spans="1:32" x14ac:dyDescent="0.2">
      <c r="A711" s="117"/>
      <c r="B711" s="118"/>
      <c r="C711" s="119"/>
      <c r="D711" s="119"/>
      <c r="E711" s="117"/>
      <c r="F711" s="120">
        <f t="shared" si="220"/>
        <v>0</v>
      </c>
      <c r="G711" s="121" t="str">
        <f t="shared" si="221"/>
        <v/>
      </c>
      <c r="H711" s="122">
        <f>IF($D711="",0,IFERROR(LOOKUP(2,1/(($D$3:D710=$D711)*($A$3:A710&lt;$A711)),$N$3:N710),'Guide &amp; Settings'!$C$41))</f>
        <v>0</v>
      </c>
      <c r="I711" s="123">
        <f t="shared" si="222"/>
        <v>0</v>
      </c>
      <c r="J711" s="124">
        <f>IF($D711="",0,IF($F711&lt;2,0,IF($E711="Win",('Guide &amp; Settings'!$C$42/(($F711-1)*COUNTIFS($A$4:$A$1510,$A711,$E$4:$E$1510,"Win")))*SUMIFS($X$4:$X$1510,$A$4:$A$1510,$A711,$E$4:$E$1510,"Loss"),-('Guide &amp; Settings'!$C$42/($F711-1))*$X711)))</f>
        <v>0</v>
      </c>
      <c r="K711" s="124">
        <f>IF($D711="",0,'Guide &amp; Settings'!$C$43*(IF($E711="Win",1,0)-$I711))</f>
        <v>0</v>
      </c>
      <c r="L711" s="125">
        <f>IF($D711="",0,'Guide &amp; Settings'!$C$44*IF($F711&gt;=3,$F711,0))</f>
        <v>0</v>
      </c>
      <c r="M711" s="124">
        <f t="shared" si="223"/>
        <v>0</v>
      </c>
      <c r="N711" s="122">
        <f t="shared" si="224"/>
        <v>0</v>
      </c>
      <c r="O711" s="121" t="str">
        <f t="shared" si="225"/>
        <v/>
      </c>
      <c r="P711">
        <f t="shared" si="226"/>
        <v>0</v>
      </c>
      <c r="Q711">
        <f t="shared" si="227"/>
        <v>0</v>
      </c>
      <c r="R711">
        <f t="shared" si="228"/>
        <v>0</v>
      </c>
      <c r="S711">
        <f t="shared" si="229"/>
        <v>0</v>
      </c>
      <c r="T711" s="89">
        <f t="shared" si="230"/>
        <v>0</v>
      </c>
      <c r="U711" s="126">
        <f>IF($D711="",0,IFERROR(LOOKUP(2,1/(($D$3:D710=$D711)*($C$3:C710=$C711)*($A$3:A710&lt;$A711)),$AB$3:AB710),1000))</f>
        <v>0</v>
      </c>
      <c r="V711" s="126">
        <f t="shared" si="231"/>
        <v>0</v>
      </c>
      <c r="W711">
        <f t="shared" si="232"/>
        <v>0</v>
      </c>
      <c r="X711">
        <f t="shared" si="233"/>
        <v>0</v>
      </c>
      <c r="Y711">
        <f t="shared" si="234"/>
        <v>0</v>
      </c>
      <c r="Z711">
        <f t="shared" si="235"/>
        <v>0</v>
      </c>
      <c r="AA711">
        <f>IF($D711="",0,IF($F711&lt;2,0,IF($E711="Win",('Guide &amp; Settings'!$C$42/(($F711-1)*COUNTIFS($A$4:$A$1510,$A711,$E$4:$E$1510,"Win")))*SUMIFS($Z$4:$Z$1510,$A$4:$A$1510,$A711,$E$4:$E$1510,"Loss"),-('Guide &amp; Settings'!$C$42/($F711-1))*$Z711)))</f>
        <v>0</v>
      </c>
      <c r="AB711" s="126">
        <f t="shared" si="236"/>
        <v>0</v>
      </c>
      <c r="AC711" s="126" t="str">
        <f>IF($D711="","",IF($AD711=0,0,IF(COUNTIFS($D$4:$D711,$D711,$B$4:$B711,$B711)&gt;1,0,IF($B711&lt;'Guide &amp; Settings'!$C$50,0,IF(($B711-$AD711)/7-'Guide &amp; Settings'!$C$48&gt;=0,(INT(($B711-$AD711)/7-'Guide &amp; Settings'!$C$48)+1)*'Guide &amp; Settings'!$C$49,0)))))</f>
        <v/>
      </c>
      <c r="AD711" s="142">
        <f t="shared" si="237"/>
        <v>0</v>
      </c>
      <c r="AE711">
        <f t="shared" si="238"/>
        <v>0</v>
      </c>
      <c r="AF711">
        <f t="shared" si="239"/>
        <v>0</v>
      </c>
    </row>
    <row r="712" spans="1:32" x14ac:dyDescent="0.2">
      <c r="A712" s="117"/>
      <c r="B712" s="118"/>
      <c r="C712" s="119"/>
      <c r="D712" s="119"/>
      <c r="E712" s="117"/>
      <c r="F712" s="120">
        <f t="shared" si="220"/>
        <v>0</v>
      </c>
      <c r="G712" s="121" t="str">
        <f t="shared" si="221"/>
        <v/>
      </c>
      <c r="H712" s="122">
        <f>IF($D712="",0,IFERROR(LOOKUP(2,1/(($D$3:D711=$D712)*($A$3:A711&lt;$A712)),$N$3:N711),'Guide &amp; Settings'!$C$41))</f>
        <v>0</v>
      </c>
      <c r="I712" s="123">
        <f t="shared" si="222"/>
        <v>0</v>
      </c>
      <c r="J712" s="124">
        <f>IF($D712="",0,IF($F712&lt;2,0,IF($E712="Win",('Guide &amp; Settings'!$C$42/(($F712-1)*COUNTIFS($A$4:$A$1510,$A712,$E$4:$E$1510,"Win")))*SUMIFS($X$4:$X$1510,$A$4:$A$1510,$A712,$E$4:$E$1510,"Loss"),-('Guide &amp; Settings'!$C$42/($F712-1))*$X712)))</f>
        <v>0</v>
      </c>
      <c r="K712" s="124">
        <f>IF($D712="",0,'Guide &amp; Settings'!$C$43*(IF($E712="Win",1,0)-$I712))</f>
        <v>0</v>
      </c>
      <c r="L712" s="125">
        <f>IF($D712="",0,'Guide &amp; Settings'!$C$44*IF($F712&gt;=3,$F712,0))</f>
        <v>0</v>
      </c>
      <c r="M712" s="124">
        <f t="shared" si="223"/>
        <v>0</v>
      </c>
      <c r="N712" s="122">
        <f t="shared" si="224"/>
        <v>0</v>
      </c>
      <c r="O712" s="121" t="str">
        <f t="shared" si="225"/>
        <v/>
      </c>
      <c r="P712">
        <f t="shared" si="226"/>
        <v>0</v>
      </c>
      <c r="Q712">
        <f t="shared" si="227"/>
        <v>0</v>
      </c>
      <c r="R712">
        <f t="shared" si="228"/>
        <v>0</v>
      </c>
      <c r="S712">
        <f t="shared" si="229"/>
        <v>0</v>
      </c>
      <c r="T712" s="89">
        <f t="shared" si="230"/>
        <v>0</v>
      </c>
      <c r="U712" s="126">
        <f>IF($D712="",0,IFERROR(LOOKUP(2,1/(($D$3:D711=$D712)*($C$3:C711=$C712)*($A$3:A711&lt;$A712)),$AB$3:AB711),1000))</f>
        <v>0</v>
      </c>
      <c r="V712" s="126">
        <f t="shared" si="231"/>
        <v>0</v>
      </c>
      <c r="W712">
        <f t="shared" si="232"/>
        <v>0</v>
      </c>
      <c r="X712">
        <f t="shared" si="233"/>
        <v>0</v>
      </c>
      <c r="Y712">
        <f t="shared" si="234"/>
        <v>0</v>
      </c>
      <c r="Z712">
        <f t="shared" si="235"/>
        <v>0</v>
      </c>
      <c r="AA712">
        <f>IF($D712="",0,IF($F712&lt;2,0,IF($E712="Win",('Guide &amp; Settings'!$C$42/(($F712-1)*COUNTIFS($A$4:$A$1510,$A712,$E$4:$E$1510,"Win")))*SUMIFS($Z$4:$Z$1510,$A$4:$A$1510,$A712,$E$4:$E$1510,"Loss"),-('Guide &amp; Settings'!$C$42/($F712-1))*$Z712)))</f>
        <v>0</v>
      </c>
      <c r="AB712" s="126">
        <f t="shared" si="236"/>
        <v>0</v>
      </c>
      <c r="AC712" s="126" t="str">
        <f>IF($D712="","",IF($AD712=0,0,IF(COUNTIFS($D$4:$D712,$D712,$B$4:$B712,$B712)&gt;1,0,IF($B712&lt;'Guide &amp; Settings'!$C$50,0,IF(($B712-$AD712)/7-'Guide &amp; Settings'!$C$48&gt;=0,(INT(($B712-$AD712)/7-'Guide &amp; Settings'!$C$48)+1)*'Guide &amp; Settings'!$C$49,0)))))</f>
        <v/>
      </c>
      <c r="AD712" s="142">
        <f t="shared" si="237"/>
        <v>0</v>
      </c>
      <c r="AE712">
        <f t="shared" si="238"/>
        <v>0</v>
      </c>
      <c r="AF712">
        <f t="shared" si="239"/>
        <v>0</v>
      </c>
    </row>
    <row r="713" spans="1:32" x14ac:dyDescent="0.2">
      <c r="A713" s="117"/>
      <c r="B713" s="118"/>
      <c r="C713" s="119"/>
      <c r="D713" s="119"/>
      <c r="E713" s="117"/>
      <c r="F713" s="120">
        <f t="shared" si="220"/>
        <v>0</v>
      </c>
      <c r="G713" s="121" t="str">
        <f t="shared" si="221"/>
        <v/>
      </c>
      <c r="H713" s="122">
        <f>IF($D713="",0,IFERROR(LOOKUP(2,1/(($D$3:D712=$D713)*($A$3:A712&lt;$A713)),$N$3:N712),'Guide &amp; Settings'!$C$41))</f>
        <v>0</v>
      </c>
      <c r="I713" s="123">
        <f t="shared" si="222"/>
        <v>0</v>
      </c>
      <c r="J713" s="124">
        <f>IF($D713="",0,IF($F713&lt;2,0,IF($E713="Win",('Guide &amp; Settings'!$C$42/(($F713-1)*COUNTIFS($A$4:$A$1510,$A713,$E$4:$E$1510,"Win")))*SUMIFS($X$4:$X$1510,$A$4:$A$1510,$A713,$E$4:$E$1510,"Loss"),-('Guide &amp; Settings'!$C$42/($F713-1))*$X713)))</f>
        <v>0</v>
      </c>
      <c r="K713" s="124">
        <f>IF($D713="",0,'Guide &amp; Settings'!$C$43*(IF($E713="Win",1,0)-$I713))</f>
        <v>0</v>
      </c>
      <c r="L713" s="125">
        <f>IF($D713="",0,'Guide &amp; Settings'!$C$44*IF($F713&gt;=3,$F713,0))</f>
        <v>0</v>
      </c>
      <c r="M713" s="124">
        <f t="shared" si="223"/>
        <v>0</v>
      </c>
      <c r="N713" s="122">
        <f t="shared" si="224"/>
        <v>0</v>
      </c>
      <c r="O713" s="121" t="str">
        <f t="shared" si="225"/>
        <v/>
      </c>
      <c r="P713">
        <f t="shared" si="226"/>
        <v>0</v>
      </c>
      <c r="Q713">
        <f t="shared" si="227"/>
        <v>0</v>
      </c>
      <c r="R713">
        <f t="shared" si="228"/>
        <v>0</v>
      </c>
      <c r="S713">
        <f t="shared" si="229"/>
        <v>0</v>
      </c>
      <c r="T713" s="89">
        <f t="shared" si="230"/>
        <v>0</v>
      </c>
      <c r="U713" s="126">
        <f>IF($D713="",0,IFERROR(LOOKUP(2,1/(($D$3:D712=$D713)*($C$3:C712=$C713)*($A$3:A712&lt;$A713)),$AB$3:AB712),1000))</f>
        <v>0</v>
      </c>
      <c r="V713" s="126">
        <f t="shared" si="231"/>
        <v>0</v>
      </c>
      <c r="W713">
        <f t="shared" si="232"/>
        <v>0</v>
      </c>
      <c r="X713">
        <f t="shared" si="233"/>
        <v>0</v>
      </c>
      <c r="Y713">
        <f t="shared" si="234"/>
        <v>0</v>
      </c>
      <c r="Z713">
        <f t="shared" si="235"/>
        <v>0</v>
      </c>
      <c r="AA713">
        <f>IF($D713="",0,IF($F713&lt;2,0,IF($E713="Win",('Guide &amp; Settings'!$C$42/(($F713-1)*COUNTIFS($A$4:$A$1510,$A713,$E$4:$E$1510,"Win")))*SUMIFS($Z$4:$Z$1510,$A$4:$A$1510,$A713,$E$4:$E$1510,"Loss"),-('Guide &amp; Settings'!$C$42/($F713-1))*$Z713)))</f>
        <v>0</v>
      </c>
      <c r="AB713" s="126">
        <f t="shared" si="236"/>
        <v>0</v>
      </c>
      <c r="AC713" s="126" t="str">
        <f>IF($D713="","",IF($AD713=0,0,IF(COUNTIFS($D$4:$D713,$D713,$B$4:$B713,$B713)&gt;1,0,IF($B713&lt;'Guide &amp; Settings'!$C$50,0,IF(($B713-$AD713)/7-'Guide &amp; Settings'!$C$48&gt;=0,(INT(($B713-$AD713)/7-'Guide &amp; Settings'!$C$48)+1)*'Guide &amp; Settings'!$C$49,0)))))</f>
        <v/>
      </c>
      <c r="AD713" s="142">
        <f t="shared" si="237"/>
        <v>0</v>
      </c>
      <c r="AE713">
        <f t="shared" si="238"/>
        <v>0</v>
      </c>
      <c r="AF713">
        <f t="shared" si="239"/>
        <v>0</v>
      </c>
    </row>
    <row r="714" spans="1:32" x14ac:dyDescent="0.2">
      <c r="A714" s="117"/>
      <c r="B714" s="118"/>
      <c r="C714" s="119"/>
      <c r="D714" s="119"/>
      <c r="E714" s="117"/>
      <c r="F714" s="120">
        <f t="shared" si="220"/>
        <v>0</v>
      </c>
      <c r="G714" s="121" t="str">
        <f t="shared" si="221"/>
        <v/>
      </c>
      <c r="H714" s="122">
        <f>IF($D714="",0,IFERROR(LOOKUP(2,1/(($D$3:D713=$D714)*($A$3:A713&lt;$A714)),$N$3:N713),'Guide &amp; Settings'!$C$41))</f>
        <v>0</v>
      </c>
      <c r="I714" s="123">
        <f t="shared" si="222"/>
        <v>0</v>
      </c>
      <c r="J714" s="124">
        <f>IF($D714="",0,IF($F714&lt;2,0,IF($E714="Win",('Guide &amp; Settings'!$C$42/(($F714-1)*COUNTIFS($A$4:$A$1510,$A714,$E$4:$E$1510,"Win")))*SUMIFS($X$4:$X$1510,$A$4:$A$1510,$A714,$E$4:$E$1510,"Loss"),-('Guide &amp; Settings'!$C$42/($F714-1))*$X714)))</f>
        <v>0</v>
      </c>
      <c r="K714" s="124">
        <f>IF($D714="",0,'Guide &amp; Settings'!$C$43*(IF($E714="Win",1,0)-$I714))</f>
        <v>0</v>
      </c>
      <c r="L714" s="125">
        <f>IF($D714="",0,'Guide &amp; Settings'!$C$44*IF($F714&gt;=3,$F714,0))</f>
        <v>0</v>
      </c>
      <c r="M714" s="124">
        <f t="shared" si="223"/>
        <v>0</v>
      </c>
      <c r="N714" s="122">
        <f t="shared" si="224"/>
        <v>0</v>
      </c>
      <c r="O714" s="121" t="str">
        <f t="shared" si="225"/>
        <v/>
      </c>
      <c r="P714">
        <f t="shared" si="226"/>
        <v>0</v>
      </c>
      <c r="Q714">
        <f t="shared" si="227"/>
        <v>0</v>
      </c>
      <c r="R714">
        <f t="shared" si="228"/>
        <v>0</v>
      </c>
      <c r="S714">
        <f t="shared" si="229"/>
        <v>0</v>
      </c>
      <c r="T714" s="89">
        <f t="shared" si="230"/>
        <v>0</v>
      </c>
      <c r="U714" s="126">
        <f>IF($D714="",0,IFERROR(LOOKUP(2,1/(($D$3:D713=$D714)*($C$3:C713=$C714)*($A$3:A713&lt;$A714)),$AB$3:AB713),1000))</f>
        <v>0</v>
      </c>
      <c r="V714" s="126">
        <f t="shared" si="231"/>
        <v>0</v>
      </c>
      <c r="W714">
        <f t="shared" si="232"/>
        <v>0</v>
      </c>
      <c r="X714">
        <f t="shared" si="233"/>
        <v>0</v>
      </c>
      <c r="Y714">
        <f t="shared" si="234"/>
        <v>0</v>
      </c>
      <c r="Z714">
        <f t="shared" si="235"/>
        <v>0</v>
      </c>
      <c r="AA714">
        <f>IF($D714="",0,IF($F714&lt;2,0,IF($E714="Win",('Guide &amp; Settings'!$C$42/(($F714-1)*COUNTIFS($A$4:$A$1510,$A714,$E$4:$E$1510,"Win")))*SUMIFS($Z$4:$Z$1510,$A$4:$A$1510,$A714,$E$4:$E$1510,"Loss"),-('Guide &amp; Settings'!$C$42/($F714-1))*$Z714)))</f>
        <v>0</v>
      </c>
      <c r="AB714" s="126">
        <f t="shared" si="236"/>
        <v>0</v>
      </c>
      <c r="AC714" s="126" t="str">
        <f>IF($D714="","",IF($AD714=0,0,IF(COUNTIFS($D$4:$D714,$D714,$B$4:$B714,$B714)&gt;1,0,IF($B714&lt;'Guide &amp; Settings'!$C$50,0,IF(($B714-$AD714)/7-'Guide &amp; Settings'!$C$48&gt;=0,(INT(($B714-$AD714)/7-'Guide &amp; Settings'!$C$48)+1)*'Guide &amp; Settings'!$C$49,0)))))</f>
        <v/>
      </c>
      <c r="AD714" s="142">
        <f t="shared" si="237"/>
        <v>0</v>
      </c>
      <c r="AE714">
        <f t="shared" si="238"/>
        <v>0</v>
      </c>
      <c r="AF714">
        <f t="shared" si="239"/>
        <v>0</v>
      </c>
    </row>
    <row r="715" spans="1:32" x14ac:dyDescent="0.2">
      <c r="A715" s="117"/>
      <c r="B715" s="118"/>
      <c r="C715" s="119"/>
      <c r="D715" s="119"/>
      <c r="E715" s="117"/>
      <c r="F715" s="120">
        <f t="shared" si="220"/>
        <v>0</v>
      </c>
      <c r="G715" s="121" t="str">
        <f t="shared" si="221"/>
        <v/>
      </c>
      <c r="H715" s="122">
        <f>IF($D715="",0,IFERROR(LOOKUP(2,1/(($D$3:D714=$D715)*($A$3:A714&lt;$A715)),$N$3:N714),'Guide &amp; Settings'!$C$41))</f>
        <v>0</v>
      </c>
      <c r="I715" s="123">
        <f t="shared" si="222"/>
        <v>0</v>
      </c>
      <c r="J715" s="124">
        <f>IF($D715="",0,IF($F715&lt;2,0,IF($E715="Win",('Guide &amp; Settings'!$C$42/(($F715-1)*COUNTIFS($A$4:$A$1510,$A715,$E$4:$E$1510,"Win")))*SUMIFS($X$4:$X$1510,$A$4:$A$1510,$A715,$E$4:$E$1510,"Loss"),-('Guide &amp; Settings'!$C$42/($F715-1))*$X715)))</f>
        <v>0</v>
      </c>
      <c r="K715" s="124">
        <f>IF($D715="",0,'Guide &amp; Settings'!$C$43*(IF($E715="Win",1,0)-$I715))</f>
        <v>0</v>
      </c>
      <c r="L715" s="125">
        <f>IF($D715="",0,'Guide &amp; Settings'!$C$44*IF($F715&gt;=3,$F715,0))</f>
        <v>0</v>
      </c>
      <c r="M715" s="124">
        <f t="shared" si="223"/>
        <v>0</v>
      </c>
      <c r="N715" s="122">
        <f t="shared" si="224"/>
        <v>0</v>
      </c>
      <c r="O715" s="121" t="str">
        <f t="shared" si="225"/>
        <v/>
      </c>
      <c r="P715">
        <f t="shared" si="226"/>
        <v>0</v>
      </c>
      <c r="Q715">
        <f t="shared" si="227"/>
        <v>0</v>
      </c>
      <c r="R715">
        <f t="shared" si="228"/>
        <v>0</v>
      </c>
      <c r="S715">
        <f t="shared" si="229"/>
        <v>0</v>
      </c>
      <c r="T715" s="89">
        <f t="shared" si="230"/>
        <v>0</v>
      </c>
      <c r="U715" s="126">
        <f>IF($D715="",0,IFERROR(LOOKUP(2,1/(($D$3:D714=$D715)*($C$3:C714=$C715)*($A$3:A714&lt;$A715)),$AB$3:AB714),1000))</f>
        <v>0</v>
      </c>
      <c r="V715" s="126">
        <f t="shared" si="231"/>
        <v>0</v>
      </c>
      <c r="W715">
        <f t="shared" si="232"/>
        <v>0</v>
      </c>
      <c r="X715">
        <f t="shared" si="233"/>
        <v>0</v>
      </c>
      <c r="Y715">
        <f t="shared" si="234"/>
        <v>0</v>
      </c>
      <c r="Z715">
        <f t="shared" si="235"/>
        <v>0</v>
      </c>
      <c r="AA715">
        <f>IF($D715="",0,IF($F715&lt;2,0,IF($E715="Win",('Guide &amp; Settings'!$C$42/(($F715-1)*COUNTIFS($A$4:$A$1510,$A715,$E$4:$E$1510,"Win")))*SUMIFS($Z$4:$Z$1510,$A$4:$A$1510,$A715,$E$4:$E$1510,"Loss"),-('Guide &amp; Settings'!$C$42/($F715-1))*$Z715)))</f>
        <v>0</v>
      </c>
      <c r="AB715" s="126">
        <f t="shared" si="236"/>
        <v>0</v>
      </c>
      <c r="AC715" s="126" t="str">
        <f>IF($D715="","",IF($AD715=0,0,IF(COUNTIFS($D$4:$D715,$D715,$B$4:$B715,$B715)&gt;1,0,IF($B715&lt;'Guide &amp; Settings'!$C$50,0,IF(($B715-$AD715)/7-'Guide &amp; Settings'!$C$48&gt;=0,(INT(($B715-$AD715)/7-'Guide &amp; Settings'!$C$48)+1)*'Guide &amp; Settings'!$C$49,0)))))</f>
        <v/>
      </c>
      <c r="AD715" s="142">
        <f t="shared" si="237"/>
        <v>0</v>
      </c>
      <c r="AE715">
        <f t="shared" si="238"/>
        <v>0</v>
      </c>
      <c r="AF715">
        <f t="shared" si="239"/>
        <v>0</v>
      </c>
    </row>
    <row r="716" spans="1:32" x14ac:dyDescent="0.2">
      <c r="A716" s="117"/>
      <c r="B716" s="118"/>
      <c r="C716" s="119"/>
      <c r="D716" s="119"/>
      <c r="E716" s="117"/>
      <c r="F716" s="120">
        <f t="shared" si="220"/>
        <v>0</v>
      </c>
      <c r="G716" s="121" t="str">
        <f t="shared" si="221"/>
        <v/>
      </c>
      <c r="H716" s="122">
        <f>IF($D716="",0,IFERROR(LOOKUP(2,1/(($D$3:D715=$D716)*($A$3:A715&lt;$A716)),$N$3:N715),'Guide &amp; Settings'!$C$41))</f>
        <v>0</v>
      </c>
      <c r="I716" s="123">
        <f t="shared" si="222"/>
        <v>0</v>
      </c>
      <c r="J716" s="124">
        <f>IF($D716="",0,IF($F716&lt;2,0,IF($E716="Win",('Guide &amp; Settings'!$C$42/(($F716-1)*COUNTIFS($A$4:$A$1510,$A716,$E$4:$E$1510,"Win")))*SUMIFS($X$4:$X$1510,$A$4:$A$1510,$A716,$E$4:$E$1510,"Loss"),-('Guide &amp; Settings'!$C$42/($F716-1))*$X716)))</f>
        <v>0</v>
      </c>
      <c r="K716" s="124">
        <f>IF($D716="",0,'Guide &amp; Settings'!$C$43*(IF($E716="Win",1,0)-$I716))</f>
        <v>0</v>
      </c>
      <c r="L716" s="125">
        <f>IF($D716="",0,'Guide &amp; Settings'!$C$44*IF($F716&gt;=3,$F716,0))</f>
        <v>0</v>
      </c>
      <c r="M716" s="124">
        <f t="shared" si="223"/>
        <v>0</v>
      </c>
      <c r="N716" s="122">
        <f t="shared" si="224"/>
        <v>0</v>
      </c>
      <c r="O716" s="121" t="str">
        <f t="shared" si="225"/>
        <v/>
      </c>
      <c r="P716">
        <f t="shared" si="226"/>
        <v>0</v>
      </c>
      <c r="Q716">
        <f t="shared" si="227"/>
        <v>0</v>
      </c>
      <c r="R716">
        <f t="shared" si="228"/>
        <v>0</v>
      </c>
      <c r="S716">
        <f t="shared" si="229"/>
        <v>0</v>
      </c>
      <c r="T716" s="89">
        <f t="shared" si="230"/>
        <v>0</v>
      </c>
      <c r="U716" s="126">
        <f>IF($D716="",0,IFERROR(LOOKUP(2,1/(($D$3:D715=$D716)*($C$3:C715=$C716)*($A$3:A715&lt;$A716)),$AB$3:AB715),1000))</f>
        <v>0</v>
      </c>
      <c r="V716" s="126">
        <f t="shared" si="231"/>
        <v>0</v>
      </c>
      <c r="W716">
        <f t="shared" si="232"/>
        <v>0</v>
      </c>
      <c r="X716">
        <f t="shared" si="233"/>
        <v>0</v>
      </c>
      <c r="Y716">
        <f t="shared" si="234"/>
        <v>0</v>
      </c>
      <c r="Z716">
        <f t="shared" si="235"/>
        <v>0</v>
      </c>
      <c r="AA716">
        <f>IF($D716="",0,IF($F716&lt;2,0,IF($E716="Win",('Guide &amp; Settings'!$C$42/(($F716-1)*COUNTIFS($A$4:$A$1510,$A716,$E$4:$E$1510,"Win")))*SUMIFS($Z$4:$Z$1510,$A$4:$A$1510,$A716,$E$4:$E$1510,"Loss"),-('Guide &amp; Settings'!$C$42/($F716-1))*$Z716)))</f>
        <v>0</v>
      </c>
      <c r="AB716" s="126">
        <f t="shared" si="236"/>
        <v>0</v>
      </c>
      <c r="AC716" s="126" t="str">
        <f>IF($D716="","",IF($AD716=0,0,IF(COUNTIFS($D$4:$D716,$D716,$B$4:$B716,$B716)&gt;1,0,IF($B716&lt;'Guide &amp; Settings'!$C$50,0,IF(($B716-$AD716)/7-'Guide &amp; Settings'!$C$48&gt;=0,(INT(($B716-$AD716)/7-'Guide &amp; Settings'!$C$48)+1)*'Guide &amp; Settings'!$C$49,0)))))</f>
        <v/>
      </c>
      <c r="AD716" s="142">
        <f t="shared" si="237"/>
        <v>0</v>
      </c>
      <c r="AE716">
        <f t="shared" si="238"/>
        <v>0</v>
      </c>
      <c r="AF716">
        <f t="shared" si="239"/>
        <v>0</v>
      </c>
    </row>
    <row r="717" spans="1:32" x14ac:dyDescent="0.2">
      <c r="A717" s="117"/>
      <c r="B717" s="118"/>
      <c r="C717" s="119"/>
      <c r="D717" s="119"/>
      <c r="E717" s="117"/>
      <c r="F717" s="120">
        <f t="shared" si="220"/>
        <v>0</v>
      </c>
      <c r="G717" s="121" t="str">
        <f t="shared" si="221"/>
        <v/>
      </c>
      <c r="H717" s="122">
        <f>IF($D717="",0,IFERROR(LOOKUP(2,1/(($D$3:D716=$D717)*($A$3:A716&lt;$A717)),$N$3:N716),'Guide &amp; Settings'!$C$41))</f>
        <v>0</v>
      </c>
      <c r="I717" s="123">
        <f t="shared" si="222"/>
        <v>0</v>
      </c>
      <c r="J717" s="124">
        <f>IF($D717="",0,IF($F717&lt;2,0,IF($E717="Win",('Guide &amp; Settings'!$C$42/(($F717-1)*COUNTIFS($A$4:$A$1510,$A717,$E$4:$E$1510,"Win")))*SUMIFS($X$4:$X$1510,$A$4:$A$1510,$A717,$E$4:$E$1510,"Loss"),-('Guide &amp; Settings'!$C$42/($F717-1))*$X717)))</f>
        <v>0</v>
      </c>
      <c r="K717" s="124">
        <f>IF($D717="",0,'Guide &amp; Settings'!$C$43*(IF($E717="Win",1,0)-$I717))</f>
        <v>0</v>
      </c>
      <c r="L717" s="125">
        <f>IF($D717="",0,'Guide &amp; Settings'!$C$44*IF($F717&gt;=3,$F717,0))</f>
        <v>0</v>
      </c>
      <c r="M717" s="124">
        <f t="shared" si="223"/>
        <v>0</v>
      </c>
      <c r="N717" s="122">
        <f t="shared" si="224"/>
        <v>0</v>
      </c>
      <c r="O717" s="121" t="str">
        <f t="shared" si="225"/>
        <v/>
      </c>
      <c r="P717">
        <f t="shared" si="226"/>
        <v>0</v>
      </c>
      <c r="Q717">
        <f t="shared" si="227"/>
        <v>0</v>
      </c>
      <c r="R717">
        <f t="shared" si="228"/>
        <v>0</v>
      </c>
      <c r="S717">
        <f t="shared" si="229"/>
        <v>0</v>
      </c>
      <c r="T717" s="89">
        <f t="shared" si="230"/>
        <v>0</v>
      </c>
      <c r="U717" s="126">
        <f>IF($D717="",0,IFERROR(LOOKUP(2,1/(($D$3:D716=$D717)*($C$3:C716=$C717)*($A$3:A716&lt;$A717)),$AB$3:AB716),1000))</f>
        <v>0</v>
      </c>
      <c r="V717" s="126">
        <f t="shared" si="231"/>
        <v>0</v>
      </c>
      <c r="W717">
        <f t="shared" si="232"/>
        <v>0</v>
      </c>
      <c r="X717">
        <f t="shared" si="233"/>
        <v>0</v>
      </c>
      <c r="Y717">
        <f t="shared" si="234"/>
        <v>0</v>
      </c>
      <c r="Z717">
        <f t="shared" si="235"/>
        <v>0</v>
      </c>
      <c r="AA717">
        <f>IF($D717="",0,IF($F717&lt;2,0,IF($E717="Win",('Guide &amp; Settings'!$C$42/(($F717-1)*COUNTIFS($A$4:$A$1510,$A717,$E$4:$E$1510,"Win")))*SUMIFS($Z$4:$Z$1510,$A$4:$A$1510,$A717,$E$4:$E$1510,"Loss"),-('Guide &amp; Settings'!$C$42/($F717-1))*$Z717)))</f>
        <v>0</v>
      </c>
      <c r="AB717" s="126">
        <f t="shared" si="236"/>
        <v>0</v>
      </c>
      <c r="AC717" s="126" t="str">
        <f>IF($D717="","",IF($AD717=0,0,IF(COUNTIFS($D$4:$D717,$D717,$B$4:$B717,$B717)&gt;1,0,IF($B717&lt;'Guide &amp; Settings'!$C$50,0,IF(($B717-$AD717)/7-'Guide &amp; Settings'!$C$48&gt;=0,(INT(($B717-$AD717)/7-'Guide &amp; Settings'!$C$48)+1)*'Guide &amp; Settings'!$C$49,0)))))</f>
        <v/>
      </c>
      <c r="AD717" s="142">
        <f t="shared" si="237"/>
        <v>0</v>
      </c>
      <c r="AE717">
        <f t="shared" si="238"/>
        <v>0</v>
      </c>
      <c r="AF717">
        <f t="shared" si="239"/>
        <v>0</v>
      </c>
    </row>
    <row r="718" spans="1:32" x14ac:dyDescent="0.2">
      <c r="A718" s="117"/>
      <c r="B718" s="118"/>
      <c r="C718" s="119"/>
      <c r="D718" s="119"/>
      <c r="E718" s="117"/>
      <c r="F718" s="120">
        <f t="shared" si="220"/>
        <v>0</v>
      </c>
      <c r="G718" s="121" t="str">
        <f t="shared" si="221"/>
        <v/>
      </c>
      <c r="H718" s="122">
        <f>IF($D718="",0,IFERROR(LOOKUP(2,1/(($D$3:D717=$D718)*($A$3:A717&lt;$A718)),$N$3:N717),'Guide &amp; Settings'!$C$41))</f>
        <v>0</v>
      </c>
      <c r="I718" s="123">
        <f t="shared" si="222"/>
        <v>0</v>
      </c>
      <c r="J718" s="124">
        <f>IF($D718="",0,IF($F718&lt;2,0,IF($E718="Win",('Guide &amp; Settings'!$C$42/(($F718-1)*COUNTIFS($A$4:$A$1510,$A718,$E$4:$E$1510,"Win")))*SUMIFS($X$4:$X$1510,$A$4:$A$1510,$A718,$E$4:$E$1510,"Loss"),-('Guide &amp; Settings'!$C$42/($F718-1))*$X718)))</f>
        <v>0</v>
      </c>
      <c r="K718" s="124">
        <f>IF($D718="",0,'Guide &amp; Settings'!$C$43*(IF($E718="Win",1,0)-$I718))</f>
        <v>0</v>
      </c>
      <c r="L718" s="125">
        <f>IF($D718="",0,'Guide &amp; Settings'!$C$44*IF($F718&gt;=3,$F718,0))</f>
        <v>0</v>
      </c>
      <c r="M718" s="124">
        <f t="shared" si="223"/>
        <v>0</v>
      </c>
      <c r="N718" s="122">
        <f t="shared" si="224"/>
        <v>0</v>
      </c>
      <c r="O718" s="121" t="str">
        <f t="shared" si="225"/>
        <v/>
      </c>
      <c r="P718">
        <f t="shared" si="226"/>
        <v>0</v>
      </c>
      <c r="Q718">
        <f t="shared" si="227"/>
        <v>0</v>
      </c>
      <c r="R718">
        <f t="shared" si="228"/>
        <v>0</v>
      </c>
      <c r="S718">
        <f t="shared" si="229"/>
        <v>0</v>
      </c>
      <c r="T718" s="89">
        <f t="shared" si="230"/>
        <v>0</v>
      </c>
      <c r="U718" s="126">
        <f>IF($D718="",0,IFERROR(LOOKUP(2,1/(($D$3:D717=$D718)*($C$3:C717=$C718)*($A$3:A717&lt;$A718)),$AB$3:AB717),1000))</f>
        <v>0</v>
      </c>
      <c r="V718" s="126">
        <f t="shared" si="231"/>
        <v>0</v>
      </c>
      <c r="W718">
        <f t="shared" si="232"/>
        <v>0</v>
      </c>
      <c r="X718">
        <f t="shared" si="233"/>
        <v>0</v>
      </c>
      <c r="Y718">
        <f t="shared" si="234"/>
        <v>0</v>
      </c>
      <c r="Z718">
        <f t="shared" si="235"/>
        <v>0</v>
      </c>
      <c r="AA718">
        <f>IF($D718="",0,IF($F718&lt;2,0,IF($E718="Win",('Guide &amp; Settings'!$C$42/(($F718-1)*COUNTIFS($A$4:$A$1510,$A718,$E$4:$E$1510,"Win")))*SUMIFS($Z$4:$Z$1510,$A$4:$A$1510,$A718,$E$4:$E$1510,"Loss"),-('Guide &amp; Settings'!$C$42/($F718-1))*$Z718)))</f>
        <v>0</v>
      </c>
      <c r="AB718" s="126">
        <f t="shared" si="236"/>
        <v>0</v>
      </c>
      <c r="AC718" s="126" t="str">
        <f>IF($D718="","",IF($AD718=0,0,IF(COUNTIFS($D$4:$D718,$D718,$B$4:$B718,$B718)&gt;1,0,IF($B718&lt;'Guide &amp; Settings'!$C$50,0,IF(($B718-$AD718)/7-'Guide &amp; Settings'!$C$48&gt;=0,(INT(($B718-$AD718)/7-'Guide &amp; Settings'!$C$48)+1)*'Guide &amp; Settings'!$C$49,0)))))</f>
        <v/>
      </c>
      <c r="AD718" s="142">
        <f t="shared" si="237"/>
        <v>0</v>
      </c>
      <c r="AE718">
        <f t="shared" si="238"/>
        <v>0</v>
      </c>
      <c r="AF718">
        <f t="shared" si="239"/>
        <v>0</v>
      </c>
    </row>
    <row r="719" spans="1:32" x14ac:dyDescent="0.2">
      <c r="A719" s="117"/>
      <c r="B719" s="118"/>
      <c r="C719" s="119"/>
      <c r="D719" s="119"/>
      <c r="E719" s="117"/>
      <c r="F719" s="120">
        <f t="shared" si="220"/>
        <v>0</v>
      </c>
      <c r="G719" s="121" t="str">
        <f t="shared" si="221"/>
        <v/>
      </c>
      <c r="H719" s="122">
        <f>IF($D719="",0,IFERROR(LOOKUP(2,1/(($D$3:D718=$D719)*($A$3:A718&lt;$A719)),$N$3:N718),'Guide &amp; Settings'!$C$41))</f>
        <v>0</v>
      </c>
      <c r="I719" s="123">
        <f t="shared" si="222"/>
        <v>0</v>
      </c>
      <c r="J719" s="124">
        <f>IF($D719="",0,IF($F719&lt;2,0,IF($E719="Win",('Guide &amp; Settings'!$C$42/(($F719-1)*COUNTIFS($A$4:$A$1510,$A719,$E$4:$E$1510,"Win")))*SUMIFS($X$4:$X$1510,$A$4:$A$1510,$A719,$E$4:$E$1510,"Loss"),-('Guide &amp; Settings'!$C$42/($F719-1))*$X719)))</f>
        <v>0</v>
      </c>
      <c r="K719" s="124">
        <f>IF($D719="",0,'Guide &amp; Settings'!$C$43*(IF($E719="Win",1,0)-$I719))</f>
        <v>0</v>
      </c>
      <c r="L719" s="125">
        <f>IF($D719="",0,'Guide &amp; Settings'!$C$44*IF($F719&gt;=3,$F719,0))</f>
        <v>0</v>
      </c>
      <c r="M719" s="124">
        <f t="shared" si="223"/>
        <v>0</v>
      </c>
      <c r="N719" s="122">
        <f t="shared" si="224"/>
        <v>0</v>
      </c>
      <c r="O719" s="121" t="str">
        <f t="shared" si="225"/>
        <v/>
      </c>
      <c r="P719">
        <f t="shared" si="226"/>
        <v>0</v>
      </c>
      <c r="Q719">
        <f t="shared" si="227"/>
        <v>0</v>
      </c>
      <c r="R719">
        <f t="shared" si="228"/>
        <v>0</v>
      </c>
      <c r="S719">
        <f t="shared" si="229"/>
        <v>0</v>
      </c>
      <c r="T719" s="89">
        <f t="shared" si="230"/>
        <v>0</v>
      </c>
      <c r="U719" s="126">
        <f>IF($D719="",0,IFERROR(LOOKUP(2,1/(($D$3:D718=$D719)*($C$3:C718=$C719)*($A$3:A718&lt;$A719)),$AB$3:AB718),1000))</f>
        <v>0</v>
      </c>
      <c r="V719" s="126">
        <f t="shared" si="231"/>
        <v>0</v>
      </c>
      <c r="W719">
        <f t="shared" si="232"/>
        <v>0</v>
      </c>
      <c r="X719">
        <f t="shared" si="233"/>
        <v>0</v>
      </c>
      <c r="Y719">
        <f t="shared" si="234"/>
        <v>0</v>
      </c>
      <c r="Z719">
        <f t="shared" si="235"/>
        <v>0</v>
      </c>
      <c r="AA719">
        <f>IF($D719="",0,IF($F719&lt;2,0,IF($E719="Win",('Guide &amp; Settings'!$C$42/(($F719-1)*COUNTIFS($A$4:$A$1510,$A719,$E$4:$E$1510,"Win")))*SUMIFS($Z$4:$Z$1510,$A$4:$A$1510,$A719,$E$4:$E$1510,"Loss"),-('Guide &amp; Settings'!$C$42/($F719-1))*$Z719)))</f>
        <v>0</v>
      </c>
      <c r="AB719" s="126">
        <f t="shared" si="236"/>
        <v>0</v>
      </c>
      <c r="AC719" s="126" t="str">
        <f>IF($D719="","",IF($AD719=0,0,IF(COUNTIFS($D$4:$D719,$D719,$B$4:$B719,$B719)&gt;1,0,IF($B719&lt;'Guide &amp; Settings'!$C$50,0,IF(($B719-$AD719)/7-'Guide &amp; Settings'!$C$48&gt;=0,(INT(($B719-$AD719)/7-'Guide &amp; Settings'!$C$48)+1)*'Guide &amp; Settings'!$C$49,0)))))</f>
        <v/>
      </c>
      <c r="AD719" s="142">
        <f t="shared" si="237"/>
        <v>0</v>
      </c>
      <c r="AE719">
        <f t="shared" si="238"/>
        <v>0</v>
      </c>
      <c r="AF719">
        <f t="shared" si="239"/>
        <v>0</v>
      </c>
    </row>
    <row r="720" spans="1:32" x14ac:dyDescent="0.2">
      <c r="A720" s="117"/>
      <c r="B720" s="118"/>
      <c r="C720" s="119"/>
      <c r="D720" s="119"/>
      <c r="E720" s="117"/>
      <c r="F720" s="120">
        <f t="shared" si="220"/>
        <v>0</v>
      </c>
      <c r="G720" s="121" t="str">
        <f t="shared" si="221"/>
        <v/>
      </c>
      <c r="H720" s="122">
        <f>IF($D720="",0,IFERROR(LOOKUP(2,1/(($D$3:D719=$D720)*($A$3:A719&lt;$A720)),$N$3:N719),'Guide &amp; Settings'!$C$41))</f>
        <v>0</v>
      </c>
      <c r="I720" s="123">
        <f t="shared" si="222"/>
        <v>0</v>
      </c>
      <c r="J720" s="124">
        <f>IF($D720="",0,IF($F720&lt;2,0,IF($E720="Win",('Guide &amp; Settings'!$C$42/(($F720-1)*COUNTIFS($A$4:$A$1510,$A720,$E$4:$E$1510,"Win")))*SUMIFS($X$4:$X$1510,$A$4:$A$1510,$A720,$E$4:$E$1510,"Loss"),-('Guide &amp; Settings'!$C$42/($F720-1))*$X720)))</f>
        <v>0</v>
      </c>
      <c r="K720" s="124">
        <f>IF($D720="",0,'Guide &amp; Settings'!$C$43*(IF($E720="Win",1,0)-$I720))</f>
        <v>0</v>
      </c>
      <c r="L720" s="125">
        <f>IF($D720="",0,'Guide &amp; Settings'!$C$44*IF($F720&gt;=3,$F720,0))</f>
        <v>0</v>
      </c>
      <c r="M720" s="124">
        <f t="shared" si="223"/>
        <v>0</v>
      </c>
      <c r="N720" s="122">
        <f t="shared" si="224"/>
        <v>0</v>
      </c>
      <c r="O720" s="121" t="str">
        <f t="shared" si="225"/>
        <v/>
      </c>
      <c r="P720">
        <f t="shared" si="226"/>
        <v>0</v>
      </c>
      <c r="Q720">
        <f t="shared" si="227"/>
        <v>0</v>
      </c>
      <c r="R720">
        <f t="shared" si="228"/>
        <v>0</v>
      </c>
      <c r="S720">
        <f t="shared" si="229"/>
        <v>0</v>
      </c>
      <c r="T720" s="89">
        <f t="shared" si="230"/>
        <v>0</v>
      </c>
      <c r="U720" s="126">
        <f>IF($D720="",0,IFERROR(LOOKUP(2,1/(($D$3:D719=$D720)*($C$3:C719=$C720)*($A$3:A719&lt;$A720)),$AB$3:AB719),1000))</f>
        <v>0</v>
      </c>
      <c r="V720" s="126">
        <f t="shared" si="231"/>
        <v>0</v>
      </c>
      <c r="W720">
        <f t="shared" si="232"/>
        <v>0</v>
      </c>
      <c r="X720">
        <f t="shared" si="233"/>
        <v>0</v>
      </c>
      <c r="Y720">
        <f t="shared" si="234"/>
        <v>0</v>
      </c>
      <c r="Z720">
        <f t="shared" si="235"/>
        <v>0</v>
      </c>
      <c r="AA720">
        <f>IF($D720="",0,IF($F720&lt;2,0,IF($E720="Win",('Guide &amp; Settings'!$C$42/(($F720-1)*COUNTIFS($A$4:$A$1510,$A720,$E$4:$E$1510,"Win")))*SUMIFS($Z$4:$Z$1510,$A$4:$A$1510,$A720,$E$4:$E$1510,"Loss"),-('Guide &amp; Settings'!$C$42/($F720-1))*$Z720)))</f>
        <v>0</v>
      </c>
      <c r="AB720" s="126">
        <f t="shared" si="236"/>
        <v>0</v>
      </c>
      <c r="AC720" s="126" t="str">
        <f>IF($D720="","",IF($AD720=0,0,IF(COUNTIFS($D$4:$D720,$D720,$B$4:$B720,$B720)&gt;1,0,IF($B720&lt;'Guide &amp; Settings'!$C$50,0,IF(($B720-$AD720)/7-'Guide &amp; Settings'!$C$48&gt;=0,(INT(($B720-$AD720)/7-'Guide &amp; Settings'!$C$48)+1)*'Guide &amp; Settings'!$C$49,0)))))</f>
        <v/>
      </c>
      <c r="AD720" s="142">
        <f t="shared" si="237"/>
        <v>0</v>
      </c>
      <c r="AE720">
        <f t="shared" si="238"/>
        <v>0</v>
      </c>
      <c r="AF720">
        <f t="shared" si="239"/>
        <v>0</v>
      </c>
    </row>
    <row r="721" spans="1:32" x14ac:dyDescent="0.2">
      <c r="A721" s="117"/>
      <c r="B721" s="118"/>
      <c r="C721" s="119"/>
      <c r="D721" s="119"/>
      <c r="E721" s="117"/>
      <c r="F721" s="120">
        <f t="shared" si="220"/>
        <v>0</v>
      </c>
      <c r="G721" s="121" t="str">
        <f t="shared" si="221"/>
        <v/>
      </c>
      <c r="H721" s="122">
        <f>IF($D721="",0,IFERROR(LOOKUP(2,1/(($D$3:D720=$D721)*($A$3:A720&lt;$A721)),$N$3:N720),'Guide &amp; Settings'!$C$41))</f>
        <v>0</v>
      </c>
      <c r="I721" s="123">
        <f t="shared" si="222"/>
        <v>0</v>
      </c>
      <c r="J721" s="124">
        <f>IF($D721="",0,IF($F721&lt;2,0,IF($E721="Win",('Guide &amp; Settings'!$C$42/(($F721-1)*COUNTIFS($A$4:$A$1510,$A721,$E$4:$E$1510,"Win")))*SUMIFS($X$4:$X$1510,$A$4:$A$1510,$A721,$E$4:$E$1510,"Loss"),-('Guide &amp; Settings'!$C$42/($F721-1))*$X721)))</f>
        <v>0</v>
      </c>
      <c r="K721" s="124">
        <f>IF($D721="",0,'Guide &amp; Settings'!$C$43*(IF($E721="Win",1,0)-$I721))</f>
        <v>0</v>
      </c>
      <c r="L721" s="125">
        <f>IF($D721="",0,'Guide &amp; Settings'!$C$44*IF($F721&gt;=3,$F721,0))</f>
        <v>0</v>
      </c>
      <c r="M721" s="124">
        <f t="shared" si="223"/>
        <v>0</v>
      </c>
      <c r="N721" s="122">
        <f t="shared" si="224"/>
        <v>0</v>
      </c>
      <c r="O721" s="121" t="str">
        <f t="shared" si="225"/>
        <v/>
      </c>
      <c r="P721">
        <f t="shared" si="226"/>
        <v>0</v>
      </c>
      <c r="Q721">
        <f t="shared" si="227"/>
        <v>0</v>
      </c>
      <c r="R721">
        <f t="shared" si="228"/>
        <v>0</v>
      </c>
      <c r="S721">
        <f t="shared" si="229"/>
        <v>0</v>
      </c>
      <c r="T721" s="89">
        <f t="shared" si="230"/>
        <v>0</v>
      </c>
      <c r="U721" s="126">
        <f>IF($D721="",0,IFERROR(LOOKUP(2,1/(($D$3:D720=$D721)*($C$3:C720=$C721)*($A$3:A720&lt;$A721)),$AB$3:AB720),1000))</f>
        <v>0</v>
      </c>
      <c r="V721" s="126">
        <f t="shared" si="231"/>
        <v>0</v>
      </c>
      <c r="W721">
        <f t="shared" si="232"/>
        <v>0</v>
      </c>
      <c r="X721">
        <f t="shared" si="233"/>
        <v>0</v>
      </c>
      <c r="Y721">
        <f t="shared" si="234"/>
        <v>0</v>
      </c>
      <c r="Z721">
        <f t="shared" si="235"/>
        <v>0</v>
      </c>
      <c r="AA721">
        <f>IF($D721="",0,IF($F721&lt;2,0,IF($E721="Win",('Guide &amp; Settings'!$C$42/(($F721-1)*COUNTIFS($A$4:$A$1510,$A721,$E$4:$E$1510,"Win")))*SUMIFS($Z$4:$Z$1510,$A$4:$A$1510,$A721,$E$4:$E$1510,"Loss"),-('Guide &amp; Settings'!$C$42/($F721-1))*$Z721)))</f>
        <v>0</v>
      </c>
      <c r="AB721" s="126">
        <f t="shared" si="236"/>
        <v>0</v>
      </c>
      <c r="AC721" s="126" t="str">
        <f>IF($D721="","",IF($AD721=0,0,IF(COUNTIFS($D$4:$D721,$D721,$B$4:$B721,$B721)&gt;1,0,IF($B721&lt;'Guide &amp; Settings'!$C$50,0,IF(($B721-$AD721)/7-'Guide &amp; Settings'!$C$48&gt;=0,(INT(($B721-$AD721)/7-'Guide &amp; Settings'!$C$48)+1)*'Guide &amp; Settings'!$C$49,0)))))</f>
        <v/>
      </c>
      <c r="AD721" s="142">
        <f t="shared" si="237"/>
        <v>0</v>
      </c>
      <c r="AE721">
        <f t="shared" si="238"/>
        <v>0</v>
      </c>
      <c r="AF721">
        <f t="shared" si="239"/>
        <v>0</v>
      </c>
    </row>
    <row r="722" spans="1:32" x14ac:dyDescent="0.2">
      <c r="A722" s="117"/>
      <c r="B722" s="118"/>
      <c r="C722" s="119"/>
      <c r="D722" s="119"/>
      <c r="E722" s="117"/>
      <c r="F722" s="120">
        <f t="shared" si="220"/>
        <v>0</v>
      </c>
      <c r="G722" s="121" t="str">
        <f t="shared" si="221"/>
        <v/>
      </c>
      <c r="H722" s="122">
        <f>IF($D722="",0,IFERROR(LOOKUP(2,1/(($D$3:D721=$D722)*($A$3:A721&lt;$A722)),$N$3:N721),'Guide &amp; Settings'!$C$41))</f>
        <v>0</v>
      </c>
      <c r="I722" s="123">
        <f t="shared" si="222"/>
        <v>0</v>
      </c>
      <c r="J722" s="124">
        <f>IF($D722="",0,IF($F722&lt;2,0,IF($E722="Win",('Guide &amp; Settings'!$C$42/(($F722-1)*COUNTIFS($A$4:$A$1510,$A722,$E$4:$E$1510,"Win")))*SUMIFS($X$4:$X$1510,$A$4:$A$1510,$A722,$E$4:$E$1510,"Loss"),-('Guide &amp; Settings'!$C$42/($F722-1))*$X722)))</f>
        <v>0</v>
      </c>
      <c r="K722" s="124">
        <f>IF($D722="",0,'Guide &amp; Settings'!$C$43*(IF($E722="Win",1,0)-$I722))</f>
        <v>0</v>
      </c>
      <c r="L722" s="125">
        <f>IF($D722="",0,'Guide &amp; Settings'!$C$44*IF($F722&gt;=3,$F722,0))</f>
        <v>0</v>
      </c>
      <c r="M722" s="124">
        <f t="shared" si="223"/>
        <v>0</v>
      </c>
      <c r="N722" s="122">
        <f t="shared" si="224"/>
        <v>0</v>
      </c>
      <c r="O722" s="121" t="str">
        <f t="shared" si="225"/>
        <v/>
      </c>
      <c r="P722">
        <f t="shared" si="226"/>
        <v>0</v>
      </c>
      <c r="Q722">
        <f t="shared" si="227"/>
        <v>0</v>
      </c>
      <c r="R722">
        <f t="shared" si="228"/>
        <v>0</v>
      </c>
      <c r="S722">
        <f t="shared" si="229"/>
        <v>0</v>
      </c>
      <c r="T722" s="89">
        <f t="shared" si="230"/>
        <v>0</v>
      </c>
      <c r="U722" s="126">
        <f>IF($D722="",0,IFERROR(LOOKUP(2,1/(($D$3:D721=$D722)*($C$3:C721=$C722)*($A$3:A721&lt;$A722)),$AB$3:AB721),1000))</f>
        <v>0</v>
      </c>
      <c r="V722" s="126">
        <f t="shared" si="231"/>
        <v>0</v>
      </c>
      <c r="W722">
        <f t="shared" si="232"/>
        <v>0</v>
      </c>
      <c r="X722">
        <f t="shared" si="233"/>
        <v>0</v>
      </c>
      <c r="Y722">
        <f t="shared" si="234"/>
        <v>0</v>
      </c>
      <c r="Z722">
        <f t="shared" si="235"/>
        <v>0</v>
      </c>
      <c r="AA722">
        <f>IF($D722="",0,IF($F722&lt;2,0,IF($E722="Win",('Guide &amp; Settings'!$C$42/(($F722-1)*COUNTIFS($A$4:$A$1510,$A722,$E$4:$E$1510,"Win")))*SUMIFS($Z$4:$Z$1510,$A$4:$A$1510,$A722,$E$4:$E$1510,"Loss"),-('Guide &amp; Settings'!$C$42/($F722-1))*$Z722)))</f>
        <v>0</v>
      </c>
      <c r="AB722" s="126">
        <f t="shared" si="236"/>
        <v>0</v>
      </c>
      <c r="AC722" s="126" t="str">
        <f>IF($D722="","",IF($AD722=0,0,IF(COUNTIFS($D$4:$D722,$D722,$B$4:$B722,$B722)&gt;1,0,IF($B722&lt;'Guide &amp; Settings'!$C$50,0,IF(($B722-$AD722)/7-'Guide &amp; Settings'!$C$48&gt;=0,(INT(($B722-$AD722)/7-'Guide &amp; Settings'!$C$48)+1)*'Guide &amp; Settings'!$C$49,0)))))</f>
        <v/>
      </c>
      <c r="AD722" s="142">
        <f t="shared" si="237"/>
        <v>0</v>
      </c>
      <c r="AE722">
        <f t="shared" si="238"/>
        <v>0</v>
      </c>
      <c r="AF722">
        <f t="shared" si="239"/>
        <v>0</v>
      </c>
    </row>
    <row r="723" spans="1:32" x14ac:dyDescent="0.2">
      <c r="A723" s="117"/>
      <c r="B723" s="118"/>
      <c r="C723" s="119"/>
      <c r="D723" s="119"/>
      <c r="E723" s="117"/>
      <c r="F723" s="120">
        <f t="shared" si="220"/>
        <v>0</v>
      </c>
      <c r="G723" s="121" t="str">
        <f t="shared" si="221"/>
        <v/>
      </c>
      <c r="H723" s="122">
        <f>IF($D723="",0,IFERROR(LOOKUP(2,1/(($D$3:D722=$D723)*($A$3:A722&lt;$A723)),$N$3:N722),'Guide &amp; Settings'!$C$41))</f>
        <v>0</v>
      </c>
      <c r="I723" s="123">
        <f t="shared" si="222"/>
        <v>0</v>
      </c>
      <c r="J723" s="124">
        <f>IF($D723="",0,IF($F723&lt;2,0,IF($E723="Win",('Guide &amp; Settings'!$C$42/(($F723-1)*COUNTIFS($A$4:$A$1510,$A723,$E$4:$E$1510,"Win")))*SUMIFS($X$4:$X$1510,$A$4:$A$1510,$A723,$E$4:$E$1510,"Loss"),-('Guide &amp; Settings'!$C$42/($F723-1))*$X723)))</f>
        <v>0</v>
      </c>
      <c r="K723" s="124">
        <f>IF($D723="",0,'Guide &amp; Settings'!$C$43*(IF($E723="Win",1,0)-$I723))</f>
        <v>0</v>
      </c>
      <c r="L723" s="125">
        <f>IF($D723="",0,'Guide &amp; Settings'!$C$44*IF($F723&gt;=3,$F723,0))</f>
        <v>0</v>
      </c>
      <c r="M723" s="124">
        <f t="shared" si="223"/>
        <v>0</v>
      </c>
      <c r="N723" s="122">
        <f t="shared" si="224"/>
        <v>0</v>
      </c>
      <c r="O723" s="121" t="str">
        <f t="shared" si="225"/>
        <v/>
      </c>
      <c r="P723">
        <f t="shared" si="226"/>
        <v>0</v>
      </c>
      <c r="Q723">
        <f t="shared" si="227"/>
        <v>0</v>
      </c>
      <c r="R723">
        <f t="shared" si="228"/>
        <v>0</v>
      </c>
      <c r="S723">
        <f t="shared" si="229"/>
        <v>0</v>
      </c>
      <c r="T723" s="89">
        <f t="shared" si="230"/>
        <v>0</v>
      </c>
      <c r="U723" s="126">
        <f>IF($D723="",0,IFERROR(LOOKUP(2,1/(($D$3:D722=$D723)*($C$3:C722=$C723)*($A$3:A722&lt;$A723)),$AB$3:AB722),1000))</f>
        <v>0</v>
      </c>
      <c r="V723" s="126">
        <f t="shared" si="231"/>
        <v>0</v>
      </c>
      <c r="W723">
        <f t="shared" si="232"/>
        <v>0</v>
      </c>
      <c r="X723">
        <f t="shared" si="233"/>
        <v>0</v>
      </c>
      <c r="Y723">
        <f t="shared" si="234"/>
        <v>0</v>
      </c>
      <c r="Z723">
        <f t="shared" si="235"/>
        <v>0</v>
      </c>
      <c r="AA723">
        <f>IF($D723="",0,IF($F723&lt;2,0,IF($E723="Win",('Guide &amp; Settings'!$C$42/(($F723-1)*COUNTIFS($A$4:$A$1510,$A723,$E$4:$E$1510,"Win")))*SUMIFS($Z$4:$Z$1510,$A$4:$A$1510,$A723,$E$4:$E$1510,"Loss"),-('Guide &amp; Settings'!$C$42/($F723-1))*$Z723)))</f>
        <v>0</v>
      </c>
      <c r="AB723" s="126">
        <f t="shared" si="236"/>
        <v>0</v>
      </c>
      <c r="AC723" s="126" t="str">
        <f>IF($D723="","",IF($AD723=0,0,IF(COUNTIFS($D$4:$D723,$D723,$B$4:$B723,$B723)&gt;1,0,IF($B723&lt;'Guide &amp; Settings'!$C$50,0,IF(($B723-$AD723)/7-'Guide &amp; Settings'!$C$48&gt;=0,(INT(($B723-$AD723)/7-'Guide &amp; Settings'!$C$48)+1)*'Guide &amp; Settings'!$C$49,0)))))</f>
        <v/>
      </c>
      <c r="AD723" s="142">
        <f t="shared" si="237"/>
        <v>0</v>
      </c>
      <c r="AE723">
        <f t="shared" si="238"/>
        <v>0</v>
      </c>
      <c r="AF723">
        <f t="shared" si="239"/>
        <v>0</v>
      </c>
    </row>
    <row r="724" spans="1:32" x14ac:dyDescent="0.2">
      <c r="A724" s="117"/>
      <c r="B724" s="118"/>
      <c r="C724" s="119"/>
      <c r="D724" s="119"/>
      <c r="E724" s="117"/>
      <c r="F724" s="120">
        <f t="shared" si="220"/>
        <v>0</v>
      </c>
      <c r="G724" s="121" t="str">
        <f t="shared" si="221"/>
        <v/>
      </c>
      <c r="H724" s="122">
        <f>IF($D724="",0,IFERROR(LOOKUP(2,1/(($D$3:D723=$D724)*($A$3:A723&lt;$A724)),$N$3:N723),'Guide &amp; Settings'!$C$41))</f>
        <v>0</v>
      </c>
      <c r="I724" s="123">
        <f t="shared" si="222"/>
        <v>0</v>
      </c>
      <c r="J724" s="124">
        <f>IF($D724="",0,IF($F724&lt;2,0,IF($E724="Win",('Guide &amp; Settings'!$C$42/(($F724-1)*COUNTIFS($A$4:$A$1510,$A724,$E$4:$E$1510,"Win")))*SUMIFS($X$4:$X$1510,$A$4:$A$1510,$A724,$E$4:$E$1510,"Loss"),-('Guide &amp; Settings'!$C$42/($F724-1))*$X724)))</f>
        <v>0</v>
      </c>
      <c r="K724" s="124">
        <f>IF($D724="",0,'Guide &amp; Settings'!$C$43*(IF($E724="Win",1,0)-$I724))</f>
        <v>0</v>
      </c>
      <c r="L724" s="125">
        <f>IF($D724="",0,'Guide &amp; Settings'!$C$44*IF($F724&gt;=3,$F724,0))</f>
        <v>0</v>
      </c>
      <c r="M724" s="124">
        <f t="shared" si="223"/>
        <v>0</v>
      </c>
      <c r="N724" s="122">
        <f t="shared" si="224"/>
        <v>0</v>
      </c>
      <c r="O724" s="121" t="str">
        <f t="shared" si="225"/>
        <v/>
      </c>
      <c r="P724">
        <f t="shared" si="226"/>
        <v>0</v>
      </c>
      <c r="Q724">
        <f t="shared" si="227"/>
        <v>0</v>
      </c>
      <c r="R724">
        <f t="shared" si="228"/>
        <v>0</v>
      </c>
      <c r="S724">
        <f t="shared" si="229"/>
        <v>0</v>
      </c>
      <c r="T724" s="89">
        <f t="shared" si="230"/>
        <v>0</v>
      </c>
      <c r="U724" s="126">
        <f>IF($D724="",0,IFERROR(LOOKUP(2,1/(($D$3:D723=$D724)*($C$3:C723=$C724)*($A$3:A723&lt;$A724)),$AB$3:AB723),1000))</f>
        <v>0</v>
      </c>
      <c r="V724" s="126">
        <f t="shared" si="231"/>
        <v>0</v>
      </c>
      <c r="W724">
        <f t="shared" si="232"/>
        <v>0</v>
      </c>
      <c r="X724">
        <f t="shared" si="233"/>
        <v>0</v>
      </c>
      <c r="Y724">
        <f t="shared" si="234"/>
        <v>0</v>
      </c>
      <c r="Z724">
        <f t="shared" si="235"/>
        <v>0</v>
      </c>
      <c r="AA724">
        <f>IF($D724="",0,IF($F724&lt;2,0,IF($E724="Win",('Guide &amp; Settings'!$C$42/(($F724-1)*COUNTIFS($A$4:$A$1510,$A724,$E$4:$E$1510,"Win")))*SUMIFS($Z$4:$Z$1510,$A$4:$A$1510,$A724,$E$4:$E$1510,"Loss"),-('Guide &amp; Settings'!$C$42/($F724-1))*$Z724)))</f>
        <v>0</v>
      </c>
      <c r="AB724" s="126">
        <f t="shared" si="236"/>
        <v>0</v>
      </c>
      <c r="AC724" s="126" t="str">
        <f>IF($D724="","",IF($AD724=0,0,IF(COUNTIFS($D$4:$D724,$D724,$B$4:$B724,$B724)&gt;1,0,IF($B724&lt;'Guide &amp; Settings'!$C$50,0,IF(($B724-$AD724)/7-'Guide &amp; Settings'!$C$48&gt;=0,(INT(($B724-$AD724)/7-'Guide &amp; Settings'!$C$48)+1)*'Guide &amp; Settings'!$C$49,0)))))</f>
        <v/>
      </c>
      <c r="AD724" s="142">
        <f t="shared" si="237"/>
        <v>0</v>
      </c>
      <c r="AE724">
        <f t="shared" si="238"/>
        <v>0</v>
      </c>
      <c r="AF724">
        <f t="shared" si="239"/>
        <v>0</v>
      </c>
    </row>
    <row r="725" spans="1:32" x14ac:dyDescent="0.2">
      <c r="A725" s="117"/>
      <c r="B725" s="118"/>
      <c r="C725" s="119"/>
      <c r="D725" s="119"/>
      <c r="E725" s="117"/>
      <c r="F725" s="120">
        <f t="shared" si="220"/>
        <v>0</v>
      </c>
      <c r="G725" s="121" t="str">
        <f t="shared" si="221"/>
        <v/>
      </c>
      <c r="H725" s="122">
        <f>IF($D725="",0,IFERROR(LOOKUP(2,1/(($D$3:D724=$D725)*($A$3:A724&lt;$A725)),$N$3:N724),'Guide &amp; Settings'!$C$41))</f>
        <v>0</v>
      </c>
      <c r="I725" s="123">
        <f t="shared" si="222"/>
        <v>0</v>
      </c>
      <c r="J725" s="124">
        <f>IF($D725="",0,IF($F725&lt;2,0,IF($E725="Win",('Guide &amp; Settings'!$C$42/(($F725-1)*COUNTIFS($A$4:$A$1510,$A725,$E$4:$E$1510,"Win")))*SUMIFS($X$4:$X$1510,$A$4:$A$1510,$A725,$E$4:$E$1510,"Loss"),-('Guide &amp; Settings'!$C$42/($F725-1))*$X725)))</f>
        <v>0</v>
      </c>
      <c r="K725" s="124">
        <f>IF($D725="",0,'Guide &amp; Settings'!$C$43*(IF($E725="Win",1,0)-$I725))</f>
        <v>0</v>
      </c>
      <c r="L725" s="125">
        <f>IF($D725="",0,'Guide &amp; Settings'!$C$44*IF($F725&gt;=3,$F725,0))</f>
        <v>0</v>
      </c>
      <c r="M725" s="124">
        <f t="shared" si="223"/>
        <v>0</v>
      </c>
      <c r="N725" s="122">
        <f t="shared" si="224"/>
        <v>0</v>
      </c>
      <c r="O725" s="121" t="str">
        <f t="shared" si="225"/>
        <v/>
      </c>
      <c r="P725">
        <f t="shared" si="226"/>
        <v>0</v>
      </c>
      <c r="Q725">
        <f t="shared" si="227"/>
        <v>0</v>
      </c>
      <c r="R725">
        <f t="shared" si="228"/>
        <v>0</v>
      </c>
      <c r="S725">
        <f t="shared" si="229"/>
        <v>0</v>
      </c>
      <c r="T725" s="89">
        <f t="shared" si="230"/>
        <v>0</v>
      </c>
      <c r="U725" s="126">
        <f>IF($D725="",0,IFERROR(LOOKUP(2,1/(($D$3:D724=$D725)*($C$3:C724=$C725)*($A$3:A724&lt;$A725)),$AB$3:AB724),1000))</f>
        <v>0</v>
      </c>
      <c r="V725" s="126">
        <f t="shared" si="231"/>
        <v>0</v>
      </c>
      <c r="W725">
        <f t="shared" si="232"/>
        <v>0</v>
      </c>
      <c r="X725">
        <f t="shared" si="233"/>
        <v>0</v>
      </c>
      <c r="Y725">
        <f t="shared" si="234"/>
        <v>0</v>
      </c>
      <c r="Z725">
        <f t="shared" si="235"/>
        <v>0</v>
      </c>
      <c r="AA725">
        <f>IF($D725="",0,IF($F725&lt;2,0,IF($E725="Win",('Guide &amp; Settings'!$C$42/(($F725-1)*COUNTIFS($A$4:$A$1510,$A725,$E$4:$E$1510,"Win")))*SUMIFS($Z$4:$Z$1510,$A$4:$A$1510,$A725,$E$4:$E$1510,"Loss"),-('Guide &amp; Settings'!$C$42/($F725-1))*$Z725)))</f>
        <v>0</v>
      </c>
      <c r="AB725" s="126">
        <f t="shared" si="236"/>
        <v>0</v>
      </c>
      <c r="AC725" s="126" t="str">
        <f>IF($D725="","",IF($AD725=0,0,IF(COUNTIFS($D$4:$D725,$D725,$B$4:$B725,$B725)&gt;1,0,IF($B725&lt;'Guide &amp; Settings'!$C$50,0,IF(($B725-$AD725)/7-'Guide &amp; Settings'!$C$48&gt;=0,(INT(($B725-$AD725)/7-'Guide &amp; Settings'!$C$48)+1)*'Guide &amp; Settings'!$C$49,0)))))</f>
        <v/>
      </c>
      <c r="AD725" s="142">
        <f t="shared" si="237"/>
        <v>0</v>
      </c>
      <c r="AE725">
        <f t="shared" si="238"/>
        <v>0</v>
      </c>
      <c r="AF725">
        <f t="shared" si="239"/>
        <v>0</v>
      </c>
    </row>
    <row r="726" spans="1:32" x14ac:dyDescent="0.2">
      <c r="A726" s="117"/>
      <c r="B726" s="118"/>
      <c r="C726" s="119"/>
      <c r="D726" s="119"/>
      <c r="E726" s="117"/>
      <c r="F726" s="120">
        <f t="shared" si="220"/>
        <v>0</v>
      </c>
      <c r="G726" s="121" t="str">
        <f t="shared" si="221"/>
        <v/>
      </c>
      <c r="H726" s="122">
        <f>IF($D726="",0,IFERROR(LOOKUP(2,1/(($D$3:D725=$D726)*($A$3:A725&lt;$A726)),$N$3:N725),'Guide &amp; Settings'!$C$41))</f>
        <v>0</v>
      </c>
      <c r="I726" s="123">
        <f t="shared" si="222"/>
        <v>0</v>
      </c>
      <c r="J726" s="124">
        <f>IF($D726="",0,IF($F726&lt;2,0,IF($E726="Win",('Guide &amp; Settings'!$C$42/(($F726-1)*COUNTIFS($A$4:$A$1510,$A726,$E$4:$E$1510,"Win")))*SUMIFS($X$4:$X$1510,$A$4:$A$1510,$A726,$E$4:$E$1510,"Loss"),-('Guide &amp; Settings'!$C$42/($F726-1))*$X726)))</f>
        <v>0</v>
      </c>
      <c r="K726" s="124">
        <f>IF($D726="",0,'Guide &amp; Settings'!$C$43*(IF($E726="Win",1,0)-$I726))</f>
        <v>0</v>
      </c>
      <c r="L726" s="125">
        <f>IF($D726="",0,'Guide &amp; Settings'!$C$44*IF($F726&gt;=3,$F726,0))</f>
        <v>0</v>
      </c>
      <c r="M726" s="124">
        <f t="shared" si="223"/>
        <v>0</v>
      </c>
      <c r="N726" s="122">
        <f t="shared" si="224"/>
        <v>0</v>
      </c>
      <c r="O726" s="121" t="str">
        <f t="shared" si="225"/>
        <v/>
      </c>
      <c r="P726">
        <f t="shared" si="226"/>
        <v>0</v>
      </c>
      <c r="Q726">
        <f t="shared" si="227"/>
        <v>0</v>
      </c>
      <c r="R726">
        <f t="shared" si="228"/>
        <v>0</v>
      </c>
      <c r="S726">
        <f t="shared" si="229"/>
        <v>0</v>
      </c>
      <c r="T726" s="89">
        <f t="shared" si="230"/>
        <v>0</v>
      </c>
      <c r="U726" s="126">
        <f>IF($D726="",0,IFERROR(LOOKUP(2,1/(($D$3:D725=$D726)*($C$3:C725=$C726)*($A$3:A725&lt;$A726)),$AB$3:AB725),1000))</f>
        <v>0</v>
      </c>
      <c r="V726" s="126">
        <f t="shared" si="231"/>
        <v>0</v>
      </c>
      <c r="W726">
        <f t="shared" si="232"/>
        <v>0</v>
      </c>
      <c r="X726">
        <f t="shared" si="233"/>
        <v>0</v>
      </c>
      <c r="Y726">
        <f t="shared" si="234"/>
        <v>0</v>
      </c>
      <c r="Z726">
        <f t="shared" si="235"/>
        <v>0</v>
      </c>
      <c r="AA726">
        <f>IF($D726="",0,IF($F726&lt;2,0,IF($E726="Win",('Guide &amp; Settings'!$C$42/(($F726-1)*COUNTIFS($A$4:$A$1510,$A726,$E$4:$E$1510,"Win")))*SUMIFS($Z$4:$Z$1510,$A$4:$A$1510,$A726,$E$4:$E$1510,"Loss"),-('Guide &amp; Settings'!$C$42/($F726-1))*$Z726)))</f>
        <v>0</v>
      </c>
      <c r="AB726" s="126">
        <f t="shared" si="236"/>
        <v>0</v>
      </c>
      <c r="AC726" s="126" t="str">
        <f>IF($D726="","",IF($AD726=0,0,IF(COUNTIFS($D$4:$D726,$D726,$B$4:$B726,$B726)&gt;1,0,IF($B726&lt;'Guide &amp; Settings'!$C$50,0,IF(($B726-$AD726)/7-'Guide &amp; Settings'!$C$48&gt;=0,(INT(($B726-$AD726)/7-'Guide &amp; Settings'!$C$48)+1)*'Guide &amp; Settings'!$C$49,0)))))</f>
        <v/>
      </c>
      <c r="AD726" s="142">
        <f t="shared" si="237"/>
        <v>0</v>
      </c>
      <c r="AE726">
        <f t="shared" si="238"/>
        <v>0</v>
      </c>
      <c r="AF726">
        <f t="shared" si="239"/>
        <v>0</v>
      </c>
    </row>
    <row r="727" spans="1:32" x14ac:dyDescent="0.2">
      <c r="A727" s="117"/>
      <c r="B727" s="118"/>
      <c r="C727" s="119"/>
      <c r="D727" s="119"/>
      <c r="E727" s="117"/>
      <c r="F727" s="120">
        <f t="shared" si="220"/>
        <v>0</v>
      </c>
      <c r="G727" s="121" t="str">
        <f t="shared" si="221"/>
        <v/>
      </c>
      <c r="H727" s="122">
        <f>IF($D727="",0,IFERROR(LOOKUP(2,1/(($D$3:D726=$D727)*($A$3:A726&lt;$A727)),$N$3:N726),'Guide &amp; Settings'!$C$41))</f>
        <v>0</v>
      </c>
      <c r="I727" s="123">
        <f t="shared" si="222"/>
        <v>0</v>
      </c>
      <c r="J727" s="124">
        <f>IF($D727="",0,IF($F727&lt;2,0,IF($E727="Win",('Guide &amp; Settings'!$C$42/(($F727-1)*COUNTIFS($A$4:$A$1510,$A727,$E$4:$E$1510,"Win")))*SUMIFS($X$4:$X$1510,$A$4:$A$1510,$A727,$E$4:$E$1510,"Loss"),-('Guide &amp; Settings'!$C$42/($F727-1))*$X727)))</f>
        <v>0</v>
      </c>
      <c r="K727" s="124">
        <f>IF($D727="",0,'Guide &amp; Settings'!$C$43*(IF($E727="Win",1,0)-$I727))</f>
        <v>0</v>
      </c>
      <c r="L727" s="125">
        <f>IF($D727="",0,'Guide &amp; Settings'!$C$44*IF($F727&gt;=3,$F727,0))</f>
        <v>0</v>
      </c>
      <c r="M727" s="124">
        <f t="shared" si="223"/>
        <v>0</v>
      </c>
      <c r="N727" s="122">
        <f t="shared" si="224"/>
        <v>0</v>
      </c>
      <c r="O727" s="121" t="str">
        <f t="shared" si="225"/>
        <v/>
      </c>
      <c r="P727">
        <f t="shared" si="226"/>
        <v>0</v>
      </c>
      <c r="Q727">
        <f t="shared" si="227"/>
        <v>0</v>
      </c>
      <c r="R727">
        <f t="shared" si="228"/>
        <v>0</v>
      </c>
      <c r="S727">
        <f t="shared" si="229"/>
        <v>0</v>
      </c>
      <c r="T727" s="89">
        <f t="shared" si="230"/>
        <v>0</v>
      </c>
      <c r="U727" s="126">
        <f>IF($D727="",0,IFERROR(LOOKUP(2,1/(($D$3:D726=$D727)*($C$3:C726=$C727)*($A$3:A726&lt;$A727)),$AB$3:AB726),1000))</f>
        <v>0</v>
      </c>
      <c r="V727" s="126">
        <f t="shared" si="231"/>
        <v>0</v>
      </c>
      <c r="W727">
        <f t="shared" si="232"/>
        <v>0</v>
      </c>
      <c r="X727">
        <f t="shared" si="233"/>
        <v>0</v>
      </c>
      <c r="Y727">
        <f t="shared" si="234"/>
        <v>0</v>
      </c>
      <c r="Z727">
        <f t="shared" si="235"/>
        <v>0</v>
      </c>
      <c r="AA727">
        <f>IF($D727="",0,IF($F727&lt;2,0,IF($E727="Win",('Guide &amp; Settings'!$C$42/(($F727-1)*COUNTIFS($A$4:$A$1510,$A727,$E$4:$E$1510,"Win")))*SUMIFS($Z$4:$Z$1510,$A$4:$A$1510,$A727,$E$4:$E$1510,"Loss"),-('Guide &amp; Settings'!$C$42/($F727-1))*$Z727)))</f>
        <v>0</v>
      </c>
      <c r="AB727" s="126">
        <f t="shared" si="236"/>
        <v>0</v>
      </c>
      <c r="AC727" s="126" t="str">
        <f>IF($D727="","",IF($AD727=0,0,IF(COUNTIFS($D$4:$D727,$D727,$B$4:$B727,$B727)&gt;1,0,IF($B727&lt;'Guide &amp; Settings'!$C$50,0,IF(($B727-$AD727)/7-'Guide &amp; Settings'!$C$48&gt;=0,(INT(($B727-$AD727)/7-'Guide &amp; Settings'!$C$48)+1)*'Guide &amp; Settings'!$C$49,0)))))</f>
        <v/>
      </c>
      <c r="AD727" s="142">
        <f t="shared" si="237"/>
        <v>0</v>
      </c>
      <c r="AE727">
        <f t="shared" si="238"/>
        <v>0</v>
      </c>
      <c r="AF727">
        <f t="shared" si="239"/>
        <v>0</v>
      </c>
    </row>
    <row r="728" spans="1:32" x14ac:dyDescent="0.2">
      <c r="A728" s="117"/>
      <c r="B728" s="118"/>
      <c r="C728" s="119"/>
      <c r="D728" s="119"/>
      <c r="E728" s="117"/>
      <c r="F728" s="120">
        <f t="shared" si="220"/>
        <v>0</v>
      </c>
      <c r="G728" s="121" t="str">
        <f t="shared" si="221"/>
        <v/>
      </c>
      <c r="H728" s="122">
        <f>IF($D728="",0,IFERROR(LOOKUP(2,1/(($D$3:D727=$D728)*($A$3:A727&lt;$A728)),$N$3:N727),'Guide &amp; Settings'!$C$41))</f>
        <v>0</v>
      </c>
      <c r="I728" s="123">
        <f t="shared" si="222"/>
        <v>0</v>
      </c>
      <c r="J728" s="124">
        <f>IF($D728="",0,IF($F728&lt;2,0,IF($E728="Win",('Guide &amp; Settings'!$C$42/(($F728-1)*COUNTIFS($A$4:$A$1510,$A728,$E$4:$E$1510,"Win")))*SUMIFS($X$4:$X$1510,$A$4:$A$1510,$A728,$E$4:$E$1510,"Loss"),-('Guide &amp; Settings'!$C$42/($F728-1))*$X728)))</f>
        <v>0</v>
      </c>
      <c r="K728" s="124">
        <f>IF($D728="",0,'Guide &amp; Settings'!$C$43*(IF($E728="Win",1,0)-$I728))</f>
        <v>0</v>
      </c>
      <c r="L728" s="125">
        <f>IF($D728="",0,'Guide &amp; Settings'!$C$44*IF($F728&gt;=3,$F728,0))</f>
        <v>0</v>
      </c>
      <c r="M728" s="124">
        <f t="shared" si="223"/>
        <v>0</v>
      </c>
      <c r="N728" s="122">
        <f t="shared" si="224"/>
        <v>0</v>
      </c>
      <c r="O728" s="121" t="str">
        <f t="shared" si="225"/>
        <v/>
      </c>
      <c r="P728">
        <f t="shared" si="226"/>
        <v>0</v>
      </c>
      <c r="Q728">
        <f t="shared" si="227"/>
        <v>0</v>
      </c>
      <c r="R728">
        <f t="shared" si="228"/>
        <v>0</v>
      </c>
      <c r="S728">
        <f t="shared" si="229"/>
        <v>0</v>
      </c>
      <c r="T728" s="89">
        <f t="shared" si="230"/>
        <v>0</v>
      </c>
      <c r="U728" s="126">
        <f>IF($D728="",0,IFERROR(LOOKUP(2,1/(($D$3:D727=$D728)*($C$3:C727=$C728)*($A$3:A727&lt;$A728)),$AB$3:AB727),1000))</f>
        <v>0</v>
      </c>
      <c r="V728" s="126">
        <f t="shared" si="231"/>
        <v>0</v>
      </c>
      <c r="W728">
        <f t="shared" si="232"/>
        <v>0</v>
      </c>
      <c r="X728">
        <f t="shared" si="233"/>
        <v>0</v>
      </c>
      <c r="Y728">
        <f t="shared" si="234"/>
        <v>0</v>
      </c>
      <c r="Z728">
        <f t="shared" si="235"/>
        <v>0</v>
      </c>
      <c r="AA728">
        <f>IF($D728="",0,IF($F728&lt;2,0,IF($E728="Win",('Guide &amp; Settings'!$C$42/(($F728-1)*COUNTIFS($A$4:$A$1510,$A728,$E$4:$E$1510,"Win")))*SUMIFS($Z$4:$Z$1510,$A$4:$A$1510,$A728,$E$4:$E$1510,"Loss"),-('Guide &amp; Settings'!$C$42/($F728-1))*$Z728)))</f>
        <v>0</v>
      </c>
      <c r="AB728" s="126">
        <f t="shared" si="236"/>
        <v>0</v>
      </c>
      <c r="AC728" s="126" t="str">
        <f>IF($D728="","",IF($AD728=0,0,IF(COUNTIFS($D$4:$D728,$D728,$B$4:$B728,$B728)&gt;1,0,IF($B728&lt;'Guide &amp; Settings'!$C$50,0,IF(($B728-$AD728)/7-'Guide &amp; Settings'!$C$48&gt;=0,(INT(($B728-$AD728)/7-'Guide &amp; Settings'!$C$48)+1)*'Guide &amp; Settings'!$C$49,0)))))</f>
        <v/>
      </c>
      <c r="AD728" s="142">
        <f t="shared" si="237"/>
        <v>0</v>
      </c>
      <c r="AE728">
        <f t="shared" si="238"/>
        <v>0</v>
      </c>
      <c r="AF728">
        <f t="shared" si="239"/>
        <v>0</v>
      </c>
    </row>
    <row r="729" spans="1:32" x14ac:dyDescent="0.2">
      <c r="A729" s="117"/>
      <c r="B729" s="118"/>
      <c r="C729" s="119"/>
      <c r="D729" s="119"/>
      <c r="E729" s="117"/>
      <c r="F729" s="120">
        <f t="shared" si="220"/>
        <v>0</v>
      </c>
      <c r="G729" s="121" t="str">
        <f t="shared" si="221"/>
        <v/>
      </c>
      <c r="H729" s="122">
        <f>IF($D729="",0,IFERROR(LOOKUP(2,1/(($D$3:D728=$D729)*($A$3:A728&lt;$A729)),$N$3:N728),'Guide &amp; Settings'!$C$41))</f>
        <v>0</v>
      </c>
      <c r="I729" s="123">
        <f t="shared" si="222"/>
        <v>0</v>
      </c>
      <c r="J729" s="124">
        <f>IF($D729="",0,IF($F729&lt;2,0,IF($E729="Win",('Guide &amp; Settings'!$C$42/(($F729-1)*COUNTIFS($A$4:$A$1510,$A729,$E$4:$E$1510,"Win")))*SUMIFS($X$4:$X$1510,$A$4:$A$1510,$A729,$E$4:$E$1510,"Loss"),-('Guide &amp; Settings'!$C$42/($F729-1))*$X729)))</f>
        <v>0</v>
      </c>
      <c r="K729" s="124">
        <f>IF($D729="",0,'Guide &amp; Settings'!$C$43*(IF($E729="Win",1,0)-$I729))</f>
        <v>0</v>
      </c>
      <c r="L729" s="125">
        <f>IF($D729="",0,'Guide &amp; Settings'!$C$44*IF($F729&gt;=3,$F729,0))</f>
        <v>0</v>
      </c>
      <c r="M729" s="124">
        <f t="shared" si="223"/>
        <v>0</v>
      </c>
      <c r="N729" s="122">
        <f t="shared" si="224"/>
        <v>0</v>
      </c>
      <c r="O729" s="121" t="str">
        <f t="shared" si="225"/>
        <v/>
      </c>
      <c r="P729">
        <f t="shared" si="226"/>
        <v>0</v>
      </c>
      <c r="Q729">
        <f t="shared" si="227"/>
        <v>0</v>
      </c>
      <c r="R729">
        <f t="shared" si="228"/>
        <v>0</v>
      </c>
      <c r="S729">
        <f t="shared" si="229"/>
        <v>0</v>
      </c>
      <c r="T729" s="89">
        <f t="shared" si="230"/>
        <v>0</v>
      </c>
      <c r="U729" s="126">
        <f>IF($D729="",0,IFERROR(LOOKUP(2,1/(($D$3:D728=$D729)*($C$3:C728=$C729)*($A$3:A728&lt;$A729)),$AB$3:AB728),1000))</f>
        <v>0</v>
      </c>
      <c r="V729" s="126">
        <f t="shared" si="231"/>
        <v>0</v>
      </c>
      <c r="W729">
        <f t="shared" si="232"/>
        <v>0</v>
      </c>
      <c r="X729">
        <f t="shared" si="233"/>
        <v>0</v>
      </c>
      <c r="Y729">
        <f t="shared" si="234"/>
        <v>0</v>
      </c>
      <c r="Z729">
        <f t="shared" si="235"/>
        <v>0</v>
      </c>
      <c r="AA729">
        <f>IF($D729="",0,IF($F729&lt;2,0,IF($E729="Win",('Guide &amp; Settings'!$C$42/(($F729-1)*COUNTIFS($A$4:$A$1510,$A729,$E$4:$E$1510,"Win")))*SUMIFS($Z$4:$Z$1510,$A$4:$A$1510,$A729,$E$4:$E$1510,"Loss"),-('Guide &amp; Settings'!$C$42/($F729-1))*$Z729)))</f>
        <v>0</v>
      </c>
      <c r="AB729" s="126">
        <f t="shared" si="236"/>
        <v>0</v>
      </c>
      <c r="AC729" s="126" t="str">
        <f>IF($D729="","",IF($AD729=0,0,IF(COUNTIFS($D$4:$D729,$D729,$B$4:$B729,$B729)&gt;1,0,IF($B729&lt;'Guide &amp; Settings'!$C$50,0,IF(($B729-$AD729)/7-'Guide &amp; Settings'!$C$48&gt;=0,(INT(($B729-$AD729)/7-'Guide &amp; Settings'!$C$48)+1)*'Guide &amp; Settings'!$C$49,0)))))</f>
        <v/>
      </c>
      <c r="AD729" s="142">
        <f t="shared" si="237"/>
        <v>0</v>
      </c>
      <c r="AE729">
        <f t="shared" si="238"/>
        <v>0</v>
      </c>
      <c r="AF729">
        <f t="shared" si="239"/>
        <v>0</v>
      </c>
    </row>
    <row r="730" spans="1:32" x14ac:dyDescent="0.2">
      <c r="A730" s="117"/>
      <c r="B730" s="118"/>
      <c r="C730" s="119"/>
      <c r="D730" s="119"/>
      <c r="E730" s="117"/>
      <c r="F730" s="120">
        <f t="shared" si="220"/>
        <v>0</v>
      </c>
      <c r="G730" s="121" t="str">
        <f t="shared" si="221"/>
        <v/>
      </c>
      <c r="H730" s="122">
        <f>IF($D730="",0,IFERROR(LOOKUP(2,1/(($D$3:D729=$D730)*($A$3:A729&lt;$A730)),$N$3:N729),'Guide &amp; Settings'!$C$41))</f>
        <v>0</v>
      </c>
      <c r="I730" s="123">
        <f t="shared" si="222"/>
        <v>0</v>
      </c>
      <c r="J730" s="124">
        <f>IF($D730="",0,IF($F730&lt;2,0,IF($E730="Win",('Guide &amp; Settings'!$C$42/(($F730-1)*COUNTIFS($A$4:$A$1510,$A730,$E$4:$E$1510,"Win")))*SUMIFS($X$4:$X$1510,$A$4:$A$1510,$A730,$E$4:$E$1510,"Loss"),-('Guide &amp; Settings'!$C$42/($F730-1))*$X730)))</f>
        <v>0</v>
      </c>
      <c r="K730" s="124">
        <f>IF($D730="",0,'Guide &amp; Settings'!$C$43*(IF($E730="Win",1,0)-$I730))</f>
        <v>0</v>
      </c>
      <c r="L730" s="125">
        <f>IF($D730="",0,'Guide &amp; Settings'!$C$44*IF($F730&gt;=3,$F730,0))</f>
        <v>0</v>
      </c>
      <c r="M730" s="124">
        <f t="shared" si="223"/>
        <v>0</v>
      </c>
      <c r="N730" s="122">
        <f t="shared" si="224"/>
        <v>0</v>
      </c>
      <c r="O730" s="121" t="str">
        <f t="shared" si="225"/>
        <v/>
      </c>
      <c r="P730">
        <f t="shared" si="226"/>
        <v>0</v>
      </c>
      <c r="Q730">
        <f t="shared" si="227"/>
        <v>0</v>
      </c>
      <c r="R730">
        <f t="shared" si="228"/>
        <v>0</v>
      </c>
      <c r="S730">
        <f t="shared" si="229"/>
        <v>0</v>
      </c>
      <c r="T730" s="89">
        <f t="shared" si="230"/>
        <v>0</v>
      </c>
      <c r="U730" s="126">
        <f>IF($D730="",0,IFERROR(LOOKUP(2,1/(($D$3:D729=$D730)*($C$3:C729=$C730)*($A$3:A729&lt;$A730)),$AB$3:AB729),1000))</f>
        <v>0</v>
      </c>
      <c r="V730" s="126">
        <f t="shared" si="231"/>
        <v>0</v>
      </c>
      <c r="W730">
        <f t="shared" si="232"/>
        <v>0</v>
      </c>
      <c r="X730">
        <f t="shared" si="233"/>
        <v>0</v>
      </c>
      <c r="Y730">
        <f t="shared" si="234"/>
        <v>0</v>
      </c>
      <c r="Z730">
        <f t="shared" si="235"/>
        <v>0</v>
      </c>
      <c r="AA730">
        <f>IF($D730="",0,IF($F730&lt;2,0,IF($E730="Win",('Guide &amp; Settings'!$C$42/(($F730-1)*COUNTIFS($A$4:$A$1510,$A730,$E$4:$E$1510,"Win")))*SUMIFS($Z$4:$Z$1510,$A$4:$A$1510,$A730,$E$4:$E$1510,"Loss"),-('Guide &amp; Settings'!$C$42/($F730-1))*$Z730)))</f>
        <v>0</v>
      </c>
      <c r="AB730" s="126">
        <f t="shared" si="236"/>
        <v>0</v>
      </c>
      <c r="AC730" s="126" t="str">
        <f>IF($D730="","",IF($AD730=0,0,IF(COUNTIFS($D$4:$D730,$D730,$B$4:$B730,$B730)&gt;1,0,IF($B730&lt;'Guide &amp; Settings'!$C$50,0,IF(($B730-$AD730)/7-'Guide &amp; Settings'!$C$48&gt;=0,(INT(($B730-$AD730)/7-'Guide &amp; Settings'!$C$48)+1)*'Guide &amp; Settings'!$C$49,0)))))</f>
        <v/>
      </c>
      <c r="AD730" s="142">
        <f t="shared" si="237"/>
        <v>0</v>
      </c>
      <c r="AE730">
        <f t="shared" si="238"/>
        <v>0</v>
      </c>
      <c r="AF730">
        <f t="shared" si="239"/>
        <v>0</v>
      </c>
    </row>
    <row r="731" spans="1:32" x14ac:dyDescent="0.2">
      <c r="A731" s="117"/>
      <c r="B731" s="118"/>
      <c r="C731" s="119"/>
      <c r="D731" s="119"/>
      <c r="E731" s="117"/>
      <c r="F731" s="120">
        <f t="shared" si="220"/>
        <v>0</v>
      </c>
      <c r="G731" s="121" t="str">
        <f t="shared" si="221"/>
        <v/>
      </c>
      <c r="H731" s="122">
        <f>IF($D731="",0,IFERROR(LOOKUP(2,1/(($D$3:D730=$D731)*($A$3:A730&lt;$A731)),$N$3:N730),'Guide &amp; Settings'!$C$41))</f>
        <v>0</v>
      </c>
      <c r="I731" s="123">
        <f t="shared" si="222"/>
        <v>0</v>
      </c>
      <c r="J731" s="124">
        <f>IF($D731="",0,IF($F731&lt;2,0,IF($E731="Win",('Guide &amp; Settings'!$C$42/(($F731-1)*COUNTIFS($A$4:$A$1510,$A731,$E$4:$E$1510,"Win")))*SUMIFS($X$4:$X$1510,$A$4:$A$1510,$A731,$E$4:$E$1510,"Loss"),-('Guide &amp; Settings'!$C$42/($F731-1))*$X731)))</f>
        <v>0</v>
      </c>
      <c r="K731" s="124">
        <f>IF($D731="",0,'Guide &amp; Settings'!$C$43*(IF($E731="Win",1,0)-$I731))</f>
        <v>0</v>
      </c>
      <c r="L731" s="125">
        <f>IF($D731="",0,'Guide &amp; Settings'!$C$44*IF($F731&gt;=3,$F731,0))</f>
        <v>0</v>
      </c>
      <c r="M731" s="124">
        <f t="shared" si="223"/>
        <v>0</v>
      </c>
      <c r="N731" s="122">
        <f t="shared" si="224"/>
        <v>0</v>
      </c>
      <c r="O731" s="121" t="str">
        <f t="shared" si="225"/>
        <v/>
      </c>
      <c r="P731">
        <f t="shared" si="226"/>
        <v>0</v>
      </c>
      <c r="Q731">
        <f t="shared" si="227"/>
        <v>0</v>
      </c>
      <c r="R731">
        <f t="shared" si="228"/>
        <v>0</v>
      </c>
      <c r="S731">
        <f t="shared" si="229"/>
        <v>0</v>
      </c>
      <c r="T731" s="89">
        <f t="shared" si="230"/>
        <v>0</v>
      </c>
      <c r="U731" s="126">
        <f>IF($D731="",0,IFERROR(LOOKUP(2,1/(($D$3:D730=$D731)*($C$3:C730=$C731)*($A$3:A730&lt;$A731)),$AB$3:AB730),1000))</f>
        <v>0</v>
      </c>
      <c r="V731" s="126">
        <f t="shared" si="231"/>
        <v>0</v>
      </c>
      <c r="W731">
        <f t="shared" si="232"/>
        <v>0</v>
      </c>
      <c r="X731">
        <f t="shared" si="233"/>
        <v>0</v>
      </c>
      <c r="Y731">
        <f t="shared" si="234"/>
        <v>0</v>
      </c>
      <c r="Z731">
        <f t="shared" si="235"/>
        <v>0</v>
      </c>
      <c r="AA731">
        <f>IF($D731="",0,IF($F731&lt;2,0,IF($E731="Win",('Guide &amp; Settings'!$C$42/(($F731-1)*COUNTIFS($A$4:$A$1510,$A731,$E$4:$E$1510,"Win")))*SUMIFS($Z$4:$Z$1510,$A$4:$A$1510,$A731,$E$4:$E$1510,"Loss"),-('Guide &amp; Settings'!$C$42/($F731-1))*$Z731)))</f>
        <v>0</v>
      </c>
      <c r="AB731" s="126">
        <f t="shared" si="236"/>
        <v>0</v>
      </c>
      <c r="AC731" s="126" t="str">
        <f>IF($D731="","",IF($AD731=0,0,IF(COUNTIFS($D$4:$D731,$D731,$B$4:$B731,$B731)&gt;1,0,IF($B731&lt;'Guide &amp; Settings'!$C$50,0,IF(($B731-$AD731)/7-'Guide &amp; Settings'!$C$48&gt;=0,(INT(($B731-$AD731)/7-'Guide &amp; Settings'!$C$48)+1)*'Guide &amp; Settings'!$C$49,0)))))</f>
        <v/>
      </c>
      <c r="AD731" s="142">
        <f t="shared" si="237"/>
        <v>0</v>
      </c>
      <c r="AE731">
        <f t="shared" si="238"/>
        <v>0</v>
      </c>
      <c r="AF731">
        <f t="shared" si="239"/>
        <v>0</v>
      </c>
    </row>
    <row r="732" spans="1:32" x14ac:dyDescent="0.2">
      <c r="A732" s="117"/>
      <c r="B732" s="118"/>
      <c r="C732" s="119"/>
      <c r="D732" s="119"/>
      <c r="E732" s="117"/>
      <c r="F732" s="120">
        <f t="shared" si="220"/>
        <v>0</v>
      </c>
      <c r="G732" s="121" t="str">
        <f t="shared" si="221"/>
        <v/>
      </c>
      <c r="H732" s="122">
        <f>IF($D732="",0,IFERROR(LOOKUP(2,1/(($D$3:D731=$D732)*($A$3:A731&lt;$A732)),$N$3:N731),'Guide &amp; Settings'!$C$41))</f>
        <v>0</v>
      </c>
      <c r="I732" s="123">
        <f t="shared" si="222"/>
        <v>0</v>
      </c>
      <c r="J732" s="124">
        <f>IF($D732="",0,IF($F732&lt;2,0,IF($E732="Win",('Guide &amp; Settings'!$C$42/(($F732-1)*COUNTIFS($A$4:$A$1510,$A732,$E$4:$E$1510,"Win")))*SUMIFS($X$4:$X$1510,$A$4:$A$1510,$A732,$E$4:$E$1510,"Loss"),-('Guide &amp; Settings'!$C$42/($F732-1))*$X732)))</f>
        <v>0</v>
      </c>
      <c r="K732" s="124">
        <f>IF($D732="",0,'Guide &amp; Settings'!$C$43*(IF($E732="Win",1,0)-$I732))</f>
        <v>0</v>
      </c>
      <c r="L732" s="125">
        <f>IF($D732="",0,'Guide &amp; Settings'!$C$44*IF($F732&gt;=3,$F732,0))</f>
        <v>0</v>
      </c>
      <c r="M732" s="124">
        <f t="shared" si="223"/>
        <v>0</v>
      </c>
      <c r="N732" s="122">
        <f t="shared" si="224"/>
        <v>0</v>
      </c>
      <c r="O732" s="121" t="str">
        <f t="shared" si="225"/>
        <v/>
      </c>
      <c r="P732">
        <f t="shared" si="226"/>
        <v>0</v>
      </c>
      <c r="Q732">
        <f t="shared" si="227"/>
        <v>0</v>
      </c>
      <c r="R732">
        <f t="shared" si="228"/>
        <v>0</v>
      </c>
      <c r="S732">
        <f t="shared" si="229"/>
        <v>0</v>
      </c>
      <c r="T732" s="89">
        <f t="shared" si="230"/>
        <v>0</v>
      </c>
      <c r="U732" s="126">
        <f>IF($D732="",0,IFERROR(LOOKUP(2,1/(($D$3:D731=$D732)*($C$3:C731=$C732)*($A$3:A731&lt;$A732)),$AB$3:AB731),1000))</f>
        <v>0</v>
      </c>
      <c r="V732" s="126">
        <f t="shared" si="231"/>
        <v>0</v>
      </c>
      <c r="W732">
        <f t="shared" si="232"/>
        <v>0</v>
      </c>
      <c r="X732">
        <f t="shared" si="233"/>
        <v>0</v>
      </c>
      <c r="Y732">
        <f t="shared" si="234"/>
        <v>0</v>
      </c>
      <c r="Z732">
        <f t="shared" si="235"/>
        <v>0</v>
      </c>
      <c r="AA732">
        <f>IF($D732="",0,IF($F732&lt;2,0,IF($E732="Win",('Guide &amp; Settings'!$C$42/(($F732-1)*COUNTIFS($A$4:$A$1510,$A732,$E$4:$E$1510,"Win")))*SUMIFS($Z$4:$Z$1510,$A$4:$A$1510,$A732,$E$4:$E$1510,"Loss"),-('Guide &amp; Settings'!$C$42/($F732-1))*$Z732)))</f>
        <v>0</v>
      </c>
      <c r="AB732" s="126">
        <f t="shared" si="236"/>
        <v>0</v>
      </c>
      <c r="AC732" s="126" t="str">
        <f>IF($D732="","",IF($AD732=0,0,IF(COUNTIFS($D$4:$D732,$D732,$B$4:$B732,$B732)&gt;1,0,IF($B732&lt;'Guide &amp; Settings'!$C$50,0,IF(($B732-$AD732)/7-'Guide &amp; Settings'!$C$48&gt;=0,(INT(($B732-$AD732)/7-'Guide &amp; Settings'!$C$48)+1)*'Guide &amp; Settings'!$C$49,0)))))</f>
        <v/>
      </c>
      <c r="AD732" s="142">
        <f t="shared" si="237"/>
        <v>0</v>
      </c>
      <c r="AE732">
        <f t="shared" si="238"/>
        <v>0</v>
      </c>
      <c r="AF732">
        <f t="shared" si="239"/>
        <v>0</v>
      </c>
    </row>
    <row r="733" spans="1:32" x14ac:dyDescent="0.2">
      <c r="A733" s="117"/>
      <c r="B733" s="118"/>
      <c r="C733" s="119"/>
      <c r="D733" s="119"/>
      <c r="E733" s="117"/>
      <c r="F733" s="120">
        <f t="shared" si="220"/>
        <v>0</v>
      </c>
      <c r="G733" s="121" t="str">
        <f t="shared" si="221"/>
        <v/>
      </c>
      <c r="H733" s="122">
        <f>IF($D733="",0,IFERROR(LOOKUP(2,1/(($D$3:D732=$D733)*($A$3:A732&lt;$A733)),$N$3:N732),'Guide &amp; Settings'!$C$41))</f>
        <v>0</v>
      </c>
      <c r="I733" s="123">
        <f t="shared" si="222"/>
        <v>0</v>
      </c>
      <c r="J733" s="124">
        <f>IF($D733="",0,IF($F733&lt;2,0,IF($E733="Win",('Guide &amp; Settings'!$C$42/(($F733-1)*COUNTIFS($A$4:$A$1510,$A733,$E$4:$E$1510,"Win")))*SUMIFS($X$4:$X$1510,$A$4:$A$1510,$A733,$E$4:$E$1510,"Loss"),-('Guide &amp; Settings'!$C$42/($F733-1))*$X733)))</f>
        <v>0</v>
      </c>
      <c r="K733" s="124">
        <f>IF($D733="",0,'Guide &amp; Settings'!$C$43*(IF($E733="Win",1,0)-$I733))</f>
        <v>0</v>
      </c>
      <c r="L733" s="125">
        <f>IF($D733="",0,'Guide &amp; Settings'!$C$44*IF($F733&gt;=3,$F733,0))</f>
        <v>0</v>
      </c>
      <c r="M733" s="124">
        <f t="shared" si="223"/>
        <v>0</v>
      </c>
      <c r="N733" s="122">
        <f t="shared" si="224"/>
        <v>0</v>
      </c>
      <c r="O733" s="121" t="str">
        <f t="shared" si="225"/>
        <v/>
      </c>
      <c r="P733">
        <f t="shared" si="226"/>
        <v>0</v>
      </c>
      <c r="Q733">
        <f t="shared" si="227"/>
        <v>0</v>
      </c>
      <c r="R733">
        <f t="shared" si="228"/>
        <v>0</v>
      </c>
      <c r="S733">
        <f t="shared" si="229"/>
        <v>0</v>
      </c>
      <c r="T733" s="89">
        <f t="shared" si="230"/>
        <v>0</v>
      </c>
      <c r="U733" s="126">
        <f>IF($D733="",0,IFERROR(LOOKUP(2,1/(($D$3:D732=$D733)*($C$3:C732=$C733)*($A$3:A732&lt;$A733)),$AB$3:AB732),1000))</f>
        <v>0</v>
      </c>
      <c r="V733" s="126">
        <f t="shared" si="231"/>
        <v>0</v>
      </c>
      <c r="W733">
        <f t="shared" si="232"/>
        <v>0</v>
      </c>
      <c r="X733">
        <f t="shared" si="233"/>
        <v>0</v>
      </c>
      <c r="Y733">
        <f t="shared" si="234"/>
        <v>0</v>
      </c>
      <c r="Z733">
        <f t="shared" si="235"/>
        <v>0</v>
      </c>
      <c r="AA733">
        <f>IF($D733="",0,IF($F733&lt;2,0,IF($E733="Win",('Guide &amp; Settings'!$C$42/(($F733-1)*COUNTIFS($A$4:$A$1510,$A733,$E$4:$E$1510,"Win")))*SUMIFS($Z$4:$Z$1510,$A$4:$A$1510,$A733,$E$4:$E$1510,"Loss"),-('Guide &amp; Settings'!$C$42/($F733-1))*$Z733)))</f>
        <v>0</v>
      </c>
      <c r="AB733" s="126">
        <f t="shared" si="236"/>
        <v>0</v>
      </c>
      <c r="AC733" s="126" t="str">
        <f>IF($D733="","",IF($AD733=0,0,IF(COUNTIFS($D$4:$D733,$D733,$B$4:$B733,$B733)&gt;1,0,IF($B733&lt;'Guide &amp; Settings'!$C$50,0,IF(($B733-$AD733)/7-'Guide &amp; Settings'!$C$48&gt;=0,(INT(($B733-$AD733)/7-'Guide &amp; Settings'!$C$48)+1)*'Guide &amp; Settings'!$C$49,0)))))</f>
        <v/>
      </c>
      <c r="AD733" s="142">
        <f t="shared" si="237"/>
        <v>0</v>
      </c>
      <c r="AE733">
        <f t="shared" si="238"/>
        <v>0</v>
      </c>
      <c r="AF733">
        <f t="shared" si="239"/>
        <v>0</v>
      </c>
    </row>
    <row r="734" spans="1:32" x14ac:dyDescent="0.2">
      <c r="A734" s="117"/>
      <c r="B734" s="118"/>
      <c r="C734" s="119"/>
      <c r="D734" s="119"/>
      <c r="E734" s="117"/>
      <c r="F734" s="120">
        <f t="shared" si="220"/>
        <v>0</v>
      </c>
      <c r="G734" s="121" t="str">
        <f t="shared" si="221"/>
        <v/>
      </c>
      <c r="H734" s="122">
        <f>IF($D734="",0,IFERROR(LOOKUP(2,1/(($D$3:D733=$D734)*($A$3:A733&lt;$A734)),$N$3:N733),'Guide &amp; Settings'!$C$41))</f>
        <v>0</v>
      </c>
      <c r="I734" s="123">
        <f t="shared" si="222"/>
        <v>0</v>
      </c>
      <c r="J734" s="124">
        <f>IF($D734="",0,IF($F734&lt;2,0,IF($E734="Win",('Guide &amp; Settings'!$C$42/(($F734-1)*COUNTIFS($A$4:$A$1510,$A734,$E$4:$E$1510,"Win")))*SUMIFS($X$4:$X$1510,$A$4:$A$1510,$A734,$E$4:$E$1510,"Loss"),-('Guide &amp; Settings'!$C$42/($F734-1))*$X734)))</f>
        <v>0</v>
      </c>
      <c r="K734" s="124">
        <f>IF($D734="",0,'Guide &amp; Settings'!$C$43*(IF($E734="Win",1,0)-$I734))</f>
        <v>0</v>
      </c>
      <c r="L734" s="125">
        <f>IF($D734="",0,'Guide &amp; Settings'!$C$44*IF($F734&gt;=3,$F734,0))</f>
        <v>0</v>
      </c>
      <c r="M734" s="124">
        <f t="shared" si="223"/>
        <v>0</v>
      </c>
      <c r="N734" s="122">
        <f t="shared" si="224"/>
        <v>0</v>
      </c>
      <c r="O734" s="121" t="str">
        <f t="shared" si="225"/>
        <v/>
      </c>
      <c r="P734">
        <f t="shared" si="226"/>
        <v>0</v>
      </c>
      <c r="Q734">
        <f t="shared" si="227"/>
        <v>0</v>
      </c>
      <c r="R734">
        <f t="shared" si="228"/>
        <v>0</v>
      </c>
      <c r="S734">
        <f t="shared" si="229"/>
        <v>0</v>
      </c>
      <c r="T734" s="89">
        <f t="shared" si="230"/>
        <v>0</v>
      </c>
      <c r="U734" s="126">
        <f>IF($D734="",0,IFERROR(LOOKUP(2,1/(($D$3:D733=$D734)*($C$3:C733=$C734)*($A$3:A733&lt;$A734)),$AB$3:AB733),1000))</f>
        <v>0</v>
      </c>
      <c r="V734" s="126">
        <f t="shared" si="231"/>
        <v>0</v>
      </c>
      <c r="W734">
        <f t="shared" si="232"/>
        <v>0</v>
      </c>
      <c r="X734">
        <f t="shared" si="233"/>
        <v>0</v>
      </c>
      <c r="Y734">
        <f t="shared" si="234"/>
        <v>0</v>
      </c>
      <c r="Z734">
        <f t="shared" si="235"/>
        <v>0</v>
      </c>
      <c r="AA734">
        <f>IF($D734="",0,IF($F734&lt;2,0,IF($E734="Win",('Guide &amp; Settings'!$C$42/(($F734-1)*COUNTIFS($A$4:$A$1510,$A734,$E$4:$E$1510,"Win")))*SUMIFS($Z$4:$Z$1510,$A$4:$A$1510,$A734,$E$4:$E$1510,"Loss"),-('Guide &amp; Settings'!$C$42/($F734-1))*$Z734)))</f>
        <v>0</v>
      </c>
      <c r="AB734" s="126">
        <f t="shared" si="236"/>
        <v>0</v>
      </c>
      <c r="AC734" s="126" t="str">
        <f>IF($D734="","",IF($AD734=0,0,IF(COUNTIFS($D$4:$D734,$D734,$B$4:$B734,$B734)&gt;1,0,IF($B734&lt;'Guide &amp; Settings'!$C$50,0,IF(($B734-$AD734)/7-'Guide &amp; Settings'!$C$48&gt;=0,(INT(($B734-$AD734)/7-'Guide &amp; Settings'!$C$48)+1)*'Guide &amp; Settings'!$C$49,0)))))</f>
        <v/>
      </c>
      <c r="AD734" s="142">
        <f t="shared" si="237"/>
        <v>0</v>
      </c>
      <c r="AE734">
        <f t="shared" si="238"/>
        <v>0</v>
      </c>
      <c r="AF734">
        <f t="shared" si="239"/>
        <v>0</v>
      </c>
    </row>
    <row r="735" spans="1:32" x14ac:dyDescent="0.2">
      <c r="A735" s="117"/>
      <c r="B735" s="118"/>
      <c r="C735" s="119"/>
      <c r="D735" s="119"/>
      <c r="E735" s="117"/>
      <c r="F735" s="120">
        <f t="shared" si="220"/>
        <v>0</v>
      </c>
      <c r="G735" s="121" t="str">
        <f t="shared" si="221"/>
        <v/>
      </c>
      <c r="H735" s="122">
        <f>IF($D735="",0,IFERROR(LOOKUP(2,1/(($D$3:D734=$D735)*($A$3:A734&lt;$A735)),$N$3:N734),'Guide &amp; Settings'!$C$41))</f>
        <v>0</v>
      </c>
      <c r="I735" s="123">
        <f t="shared" si="222"/>
        <v>0</v>
      </c>
      <c r="J735" s="124">
        <f>IF($D735="",0,IF($F735&lt;2,0,IF($E735="Win",('Guide &amp; Settings'!$C$42/(($F735-1)*COUNTIFS($A$4:$A$1510,$A735,$E$4:$E$1510,"Win")))*SUMIFS($X$4:$X$1510,$A$4:$A$1510,$A735,$E$4:$E$1510,"Loss"),-('Guide &amp; Settings'!$C$42/($F735-1))*$X735)))</f>
        <v>0</v>
      </c>
      <c r="K735" s="124">
        <f>IF($D735="",0,'Guide &amp; Settings'!$C$43*(IF($E735="Win",1,0)-$I735))</f>
        <v>0</v>
      </c>
      <c r="L735" s="125">
        <f>IF($D735="",0,'Guide &amp; Settings'!$C$44*IF($F735&gt;=3,$F735,0))</f>
        <v>0</v>
      </c>
      <c r="M735" s="124">
        <f t="shared" si="223"/>
        <v>0</v>
      </c>
      <c r="N735" s="122">
        <f t="shared" si="224"/>
        <v>0</v>
      </c>
      <c r="O735" s="121" t="str">
        <f t="shared" si="225"/>
        <v/>
      </c>
      <c r="P735">
        <f t="shared" si="226"/>
        <v>0</v>
      </c>
      <c r="Q735">
        <f t="shared" si="227"/>
        <v>0</v>
      </c>
      <c r="R735">
        <f t="shared" si="228"/>
        <v>0</v>
      </c>
      <c r="S735">
        <f t="shared" si="229"/>
        <v>0</v>
      </c>
      <c r="T735" s="89">
        <f t="shared" si="230"/>
        <v>0</v>
      </c>
      <c r="U735" s="126">
        <f>IF($D735="",0,IFERROR(LOOKUP(2,1/(($D$3:D734=$D735)*($C$3:C734=$C735)*($A$3:A734&lt;$A735)),$AB$3:AB734),1000))</f>
        <v>0</v>
      </c>
      <c r="V735" s="126">
        <f t="shared" si="231"/>
        <v>0</v>
      </c>
      <c r="W735">
        <f t="shared" si="232"/>
        <v>0</v>
      </c>
      <c r="X735">
        <f t="shared" si="233"/>
        <v>0</v>
      </c>
      <c r="Y735">
        <f t="shared" si="234"/>
        <v>0</v>
      </c>
      <c r="Z735">
        <f t="shared" si="235"/>
        <v>0</v>
      </c>
      <c r="AA735">
        <f>IF($D735="",0,IF($F735&lt;2,0,IF($E735="Win",('Guide &amp; Settings'!$C$42/(($F735-1)*COUNTIFS($A$4:$A$1510,$A735,$E$4:$E$1510,"Win")))*SUMIFS($Z$4:$Z$1510,$A$4:$A$1510,$A735,$E$4:$E$1510,"Loss"),-('Guide &amp; Settings'!$C$42/($F735-1))*$Z735)))</f>
        <v>0</v>
      </c>
      <c r="AB735" s="126">
        <f t="shared" si="236"/>
        <v>0</v>
      </c>
      <c r="AC735" s="126" t="str">
        <f>IF($D735="","",IF($AD735=0,0,IF(COUNTIFS($D$4:$D735,$D735,$B$4:$B735,$B735)&gt;1,0,IF($B735&lt;'Guide &amp; Settings'!$C$50,0,IF(($B735-$AD735)/7-'Guide &amp; Settings'!$C$48&gt;=0,(INT(($B735-$AD735)/7-'Guide &amp; Settings'!$C$48)+1)*'Guide &amp; Settings'!$C$49,0)))))</f>
        <v/>
      </c>
      <c r="AD735" s="142">
        <f t="shared" si="237"/>
        <v>0</v>
      </c>
      <c r="AE735">
        <f t="shared" si="238"/>
        <v>0</v>
      </c>
      <c r="AF735">
        <f t="shared" si="239"/>
        <v>0</v>
      </c>
    </row>
    <row r="736" spans="1:32" x14ac:dyDescent="0.2">
      <c r="A736" s="117"/>
      <c r="B736" s="118"/>
      <c r="C736" s="119"/>
      <c r="D736" s="119"/>
      <c r="E736" s="117"/>
      <c r="F736" s="120">
        <f t="shared" si="220"/>
        <v>0</v>
      </c>
      <c r="G736" s="121" t="str">
        <f t="shared" si="221"/>
        <v/>
      </c>
      <c r="H736" s="122">
        <f>IF($D736="",0,IFERROR(LOOKUP(2,1/(($D$3:D735=$D736)*($A$3:A735&lt;$A736)),$N$3:N735),'Guide &amp; Settings'!$C$41))</f>
        <v>0</v>
      </c>
      <c r="I736" s="123">
        <f t="shared" si="222"/>
        <v>0</v>
      </c>
      <c r="J736" s="124">
        <f>IF($D736="",0,IF($F736&lt;2,0,IF($E736="Win",('Guide &amp; Settings'!$C$42/(($F736-1)*COUNTIFS($A$4:$A$1510,$A736,$E$4:$E$1510,"Win")))*SUMIFS($X$4:$X$1510,$A$4:$A$1510,$A736,$E$4:$E$1510,"Loss"),-('Guide &amp; Settings'!$C$42/($F736-1))*$X736)))</f>
        <v>0</v>
      </c>
      <c r="K736" s="124">
        <f>IF($D736="",0,'Guide &amp; Settings'!$C$43*(IF($E736="Win",1,0)-$I736))</f>
        <v>0</v>
      </c>
      <c r="L736" s="125">
        <f>IF($D736="",0,'Guide &amp; Settings'!$C$44*IF($F736&gt;=3,$F736,0))</f>
        <v>0</v>
      </c>
      <c r="M736" s="124">
        <f t="shared" si="223"/>
        <v>0</v>
      </c>
      <c r="N736" s="122">
        <f t="shared" si="224"/>
        <v>0</v>
      </c>
      <c r="O736" s="121" t="str">
        <f t="shared" si="225"/>
        <v/>
      </c>
      <c r="P736">
        <f t="shared" si="226"/>
        <v>0</v>
      </c>
      <c r="Q736">
        <f t="shared" si="227"/>
        <v>0</v>
      </c>
      <c r="R736">
        <f t="shared" si="228"/>
        <v>0</v>
      </c>
      <c r="S736">
        <f t="shared" si="229"/>
        <v>0</v>
      </c>
      <c r="T736" s="89">
        <f t="shared" si="230"/>
        <v>0</v>
      </c>
      <c r="U736" s="126">
        <f>IF($D736="",0,IFERROR(LOOKUP(2,1/(($D$3:D735=$D736)*($C$3:C735=$C736)*($A$3:A735&lt;$A736)),$AB$3:AB735),1000))</f>
        <v>0</v>
      </c>
      <c r="V736" s="126">
        <f t="shared" si="231"/>
        <v>0</v>
      </c>
      <c r="W736">
        <f t="shared" si="232"/>
        <v>0</v>
      </c>
      <c r="X736">
        <f t="shared" si="233"/>
        <v>0</v>
      </c>
      <c r="Y736">
        <f t="shared" si="234"/>
        <v>0</v>
      </c>
      <c r="Z736">
        <f t="shared" si="235"/>
        <v>0</v>
      </c>
      <c r="AA736">
        <f>IF($D736="",0,IF($F736&lt;2,0,IF($E736="Win",('Guide &amp; Settings'!$C$42/(($F736-1)*COUNTIFS($A$4:$A$1510,$A736,$E$4:$E$1510,"Win")))*SUMIFS($Z$4:$Z$1510,$A$4:$A$1510,$A736,$E$4:$E$1510,"Loss"),-('Guide &amp; Settings'!$C$42/($F736-1))*$Z736)))</f>
        <v>0</v>
      </c>
      <c r="AB736" s="126">
        <f t="shared" si="236"/>
        <v>0</v>
      </c>
      <c r="AC736" s="126" t="str">
        <f>IF($D736="","",IF($AD736=0,0,IF(COUNTIFS($D$4:$D736,$D736,$B$4:$B736,$B736)&gt;1,0,IF($B736&lt;'Guide &amp; Settings'!$C$50,0,IF(($B736-$AD736)/7-'Guide &amp; Settings'!$C$48&gt;=0,(INT(($B736-$AD736)/7-'Guide &amp; Settings'!$C$48)+1)*'Guide &amp; Settings'!$C$49,0)))))</f>
        <v/>
      </c>
      <c r="AD736" s="142">
        <f t="shared" si="237"/>
        <v>0</v>
      </c>
      <c r="AE736">
        <f t="shared" si="238"/>
        <v>0</v>
      </c>
      <c r="AF736">
        <f t="shared" si="239"/>
        <v>0</v>
      </c>
    </row>
    <row r="737" spans="1:32" x14ac:dyDescent="0.2">
      <c r="A737" s="117"/>
      <c r="B737" s="118"/>
      <c r="C737" s="119"/>
      <c r="D737" s="119"/>
      <c r="E737" s="117"/>
      <c r="F737" s="120">
        <f t="shared" si="220"/>
        <v>0</v>
      </c>
      <c r="G737" s="121" t="str">
        <f t="shared" si="221"/>
        <v/>
      </c>
      <c r="H737" s="122">
        <f>IF($D737="",0,IFERROR(LOOKUP(2,1/(($D$3:D736=$D737)*($A$3:A736&lt;$A737)),$N$3:N736),'Guide &amp; Settings'!$C$41))</f>
        <v>0</v>
      </c>
      <c r="I737" s="123">
        <f t="shared" si="222"/>
        <v>0</v>
      </c>
      <c r="J737" s="124">
        <f>IF($D737="",0,IF($F737&lt;2,0,IF($E737="Win",('Guide &amp; Settings'!$C$42/(($F737-1)*COUNTIFS($A$4:$A$1510,$A737,$E$4:$E$1510,"Win")))*SUMIFS($X$4:$X$1510,$A$4:$A$1510,$A737,$E$4:$E$1510,"Loss"),-('Guide &amp; Settings'!$C$42/($F737-1))*$X737)))</f>
        <v>0</v>
      </c>
      <c r="K737" s="124">
        <f>IF($D737="",0,'Guide &amp; Settings'!$C$43*(IF($E737="Win",1,0)-$I737))</f>
        <v>0</v>
      </c>
      <c r="L737" s="125">
        <f>IF($D737="",0,'Guide &amp; Settings'!$C$44*IF($F737&gt;=3,$F737,0))</f>
        <v>0</v>
      </c>
      <c r="M737" s="124">
        <f t="shared" si="223"/>
        <v>0</v>
      </c>
      <c r="N737" s="122">
        <f t="shared" si="224"/>
        <v>0</v>
      </c>
      <c r="O737" s="121" t="str">
        <f t="shared" si="225"/>
        <v/>
      </c>
      <c r="P737">
        <f t="shared" si="226"/>
        <v>0</v>
      </c>
      <c r="Q737">
        <f t="shared" si="227"/>
        <v>0</v>
      </c>
      <c r="R737">
        <f t="shared" si="228"/>
        <v>0</v>
      </c>
      <c r="S737">
        <f t="shared" si="229"/>
        <v>0</v>
      </c>
      <c r="T737" s="89">
        <f t="shared" si="230"/>
        <v>0</v>
      </c>
      <c r="U737" s="126">
        <f>IF($D737="",0,IFERROR(LOOKUP(2,1/(($D$3:D736=$D737)*($C$3:C736=$C737)*($A$3:A736&lt;$A737)),$AB$3:AB736),1000))</f>
        <v>0</v>
      </c>
      <c r="V737" s="126">
        <f t="shared" si="231"/>
        <v>0</v>
      </c>
      <c r="W737">
        <f t="shared" si="232"/>
        <v>0</v>
      </c>
      <c r="X737">
        <f t="shared" si="233"/>
        <v>0</v>
      </c>
      <c r="Y737">
        <f t="shared" si="234"/>
        <v>0</v>
      </c>
      <c r="Z737">
        <f t="shared" si="235"/>
        <v>0</v>
      </c>
      <c r="AA737">
        <f>IF($D737="",0,IF($F737&lt;2,0,IF($E737="Win",('Guide &amp; Settings'!$C$42/(($F737-1)*COUNTIFS($A$4:$A$1510,$A737,$E$4:$E$1510,"Win")))*SUMIFS($Z$4:$Z$1510,$A$4:$A$1510,$A737,$E$4:$E$1510,"Loss"),-('Guide &amp; Settings'!$C$42/($F737-1))*$Z737)))</f>
        <v>0</v>
      </c>
      <c r="AB737" s="126">
        <f t="shared" si="236"/>
        <v>0</v>
      </c>
      <c r="AC737" s="126" t="str">
        <f>IF($D737="","",IF($AD737=0,0,IF(COUNTIFS($D$4:$D737,$D737,$B$4:$B737,$B737)&gt;1,0,IF($B737&lt;'Guide &amp; Settings'!$C$50,0,IF(($B737-$AD737)/7-'Guide &amp; Settings'!$C$48&gt;=0,(INT(($B737-$AD737)/7-'Guide &amp; Settings'!$C$48)+1)*'Guide &amp; Settings'!$C$49,0)))))</f>
        <v/>
      </c>
      <c r="AD737" s="142">
        <f t="shared" si="237"/>
        <v>0</v>
      </c>
      <c r="AE737">
        <f t="shared" si="238"/>
        <v>0</v>
      </c>
      <c r="AF737">
        <f t="shared" si="239"/>
        <v>0</v>
      </c>
    </row>
    <row r="738" spans="1:32" x14ac:dyDescent="0.2">
      <c r="A738" s="117"/>
      <c r="B738" s="118"/>
      <c r="C738" s="119"/>
      <c r="D738" s="119"/>
      <c r="E738" s="117"/>
      <c r="F738" s="120">
        <f t="shared" si="220"/>
        <v>0</v>
      </c>
      <c r="G738" s="121" t="str">
        <f t="shared" si="221"/>
        <v/>
      </c>
      <c r="H738" s="122">
        <f>IF($D738="",0,IFERROR(LOOKUP(2,1/(($D$3:D737=$D738)*($A$3:A737&lt;$A738)),$N$3:N737),'Guide &amp; Settings'!$C$41))</f>
        <v>0</v>
      </c>
      <c r="I738" s="123">
        <f t="shared" si="222"/>
        <v>0</v>
      </c>
      <c r="J738" s="124">
        <f>IF($D738="",0,IF($F738&lt;2,0,IF($E738="Win",('Guide &amp; Settings'!$C$42/(($F738-1)*COUNTIFS($A$4:$A$1510,$A738,$E$4:$E$1510,"Win")))*SUMIFS($X$4:$X$1510,$A$4:$A$1510,$A738,$E$4:$E$1510,"Loss"),-('Guide &amp; Settings'!$C$42/($F738-1))*$X738)))</f>
        <v>0</v>
      </c>
      <c r="K738" s="124">
        <f>IF($D738="",0,'Guide &amp; Settings'!$C$43*(IF($E738="Win",1,0)-$I738))</f>
        <v>0</v>
      </c>
      <c r="L738" s="125">
        <f>IF($D738="",0,'Guide &amp; Settings'!$C$44*IF($F738&gt;=3,$F738,0))</f>
        <v>0</v>
      </c>
      <c r="M738" s="124">
        <f t="shared" si="223"/>
        <v>0</v>
      </c>
      <c r="N738" s="122">
        <f t="shared" si="224"/>
        <v>0</v>
      </c>
      <c r="O738" s="121" t="str">
        <f t="shared" si="225"/>
        <v/>
      </c>
      <c r="P738">
        <f t="shared" si="226"/>
        <v>0</v>
      </c>
      <c r="Q738">
        <f t="shared" si="227"/>
        <v>0</v>
      </c>
      <c r="R738">
        <f t="shared" si="228"/>
        <v>0</v>
      </c>
      <c r="S738">
        <f t="shared" si="229"/>
        <v>0</v>
      </c>
      <c r="T738" s="89">
        <f t="shared" si="230"/>
        <v>0</v>
      </c>
      <c r="U738" s="126">
        <f>IF($D738="",0,IFERROR(LOOKUP(2,1/(($D$3:D737=$D738)*($C$3:C737=$C738)*($A$3:A737&lt;$A738)),$AB$3:AB737),1000))</f>
        <v>0</v>
      </c>
      <c r="V738" s="126">
        <f t="shared" si="231"/>
        <v>0</v>
      </c>
      <c r="W738">
        <f t="shared" si="232"/>
        <v>0</v>
      </c>
      <c r="X738">
        <f t="shared" si="233"/>
        <v>0</v>
      </c>
      <c r="Y738">
        <f t="shared" si="234"/>
        <v>0</v>
      </c>
      <c r="Z738">
        <f t="shared" si="235"/>
        <v>0</v>
      </c>
      <c r="AA738">
        <f>IF($D738="",0,IF($F738&lt;2,0,IF($E738="Win",('Guide &amp; Settings'!$C$42/(($F738-1)*COUNTIFS($A$4:$A$1510,$A738,$E$4:$E$1510,"Win")))*SUMIFS($Z$4:$Z$1510,$A$4:$A$1510,$A738,$E$4:$E$1510,"Loss"),-('Guide &amp; Settings'!$C$42/($F738-1))*$Z738)))</f>
        <v>0</v>
      </c>
      <c r="AB738" s="126">
        <f t="shared" si="236"/>
        <v>0</v>
      </c>
      <c r="AC738" s="126" t="str">
        <f>IF($D738="","",IF($AD738=0,0,IF(COUNTIFS($D$4:$D738,$D738,$B$4:$B738,$B738)&gt;1,0,IF($B738&lt;'Guide &amp; Settings'!$C$50,0,IF(($B738-$AD738)/7-'Guide &amp; Settings'!$C$48&gt;=0,(INT(($B738-$AD738)/7-'Guide &amp; Settings'!$C$48)+1)*'Guide &amp; Settings'!$C$49,0)))))</f>
        <v/>
      </c>
      <c r="AD738" s="142">
        <f t="shared" si="237"/>
        <v>0</v>
      </c>
      <c r="AE738">
        <f t="shared" si="238"/>
        <v>0</v>
      </c>
      <c r="AF738">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42">
        <f t="shared" si="237"/>
        <v>0</v>
      </c>
      <c r="AE739">
        <f t="shared" si="238"/>
        <v>0</v>
      </c>
      <c r="AF739">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42">
        <f t="shared" si="237"/>
        <v>0</v>
      </c>
      <c r="AE740">
        <f t="shared" si="238"/>
        <v>0</v>
      </c>
      <c r="AF740">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42">
        <f t="shared" si="237"/>
        <v>0</v>
      </c>
      <c r="AE741">
        <f t="shared" si="238"/>
        <v>0</v>
      </c>
      <c r="AF741">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42">
        <f t="shared" si="237"/>
        <v>0</v>
      </c>
      <c r="AE742">
        <f t="shared" si="238"/>
        <v>0</v>
      </c>
      <c r="AF742">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42">
        <f t="shared" si="237"/>
        <v>0</v>
      </c>
      <c r="AE743">
        <f t="shared" si="238"/>
        <v>0</v>
      </c>
      <c r="AF743">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42">
        <f t="shared" si="237"/>
        <v>0</v>
      </c>
      <c r="AE744">
        <f t="shared" si="238"/>
        <v>0</v>
      </c>
      <c r="AF744">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42">
        <f t="shared" si="237"/>
        <v>0</v>
      </c>
      <c r="AE745">
        <f t="shared" si="238"/>
        <v>0</v>
      </c>
      <c r="AF745">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42">
        <f t="shared" si="237"/>
        <v>0</v>
      </c>
      <c r="AE746">
        <f t="shared" si="238"/>
        <v>0</v>
      </c>
      <c r="AF746">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42">
        <f t="shared" si="237"/>
        <v>0</v>
      </c>
      <c r="AE747">
        <f t="shared" si="238"/>
        <v>0</v>
      </c>
      <c r="AF74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42">
        <f t="shared" si="237"/>
        <v>0</v>
      </c>
      <c r="AE748">
        <f t="shared" si="238"/>
        <v>0</v>
      </c>
      <c r="AF748">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42">
        <f t="shared" si="237"/>
        <v>0</v>
      </c>
      <c r="AE749">
        <f t="shared" si="238"/>
        <v>0</v>
      </c>
      <c r="AF749">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42">
        <f t="shared" si="237"/>
        <v>0</v>
      </c>
      <c r="AE750">
        <f t="shared" si="238"/>
        <v>0</v>
      </c>
      <c r="AF750">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42">
        <f t="shared" si="237"/>
        <v>0</v>
      </c>
      <c r="AE751">
        <f t="shared" si="238"/>
        <v>0</v>
      </c>
      <c r="AF751">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42">
        <f t="shared" si="237"/>
        <v>0</v>
      </c>
      <c r="AE752">
        <f t="shared" si="238"/>
        <v>0</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2"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2" t="s">
        <v>377</v>
      </c>
      <c r="I3" s="146"/>
      <c r="J3" s="146"/>
      <c r="K3" s="146"/>
      <c r="L3" s="146"/>
      <c r="M3" s="146"/>
      <c r="N3" s="146"/>
      <c r="O3" s="146"/>
      <c r="P3" s="146"/>
      <c r="Q3" s="146"/>
      <c r="R3" s="146"/>
    </row>
    <row r="5" spans="1:18" ht="15" customHeight="1" x14ac:dyDescent="0.2">
      <c r="A5" s="160"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0"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46280</v>
      </c>
    </row>
    <row r="4" spans="1:41" ht="15" customHeight="1" x14ac:dyDescent="0.2">
      <c r="A4" t="s">
        <v>416</v>
      </c>
      <c r="B4" s="138">
        <f>MAX('Match Log'!$B$4:$B$1510)</f>
        <v>46287</v>
      </c>
      <c r="C4" t="s">
        <v>417</v>
      </c>
      <c r="D4" s="138">
        <f ca="1">MAX($B$4,TODAY())</f>
        <v>46287</v>
      </c>
    </row>
    <row r="5" spans="1:41" x14ac:dyDescent="0.2">
      <c r="B5" s="137">
        <f ca="1">TODAY()-7</f>
        <v>46280</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1232.8695151191851</v>
      </c>
      <c r="C7">
        <f>IFERROR(INDEX(Engine!$C$2:$C$15,MATCH($A7,Engine!$A$2:$A$15,0)),"")</f>
        <v>1139.0476374221903</v>
      </c>
      <c r="D7">
        <f t="shared" ref="D7:D20" si="0">RANK($B7,$B$7:$B$20)</f>
        <v>2</v>
      </c>
      <c r="E7">
        <f t="shared" ref="E7:E20" si="1">MAX($B$7:$B$20)-$B7</f>
        <v>16.059296028072367</v>
      </c>
      <c r="F7" t="str">
        <f>IFERROR(LOOKUP(2,1/('Match Log'!$D$4:$D$1510=$A7),'Match Log'!$E$4:$E$1510),"")</f>
        <v>Loss</v>
      </c>
      <c r="G7">
        <f>IF($F7="",0,SUMPRODUCT(('Match Log'!$D$4:$D$1510=$A7)*(ROW('Match Log'!$A$4:$A$1510)&gt;SUMPRODUCT(MAX(('Match Log'!$D$4:$D$1510=$A7)*('Match Log'!$E$4:$E$1510&lt;&gt;$F7)*ROW('Match Log'!$A$4:$A$1510))))))</f>
        <v>4</v>
      </c>
      <c r="H7" t="str">
        <f t="shared" ref="H7:H20" si="2">IF($G7=0,"",LEFT($F7,1)&amp;$G7)</f>
        <v>L4</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WLLLL</v>
      </c>
      <c r="J7">
        <f t="shared" ref="J7:J20" ca="1" si="3">$AL7-$AM7+$AN7-$AO7+ROW()/10000000</f>
        <v>1254.4221860966829</v>
      </c>
      <c r="K7">
        <f t="shared" ref="K7:K20" ca="1" si="4">RANK($J7,$J$7:$J$20)</f>
        <v>2</v>
      </c>
      <c r="L7">
        <f t="shared" ref="L7:L20" ca="1" si="5">$K7-RANK($AI7,$AI$7:$AI$20)</f>
        <v>-1</v>
      </c>
      <c r="M7">
        <f t="shared" ref="M7:M20" si="6">SUMPRODUCT(($D$25:$D$724=$A7)*($G$25:$G$724&gt;0.25)*($D$25:$D$724&lt;&gt;""))</f>
        <v>7</v>
      </c>
      <c r="N7">
        <f t="shared" ref="N7:N20" si="7">LEN($I7)-LEN(SUBSTITUTE($I7,"W",""))</f>
        <v>1</v>
      </c>
      <c r="O7">
        <f t="shared" ref="O7:O20" si="8">IF($F7="Win",$G7,0)</f>
        <v>0</v>
      </c>
      <c r="P7">
        <f>IFERROR(SUMPRODUCT(MAX(('Match Log'!$D$4:$D$1510=$A7)*'Match Log'!$B$4:$B$1510)),0)</f>
        <v>46287</v>
      </c>
      <c r="Q7">
        <f t="shared" ref="Q7:Q20" ca="1" si="9">IF($P7=0,"",($D$4-$P7)/7)</f>
        <v>0</v>
      </c>
      <c r="R7">
        <f ca="1">IF($P7=0,0,IF($Q7&gt;='Guide &amp; Settings'!$C$48,(INT($Q7-'Guide &amp; Settings'!$C$48)+1)*'Guide &amp; Settings'!$C$49,0))</f>
        <v>0</v>
      </c>
      <c r="S7">
        <f ca="1">$B7-$R7-$U7+SUMIF('Poker Stake Ledger'!$C$18:$C$137,$A7,'Poker Stake Ledger'!$K$18:$K$137)</f>
        <v>1211.7695151191851</v>
      </c>
      <c r="T7" t="str">
        <f ca="1">IF($P7=0,"No games",IF($Q7&gt;='Guide &amp; Settings'!$C$48,"Inactive",IF($Q7&gt;='Guide &amp; Settings'!$C$47,"At risk","Active")))</f>
        <v>Active</v>
      </c>
      <c r="U7">
        <f>SUMIF('Match Log'!$D$4:$D$1510,$A7,'Match Log'!$AC$4:$AC$1510)</f>
        <v>10</v>
      </c>
      <c r="V7">
        <f t="shared" ref="V7:V20" si="10">IF($F7="Loss",$G7,0)</f>
        <v>4</v>
      </c>
      <c r="W7">
        <f t="shared" ref="W7:W20" ca="1" si="11">MAX(0,MIN(100,50+($S7-1000)/4))</f>
        <v>100</v>
      </c>
      <c r="X7">
        <f ca="1">IFERROR(INDEX(Dashboard!$G$5:$G$18,MATCH($A7,Dashboard!$B$5:$B$18,0))*100,0)</f>
        <v>47.727272727272727</v>
      </c>
      <c r="Y7">
        <f ca="1">MIN(100,IFERROR(INDEX(Dashboard!$K$5:$K$18,MATCH($A7,Dashboard!$B$5:$B$18,0)),0)/5*50+$AC7/4*50)</f>
        <v>100</v>
      </c>
      <c r="Z7">
        <f t="shared" ref="Z7:Z20" si="12">IFERROR($N7/LEN($I7)*100,0)</f>
        <v>20</v>
      </c>
      <c r="AA7">
        <f t="shared" ref="AA7:AA20" si="13">IF($C7="",0,MAX(0,MIN(100,50+($C7-1000)/4)))</f>
        <v>84.761909355547573</v>
      </c>
      <c r="AB7">
        <f t="shared" ref="AB7:AB20" ca="1" si="14">0.35*$W7+0.2*$X7+0.2*$Y7+0.15*$Z7+0.1*$AA7</f>
        <v>76.021645481009301</v>
      </c>
      <c r="AC7">
        <f>IFERROR(SUMPRODUCT((INDEX('Sport Records'!$B$8:$O$32,0,MATCH($A7,'Sport Records'!$B$7:$O$7,0))&gt;=2)*(INDEX('Sport Records'!$B$62:$O$86,0,MATCH($A7,'Sport Records'!$B$61:$O$61,0))&gt;=0.5)),0)</f>
        <v>4</v>
      </c>
      <c r="AD7">
        <f ca="1">IFERROR(INDEX(Dashboard!$D$5:$D$18,MATCH($A7,Dashboard!$B$5:$B$18,0)),0)</f>
        <v>88</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4</v>
      </c>
      <c r="AH7">
        <f ca="1">COUNTIFS('Match Log'!$D$4:$D$1510,$A7,'Match Log'!$B$4:$B$1510,"&gt;="&amp;$B$5,'Match Log'!$E$4:$E$1510,"Win")</f>
        <v>0</v>
      </c>
      <c r="AI7">
        <f t="shared" ref="AI7:AI20" ca="1" si="16">IF(ISNUMBER($S7),$S7,-1000000)+ROW()/10000000</f>
        <v>1211.7695158191852</v>
      </c>
      <c r="AK7">
        <f ca="1">_xlfn.MAXIFS('Match Log'!$B$4:$B$1510,'Match Log'!$D$4:$D$1510,$A7,'Match Log'!$B$4:$B$1510,"&lt;="&amp;($D$4-7))</f>
        <v>46256</v>
      </c>
      <c r="AL7">
        <f ca="1">IFERROR(LOOKUP(2,1/(('Match Log'!$D$4:$D$1510=$A7)*('Match Log'!$B$4:$B$1510&lt;=$D$4-7)),'Match Log'!$N$4:$N$1510),1000)</f>
        <v>1265.5221853966827</v>
      </c>
      <c r="AM7">
        <f ca="1">SUMIFS('Match Log'!$AC$4:$AC$1510,'Match Log'!$D$4:$D$1510,$A7,'Match Log'!$B$4:$B$1510,"&lt;="&amp;($D$4-7))</f>
        <v>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1090.1293746791509</v>
      </c>
      <c r="D8">
        <f t="shared" si="0"/>
        <v>9</v>
      </c>
      <c r="E8">
        <f t="shared" si="1"/>
        <v>219.4112146137436</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929.51759733351378</v>
      </c>
      <c r="K8">
        <f t="shared" ca="1" si="4"/>
        <v>12</v>
      </c>
      <c r="L8">
        <f t="shared" ca="1" si="5"/>
        <v>0</v>
      </c>
      <c r="M8">
        <f t="shared" si="6"/>
        <v>0</v>
      </c>
      <c r="N8">
        <f t="shared" si="7"/>
        <v>2</v>
      </c>
      <c r="O8">
        <f t="shared" si="8"/>
        <v>0</v>
      </c>
      <c r="P8">
        <f>IFERROR(SUMPRODUCT(MAX(('Match Log'!$D$4:$D$1510=$A8)*'Match Log'!$B$4:$B$1510)),0)</f>
        <v>46188</v>
      </c>
      <c r="Q8">
        <f t="shared" ca="1" si="9"/>
        <v>14.142857142857142</v>
      </c>
      <c r="R8">
        <f ca="1">IF($P8=0,0,IF($Q8&gt;='Guide &amp; Settings'!$C$48,(INT($Q8-'Guide &amp; Settings'!$C$48)+1)*'Guide &amp; Settings'!$C$49,0))</f>
        <v>110</v>
      </c>
      <c r="S8">
        <f ca="1">$B8-$R8-$U8+SUMIF('Poker Stake Ledger'!$C$18:$C$137,$A8,'Poker Stake Ledger'!$K$18:$K$137)</f>
        <v>919.51759653351382</v>
      </c>
      <c r="T8" t="str">
        <f ca="1">IF($P8=0,"No games",IF($Q8&gt;='Guide &amp; Settings'!$C$48,"Inactive",IF($Q8&gt;='Guide &amp; Settings'!$C$47,"At risk","Active")))</f>
        <v>Inactive</v>
      </c>
      <c r="U8">
        <f>SUMIF('Match Log'!$D$4:$D$1510,$A8,'Match Log'!$AC$4:$AC$1510)</f>
        <v>0</v>
      </c>
      <c r="V8">
        <f t="shared" si="10"/>
        <v>2</v>
      </c>
      <c r="W8">
        <f t="shared" ca="1" si="11"/>
        <v>29.879399133378456</v>
      </c>
      <c r="X8">
        <f ca="1">IFERROR(INDEX(Dashboard!$G$5:$G$18,MATCH($A8,Dashboard!$B$5:$B$18,0))*100,0)</f>
        <v>50</v>
      </c>
      <c r="Y8">
        <f ca="1">MIN(100,IFERROR(INDEX(Dashboard!$K$5:$K$18,MATCH($A8,Dashboard!$B$5:$B$18,0)),0)/5*50+$AC8/4*50)</f>
        <v>42.5</v>
      </c>
      <c r="Z8">
        <f t="shared" si="12"/>
        <v>40</v>
      </c>
      <c r="AA8">
        <f t="shared" si="13"/>
        <v>72.532343669787736</v>
      </c>
      <c r="AB8">
        <f t="shared" ca="1" si="14"/>
        <v>42.211024063661235</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919.51759733351378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100</v>
      </c>
    </row>
    <row r="9" spans="1:41" ht="15" customHeight="1" x14ac:dyDescent="0.2">
      <c r="A9" t="s">
        <v>17</v>
      </c>
      <c r="B9">
        <f>IFERROR(INDEX(Engine!$B$2:$B$15,MATCH($A9,Engine!$A$2:$A$15,0)),1000)</f>
        <v>1081.2287215286424</v>
      </c>
      <c r="C9">
        <f>IFERROR(INDEX(Engine!$C$2:$C$15,MATCH($A9,Engine!$A$2:$A$15,0)),"")</f>
        <v>1127.7568283571582</v>
      </c>
      <c r="D9">
        <f t="shared" si="0"/>
        <v>8</v>
      </c>
      <c r="E9">
        <f t="shared" si="1"/>
        <v>167.70008961861504</v>
      </c>
      <c r="F9" t="str">
        <f>IFERROR(LOOKUP(2,1/('Match Log'!$D$4:$D$1510=$A9),'Match Log'!$E$4:$E$1510),"")</f>
        <v>Loss</v>
      </c>
      <c r="G9">
        <f>IF($F9="",0,SUMPRODUCT(('Match Log'!$D$4:$D$1510=$A9)*(ROW('Match Log'!$A$4:$A$1510)&gt;SUMPRODUCT(MAX(('Match Log'!$D$4:$D$1510=$A9)*('Match Log'!$E$4:$E$1510&lt;&gt;$F9)*ROW('Match Log'!$A$4:$A$1510))))))</f>
        <v>1</v>
      </c>
      <c r="H9" t="str">
        <f t="shared" si="2"/>
        <v>L1</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LLWWL</v>
      </c>
      <c r="J9">
        <f t="shared" ca="1" si="3"/>
        <v>1061.2287224286424</v>
      </c>
      <c r="K9">
        <f t="shared" ca="1" si="4"/>
        <v>7</v>
      </c>
      <c r="L9">
        <f t="shared" ca="1" si="5"/>
        <v>-1</v>
      </c>
      <c r="M9">
        <f t="shared" si="6"/>
        <v>0</v>
      </c>
      <c r="N9">
        <f t="shared" si="7"/>
        <v>2</v>
      </c>
      <c r="O9">
        <f t="shared" si="8"/>
        <v>0</v>
      </c>
      <c r="P9">
        <f>IFERROR(SUMPRODUCT(MAX(('Match Log'!$D$4:$D$1510=$A9)*'Match Log'!$B$4:$B$1510)),0)</f>
        <v>46274</v>
      </c>
      <c r="Q9">
        <f t="shared" ca="1" si="9"/>
        <v>1.8571428571428572</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Active</v>
      </c>
      <c r="U9">
        <f>SUMIF('Match Log'!$D$4:$D$1510,$A9,'Match Log'!$AC$4:$AC$1510)</f>
        <v>20</v>
      </c>
      <c r="V9">
        <f t="shared" si="10"/>
        <v>1</v>
      </c>
      <c r="W9">
        <f t="shared" ca="1" si="11"/>
        <v>65.307180382160595</v>
      </c>
      <c r="X9">
        <f ca="1">IFERROR(INDEX(Dashboard!$G$5:$G$18,MATCH($A9,Dashboard!$B$5:$B$18,0))*100,0)</f>
        <v>45</v>
      </c>
      <c r="Y9">
        <f ca="1">MIN(100,IFERROR(INDEX(Dashboard!$K$5:$K$18,MATCH($A9,Dashboard!$B$5:$B$18,0)),0)/5*50+$AC9/4*50)</f>
        <v>100</v>
      </c>
      <c r="Z9">
        <f t="shared" si="12"/>
        <v>40</v>
      </c>
      <c r="AA9">
        <f t="shared" si="13"/>
        <v>81.939207089289539</v>
      </c>
      <c r="AB9">
        <f t="shared" ca="1" si="14"/>
        <v>66.051433842685157</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1061.2287224286424</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1159.8121570438734</v>
      </c>
      <c r="D10">
        <f t="shared" si="0"/>
        <v>13</v>
      </c>
      <c r="E10">
        <f t="shared" si="1"/>
        <v>341.89747470608313</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887.03133744117429</v>
      </c>
      <c r="K10">
        <f t="shared" ca="1" si="4"/>
        <v>13</v>
      </c>
      <c r="L10">
        <f t="shared" ca="1" si="5"/>
        <v>0</v>
      </c>
      <c r="M10">
        <f t="shared" si="6"/>
        <v>0</v>
      </c>
      <c r="N10">
        <f t="shared" si="7"/>
        <v>0</v>
      </c>
      <c r="O10">
        <f t="shared" si="8"/>
        <v>0</v>
      </c>
      <c r="P10">
        <f>IFERROR(SUMPRODUCT(MAX(('Match Log'!$D$4:$D$1510=$A10)*'Match Log'!$B$4:$B$1510)),0)</f>
        <v>46256</v>
      </c>
      <c r="Q10">
        <f t="shared" ca="1" si="9"/>
        <v>4.4285714285714288</v>
      </c>
      <c r="R10">
        <f ca="1">IF($P10=0,0,IF($Q10&gt;='Guide &amp; Settings'!$C$48,(INT($Q10-'Guide &amp; Settings'!$C$48)+1)*'Guide &amp; Settings'!$C$49,0))</f>
        <v>10</v>
      </c>
      <c r="S10">
        <f ca="1">$B10-$R10-$U10+SUMIF('Poker Stake Ledger'!$C$18:$C$137,$A10,'Poker Stake Ledger'!$K$18:$K$137)</f>
        <v>877.03133644117429</v>
      </c>
      <c r="T10" t="str">
        <f ca="1">IF($P10=0,"No games",IF($Q10&gt;='Guide &amp; Settings'!$C$48,"Inactive",IF($Q10&gt;='Guide &amp; Settings'!$C$47,"At risk","Active")))</f>
        <v>Inactive</v>
      </c>
      <c r="U10">
        <f>SUMIF('Match Log'!$D$4:$D$1510,$A10,'Match Log'!$AC$4:$AC$1510)</f>
        <v>20</v>
      </c>
      <c r="V10">
        <f t="shared" si="10"/>
        <v>5</v>
      </c>
      <c r="W10">
        <f t="shared" ca="1" si="11"/>
        <v>19.257834110293572</v>
      </c>
      <c r="X10">
        <f ca="1">IFERROR(INDEX(Dashboard!$G$5:$G$18,MATCH($A10,Dashboard!$B$5:$B$18,0))*100,0)</f>
        <v>21.739130434782609</v>
      </c>
      <c r="Y10">
        <f ca="1">MIN(100,IFERROR(INDEX(Dashboard!$K$5:$K$18,MATCH($A10,Dashboard!$B$5:$B$18,0)),0)/5*50+$AC10/4*50)</f>
        <v>60</v>
      </c>
      <c r="Z10">
        <f t="shared" si="12"/>
        <v>0</v>
      </c>
      <c r="AA10">
        <f t="shared" si="13"/>
        <v>89.953039260968353</v>
      </c>
      <c r="AB10">
        <f t="shared" ca="1" si="14"/>
        <v>32.083371951656112</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877.03133744117429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0</v>
      </c>
    </row>
    <row r="11" spans="1:41" ht="15" customHeight="1" x14ac:dyDescent="0.2">
      <c r="A11" t="s">
        <v>19</v>
      </c>
      <c r="B11">
        <f>IFERROR(INDEX(Engine!$B$2:$B$15,MATCH($A11,Engine!$A$2:$A$15,0)),1000)</f>
        <v>1192.3121492095624</v>
      </c>
      <c r="C11">
        <f>IFERROR(INDEX(Engine!$C$2:$C$15,MATCH($A11,Engine!$A$2:$A$15,0)),"")</f>
        <v>1120.9938580011403</v>
      </c>
      <c r="D11">
        <f t="shared" si="0"/>
        <v>5</v>
      </c>
      <c r="E11">
        <f t="shared" si="1"/>
        <v>56.616661937694971</v>
      </c>
      <c r="F11" t="str">
        <f>IFERROR(LOOKUP(2,1/('Match Log'!$D$4:$D$1510=$A11),'Match Log'!$E$4:$E$1510),"")</f>
        <v>Win</v>
      </c>
      <c r="G11">
        <f>IF($F11="",0,SUMPRODUCT(('Match Log'!$D$4:$D$1510=$A11)*(ROW('Match Log'!$A$4:$A$1510)&gt;SUMPRODUCT(MAX(('Match Log'!$D$4:$D$1510=$A11)*('Match Log'!$E$4:$E$1510&lt;&gt;$F11)*ROW('Match Log'!$A$4:$A$1510))))))</f>
        <v>3</v>
      </c>
      <c r="H11" t="str">
        <f t="shared" si="2"/>
        <v>W3</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WLWWW</v>
      </c>
      <c r="J11">
        <f t="shared" ca="1" si="3"/>
        <v>1214.0621503095624</v>
      </c>
      <c r="K11">
        <f t="shared" ca="1" si="4"/>
        <v>4</v>
      </c>
      <c r="L11">
        <f t="shared" ca="1" si="5"/>
        <v>2</v>
      </c>
      <c r="M11">
        <f t="shared" si="6"/>
        <v>2</v>
      </c>
      <c r="N11">
        <f t="shared" si="7"/>
        <v>4</v>
      </c>
      <c r="O11">
        <f t="shared" si="8"/>
        <v>3</v>
      </c>
      <c r="P11">
        <f>IFERROR(SUMPRODUCT(MAX(('Match Log'!$D$4:$D$1510=$A11)*'Match Log'!$B$4:$B$1510)),0)</f>
        <v>46272</v>
      </c>
      <c r="Q11">
        <f t="shared" ca="1" si="9"/>
        <v>2.1428571428571428</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At risk</v>
      </c>
      <c r="U11">
        <f>SUMIF('Match Log'!$D$4:$D$1510,$A11,'Match Log'!$AC$4:$AC$1510)</f>
        <v>0</v>
      </c>
      <c r="V11">
        <f t="shared" si="10"/>
        <v>0</v>
      </c>
      <c r="W11">
        <f t="shared" ca="1" si="11"/>
        <v>100</v>
      </c>
      <c r="X11">
        <f ca="1">IFERROR(INDEX(Dashboard!$G$5:$G$18,MATCH($A11,Dashboard!$B$5:$B$18,0))*100,0)</f>
        <v>59.677419354838712</v>
      </c>
      <c r="Y11">
        <f ca="1">MIN(100,IFERROR(INDEX(Dashboard!$K$5:$K$18,MATCH($A11,Dashboard!$B$5:$B$18,0)),0)/5*50+$AC11/4*50)</f>
        <v>100</v>
      </c>
      <c r="Z11">
        <f t="shared" si="12"/>
        <v>80</v>
      </c>
      <c r="AA11">
        <f t="shared" si="13"/>
        <v>80.248464500285081</v>
      </c>
      <c r="AB11">
        <f t="shared" ca="1" si="14"/>
        <v>86.960330320996249</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1214.0621503095624</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1208.774905680516</v>
      </c>
      <c r="C12">
        <f>IFERROR(INDEX(Engine!$C$2:$C$15,MATCH($A12,Engine!$A$2:$A$15,0)),"")</f>
        <v>1125.0184018657783</v>
      </c>
      <c r="D12">
        <f t="shared" si="0"/>
        <v>4</v>
      </c>
      <c r="E12">
        <f t="shared" si="1"/>
        <v>40.153905466741435</v>
      </c>
      <c r="F12" t="str">
        <f>IFERROR(LOOKUP(2,1/('Match Log'!$D$4:$D$1510=$A12),'Match Log'!$E$4:$E$1510),"")</f>
        <v>Loss</v>
      </c>
      <c r="G12">
        <f>IF($F12="",0,SUMPRODUCT(('Match Log'!$D$4:$D$1510=$A12)*(ROW('Match Log'!$A$4:$A$1510)&gt;SUMPRODUCT(MAX(('Match Log'!$D$4:$D$1510=$A12)*('Match Log'!$E$4:$E$1510&lt;&gt;$F12)*ROW('Match Log'!$A$4:$A$1510))))))</f>
        <v>2</v>
      </c>
      <c r="H12" t="str">
        <f t="shared" si="2"/>
        <v>L2</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LLWLL</v>
      </c>
      <c r="J12">
        <f t="shared" ca="1" si="3"/>
        <v>1275.9914064236398</v>
      </c>
      <c r="K12">
        <f t="shared" ca="1" si="4"/>
        <v>1</v>
      </c>
      <c r="L12">
        <f t="shared" ca="1" si="5"/>
        <v>-4</v>
      </c>
      <c r="M12">
        <f t="shared" si="6"/>
        <v>6</v>
      </c>
      <c r="N12">
        <f t="shared" si="7"/>
        <v>1</v>
      </c>
      <c r="O12">
        <f t="shared" si="8"/>
        <v>0</v>
      </c>
      <c r="P12">
        <f>IFERROR(SUMPRODUCT(MAX(('Match Log'!$D$4:$D$1510=$A12)*'Match Log'!$B$4:$B$1510)),0)</f>
        <v>46287</v>
      </c>
      <c r="Q12">
        <f t="shared" ca="1" si="9"/>
        <v>0</v>
      </c>
      <c r="R12">
        <f ca="1">IF($P12=0,0,IF($Q12&gt;='Guide &amp; Settings'!$C$48,(INT($Q12-'Guide &amp; Settings'!$C$48)+1)*'Guide &amp; Settings'!$C$49,0))</f>
        <v>0</v>
      </c>
      <c r="S12">
        <f ca="1">$B12-$R12-$U12+SUMIF('Poker Stake Ledger'!$C$18:$C$137,$A12,'Poker Stake Ledger'!$K$18:$K$137)</f>
        <v>1205.024905680516</v>
      </c>
      <c r="T12" t="str">
        <f ca="1">IF($P12=0,"No games",IF($Q12&gt;='Guide &amp; Settings'!$C$48,"Inactive",IF($Q12&gt;='Guide &amp; Settings'!$C$47,"At risk","Active")))</f>
        <v>Active</v>
      </c>
      <c r="U12">
        <f>SUMIF('Match Log'!$D$4:$D$1510,$A12,'Match Log'!$AC$4:$AC$1510)</f>
        <v>0</v>
      </c>
      <c r="V12">
        <f t="shared" si="10"/>
        <v>2</v>
      </c>
      <c r="W12">
        <f t="shared" ca="1" si="11"/>
        <v>100</v>
      </c>
      <c r="X12">
        <f ca="1">IFERROR(INDEX(Dashboard!$G$5:$G$18,MATCH($A12,Dashboard!$B$5:$B$18,0))*100,0)</f>
        <v>47.712418300653596</v>
      </c>
      <c r="Y12">
        <f ca="1">MIN(100,IFERROR(INDEX(Dashboard!$K$5:$K$18,MATCH($A12,Dashboard!$B$5:$B$18,0)),0)/5*50+$AC12/4*50)</f>
        <v>100</v>
      </c>
      <c r="Z12">
        <f t="shared" si="12"/>
        <v>20</v>
      </c>
      <c r="AA12">
        <f t="shared" si="13"/>
        <v>81.254600466444572</v>
      </c>
      <c r="AB12">
        <f t="shared" ca="1" si="14"/>
        <v>75.667943706775191</v>
      </c>
      <c r="AC12">
        <f>IFERROR(SUMPRODUCT((INDEX('Sport Records'!$B$8:$O$32,0,MATCH($A12,'Sport Records'!$B$7:$O$7,0))&gt;=2)*(INDEX('Sport Records'!$B$62:$O$86,0,MATCH($A12,'Sport Records'!$B$61:$O$61,0))&gt;=0.5)),0)</f>
        <v>6</v>
      </c>
      <c r="AD12">
        <f ca="1">IFERROR(INDEX(Dashboard!$D$5:$D$18,MATCH($A12,Dashboard!$B$5:$B$18,0)),0)</f>
        <v>153</v>
      </c>
      <c r="AE12">
        <f ca="1">IFERROR(INDEX(Dashboard!$K$5:$K$18,MATCH($A12,Dashboard!$B$5:$B$18,0)),0)</f>
        <v>19</v>
      </c>
      <c r="AF12" t="str">
        <f t="shared" ca="1" si="15"/>
        <v>Elite</v>
      </c>
      <c r="AG12">
        <f ca="1">COUNTIFS('Match Log'!$D$4:$D$1510,$A12,'Match Log'!$B$4:$B$1510,"&gt;="&amp;$B$5)</f>
        <v>10</v>
      </c>
      <c r="AH12">
        <f ca="1">COUNTIFS('Match Log'!$D$4:$D$1510,$A12,'Match Log'!$B$4:$B$1510,"&gt;="&amp;$B$5,'Match Log'!$E$4:$E$1510,"Win")</f>
        <v>3</v>
      </c>
      <c r="AI12">
        <f t="shared" ca="1" si="16"/>
        <v>1205.024906880516</v>
      </c>
      <c r="AK12">
        <f ca="1">_xlfn.MAXIFS('Match Log'!$B$4:$B$1510,'Match Log'!$D$4:$D$1510,$A12,'Match Log'!$B$4:$B$1510,"&lt;="&amp;($D$4-7))</f>
        <v>46274</v>
      </c>
      <c r="AL12">
        <f ca="1">IFERROR(LOOKUP(2,1/(('Match Log'!$D$4:$D$1510=$A12)*('Match Log'!$B$4:$B$1510&lt;=$D$4-7)),'Match Log'!$N$4:$N$1510),1000)</f>
        <v>1279.7414052236397</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1075.761704803989</v>
      </c>
      <c r="D13">
        <f t="shared" si="0"/>
        <v>3</v>
      </c>
      <c r="E13">
        <f t="shared" si="1"/>
        <v>32.932629460114413</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5</v>
      </c>
      <c r="L13">
        <f t="shared" ca="1" si="5"/>
        <v>1</v>
      </c>
      <c r="M13">
        <f t="shared" si="6"/>
        <v>2</v>
      </c>
      <c r="N13">
        <f t="shared" si="7"/>
        <v>5</v>
      </c>
      <c r="O13">
        <f t="shared" si="8"/>
        <v>5</v>
      </c>
      <c r="P13">
        <f>IFERROR(SUMPRODUCT(MAX(('Match Log'!$D$4:$D$1510=$A13)*'Match Log'!$B$4:$B$1510)),0)</f>
        <v>46271</v>
      </c>
      <c r="Q13">
        <f t="shared" ca="1" si="9"/>
        <v>2.2857142857142856</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68.940426200997251</v>
      </c>
      <c r="AB13">
        <f t="shared" ca="1" si="14"/>
        <v>87.394042620099725</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1122.9551369054641</v>
      </c>
      <c r="C14">
        <f>IFERROR(INDEX(Engine!$C$2:$C$15,MATCH($A14,Engine!$A$2:$A$15,0)),"")</f>
        <v>1163.2169284484555</v>
      </c>
      <c r="D14">
        <f t="shared" si="0"/>
        <v>6</v>
      </c>
      <c r="E14">
        <f t="shared" si="1"/>
        <v>125.97367424179333</v>
      </c>
      <c r="F14" t="str">
        <f>IFERROR(LOOKUP(2,1/('Match Log'!$D$4:$D$1510=$A14),'Match Log'!$E$4:$E$1510),"")</f>
        <v>Win</v>
      </c>
      <c r="G14">
        <f>IF($F14="",0,SUMPRODUCT(('Match Log'!$D$4:$D$1510=$A14)*(ROW('Match Log'!$A$4:$A$1510)&gt;SUMPRODUCT(MAX(('Match Log'!$D$4:$D$1510=$A14)*('Match Log'!$E$4:$E$1510&lt;&gt;$F14)*ROW('Match Log'!$A$4:$A$1510))))))</f>
        <v>2</v>
      </c>
      <c r="H14" t="str">
        <f t="shared" si="2"/>
        <v>W2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WWLWW</v>
      </c>
      <c r="J14">
        <f t="shared" ca="1" si="3"/>
        <v>969.98596848484283</v>
      </c>
      <c r="K14">
        <f t="shared" ca="1" si="4"/>
        <v>10</v>
      </c>
      <c r="L14">
        <f t="shared" ca="1" si="5"/>
        <v>4</v>
      </c>
      <c r="M14">
        <f t="shared" si="6"/>
        <v>10</v>
      </c>
      <c r="N14">
        <f t="shared" si="7"/>
        <v>4</v>
      </c>
      <c r="O14">
        <f t="shared" si="8"/>
        <v>2</v>
      </c>
      <c r="P14">
        <f>IFERROR(SUMPRODUCT(MAX(('Match Log'!$D$4:$D$1510=$A14)*'Match Log'!$B$4:$B$1510)),0)</f>
        <v>46287</v>
      </c>
      <c r="Q14">
        <f t="shared" ca="1" si="9"/>
        <v>0</v>
      </c>
      <c r="R14">
        <f ca="1">IF($P14=0,0,IF($Q14&gt;='Guide &amp; Settings'!$C$48,(INT($Q14-'Guide &amp; Settings'!$C$48)+1)*'Guide &amp; Settings'!$C$49,0))</f>
        <v>0</v>
      </c>
      <c r="S14">
        <f ca="1">$B14-$R14-$U14+SUMIF('Poker Stake Ledger'!$C$18:$C$137,$A14,'Poker Stake Ledger'!$K$18:$K$137)</f>
        <v>1121.6051369054642</v>
      </c>
      <c r="T14" t="str">
        <f ca="1">IF($P14=0,"No games",IF($Q14&gt;='Guide &amp; Settings'!$C$48,"Inactive",IF($Q14&gt;='Guide &amp; Settings'!$C$47,"At risk","Active")))</f>
        <v>Active</v>
      </c>
      <c r="U14">
        <f>SUMIF('Match Log'!$D$4:$D$1510,$A14,'Match Log'!$AC$4:$AC$1510)</f>
        <v>0</v>
      </c>
      <c r="V14">
        <f t="shared" si="10"/>
        <v>0</v>
      </c>
      <c r="W14">
        <f t="shared" ca="1" si="11"/>
        <v>80.401284226366045</v>
      </c>
      <c r="X14">
        <f ca="1">IFERROR(INDEX(Dashboard!$G$5:$G$18,MATCH($A14,Dashboard!$B$5:$B$18,0))*100,0)</f>
        <v>40.28776978417266</v>
      </c>
      <c r="Y14">
        <f ca="1">MIN(100,IFERROR(INDEX(Dashboard!$K$5:$K$18,MATCH($A14,Dashboard!$B$5:$B$18,0)),0)/5*50+$AC14/4*50)</f>
        <v>100</v>
      </c>
      <c r="Z14">
        <f t="shared" si="12"/>
        <v>80</v>
      </c>
      <c r="AA14">
        <f t="shared" si="13"/>
        <v>90.80423211211388</v>
      </c>
      <c r="AB14">
        <f t="shared" ca="1" si="14"/>
        <v>77.278426647274031</v>
      </c>
      <c r="AC14">
        <f>IFERROR(SUMPRODUCT((INDEX('Sport Records'!$B$8:$O$32,0,MATCH($A14,'Sport Records'!$B$7:$O$7,0))&gt;=2)*(INDEX('Sport Records'!$B$62:$O$86,0,MATCH($A14,'Sport Records'!$B$61:$O$61,0))&gt;=0.5)),0)</f>
        <v>6</v>
      </c>
      <c r="AD14">
        <f ca="1">IFERROR(INDEX(Dashboard!$D$5:$D$18,MATCH($A14,Dashboard!$B$5:$B$18,0)),0)</f>
        <v>139</v>
      </c>
      <c r="AE14">
        <f ca="1">IFERROR(INDEX(Dashboard!$K$5:$K$18,MATCH($A14,Dashboard!$B$5:$B$18,0)),0)</f>
        <v>20</v>
      </c>
      <c r="AF14" t="str">
        <f t="shared" ca="1" si="15"/>
        <v>Elite</v>
      </c>
      <c r="AG14">
        <f ca="1">COUNTIFS('Match Log'!$D$4:$D$1510,$A14,'Match Log'!$B$4:$B$1510,"&gt;="&amp;$B$5)</f>
        <v>10</v>
      </c>
      <c r="AH14">
        <f ca="1">COUNTIFS('Match Log'!$D$4:$D$1510,$A14,'Match Log'!$B$4:$B$1510,"&gt;="&amp;$B$5,'Match Log'!$E$4:$E$1510,"Win")</f>
        <v>8</v>
      </c>
      <c r="AI14">
        <f t="shared" ca="1" si="16"/>
        <v>1121.6051383054642</v>
      </c>
      <c r="AK14">
        <f ca="1">_xlfn.MAXIFS('Match Log'!$B$4:$B$1510,'Match Log'!$D$4:$D$1510,$A14,'Match Log'!$B$4:$B$1510,"&lt;="&amp;($D$4-7))</f>
        <v>46272</v>
      </c>
      <c r="AL14">
        <f ca="1">IFERROR(LOOKUP(2,1/(('Match Log'!$D$4:$D$1510=$A14)*('Match Log'!$B$4:$B$1510&lt;=$D$4-7)),'Match Log'!$N$4:$N$1510),1000)</f>
        <v>971.33596708484288</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1248.9288111472574</v>
      </c>
      <c r="C15">
        <f>IFERROR(INDEX(Engine!$C$2:$C$15,MATCH($A15,Engine!$A$2:$A$15,0)),"")</f>
        <v>1110.8538618694322</v>
      </c>
      <c r="D15">
        <f t="shared" si="0"/>
        <v>1</v>
      </c>
      <c r="E15">
        <f t="shared" si="1"/>
        <v>0</v>
      </c>
      <c r="F15" t="str">
        <f>IFERROR(LOOKUP(2,1/('Match Log'!$D$4:$D$1510=$A15),'Match Log'!$E$4:$E$1510),"")</f>
        <v>Win</v>
      </c>
      <c r="G15">
        <f>IF($F15="",0,SUMPRODUCT(('Match Log'!$D$4:$D$1510=$A15)*(ROW('Match Log'!$A$4:$A$1510)&gt;SUMPRODUCT(MAX(('Match Log'!$D$4:$D$1510=$A15)*('Match Log'!$E$4:$E$1510&lt;&gt;$F15)*ROW('Match Log'!$A$4:$A$1510))))))</f>
        <v>3</v>
      </c>
      <c r="H15" t="str">
        <f t="shared" si="2"/>
        <v>W3</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WLWWW</v>
      </c>
      <c r="J15">
        <f t="shared" ca="1" si="3"/>
        <v>1228.9288126472575</v>
      </c>
      <c r="K15">
        <f t="shared" ca="1" si="4"/>
        <v>3</v>
      </c>
      <c r="L15">
        <f t="shared" ca="1" si="5"/>
        <v>2</v>
      </c>
      <c r="M15">
        <f t="shared" si="6"/>
        <v>3</v>
      </c>
      <c r="N15">
        <f t="shared" si="7"/>
        <v>4</v>
      </c>
      <c r="O15">
        <f t="shared" si="8"/>
        <v>3</v>
      </c>
      <c r="P15">
        <f>IFERROR(SUMPRODUCT(MAX(('Match Log'!$D$4:$D$1510=$A15)*'Match Log'!$B$4:$B$1510)),0)</f>
        <v>46256</v>
      </c>
      <c r="Q15">
        <f t="shared" ca="1" si="9"/>
        <v>4.4285714285714288</v>
      </c>
      <c r="R15">
        <f ca="1">IF($P15=0,0,IF($Q15&gt;='Guide &amp; Settings'!$C$48,(INT($Q15-'Guide &amp; Settings'!$C$48)+1)*'Guide &amp; Settings'!$C$49,0))</f>
        <v>10</v>
      </c>
      <c r="S15">
        <f ca="1">$B15-$R15-$U15+SUMIF('Poker Stake Ledger'!$C$18:$C$137,$A15,'Poker Stake Ledger'!$K$18:$K$137)</f>
        <v>1218.9288111472574</v>
      </c>
      <c r="T15" t="str">
        <f ca="1">IF($P15=0,"No games",IF($Q15&gt;='Guide &amp; Settings'!$C$48,"Inactive",IF($Q15&gt;='Guide &amp; Settings'!$C$47,"At risk","Active")))</f>
        <v>Inactive</v>
      </c>
      <c r="U15">
        <f>SUMIF('Match Log'!$D$4:$D$1510,$A15,'Match Log'!$AC$4:$AC$1510)</f>
        <v>20</v>
      </c>
      <c r="V15">
        <f t="shared" si="10"/>
        <v>0</v>
      </c>
      <c r="W15">
        <f t="shared" ca="1" si="11"/>
        <v>100</v>
      </c>
      <c r="X15">
        <f ca="1">IFERROR(INDEX(Dashboard!$G$5:$G$18,MATCH($A15,Dashboard!$B$5:$B$18,0))*100,0)</f>
        <v>61.53846153846154</v>
      </c>
      <c r="Y15">
        <f ca="1">MIN(100,IFERROR(INDEX(Dashboard!$K$5:$K$18,MATCH($A15,Dashboard!$B$5:$B$18,0)),0)/5*50+$AC15/4*50)</f>
        <v>100</v>
      </c>
      <c r="Z15">
        <f t="shared" si="12"/>
        <v>80</v>
      </c>
      <c r="AA15">
        <f t="shared" si="13"/>
        <v>77.713465467358048</v>
      </c>
      <c r="AB15">
        <f t="shared" ca="1" si="14"/>
        <v>87.079038854428106</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1218.9288126472575</v>
      </c>
      <c r="AK15">
        <f ca="1">_xlfn.MAXIFS('Match Log'!$B$4:$B$1510,'Match Log'!$D$4:$D$1510,$A15,'Match Log'!$B$4:$B$1510,"&lt;="&amp;($D$4-7))</f>
        <v>46256</v>
      </c>
      <c r="AL15">
        <f ca="1">IFERROR(LOOKUP(2,1/(('Match Log'!$D$4:$D$1510=$A15)*('Match Log'!$B$4:$B$1510&lt;=$D$4-7)),'Match Log'!$N$4:$N$1510),1000)</f>
        <v>1248.9288111472574</v>
      </c>
      <c r="AM15">
        <f ca="1">SUMIFS('Match Log'!$AC$4:$AC$1510,'Match Log'!$D$4:$D$1510,$A15,'Match Log'!$B$4:$B$1510,"&lt;="&amp;($D$4-7))</f>
        <v>20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1111.7657118679115</v>
      </c>
      <c r="D16">
        <f t="shared" si="0"/>
        <v>14</v>
      </c>
      <c r="E16">
        <f t="shared" si="1"/>
        <v>386.70586741048248</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802.22294533677496</v>
      </c>
      <c r="K16">
        <f t="shared" ca="1" si="4"/>
        <v>14</v>
      </c>
      <c r="L16">
        <f t="shared" ca="1" si="5"/>
        <v>0</v>
      </c>
      <c r="M16">
        <f t="shared" si="6"/>
        <v>1</v>
      </c>
      <c r="N16">
        <f t="shared" si="7"/>
        <v>0</v>
      </c>
      <c r="O16">
        <f t="shared" si="8"/>
        <v>0</v>
      </c>
      <c r="P16">
        <f>IFERROR(SUMPRODUCT(MAX(('Match Log'!$D$4:$D$1510=$A16)*'Match Log'!$B$4:$B$1510)),0)</f>
        <v>46222</v>
      </c>
      <c r="Q16">
        <f t="shared" ca="1" si="9"/>
        <v>9.2857142857142865</v>
      </c>
      <c r="R16">
        <f ca="1">IF($P16=0,0,IF($Q16&gt;='Guide &amp; Settings'!$C$48,(INT($Q16-'Guide &amp; Settings'!$C$48)+1)*'Guide &amp; Settings'!$C$49,0))</f>
        <v>60</v>
      </c>
      <c r="S16">
        <f ca="1">$B16-$R16-$U16+SUMIF('Poker Stake Ledger'!$C$18:$C$137,$A16,'Poker Stake Ledger'!$K$18:$K$137)</f>
        <v>792.22294373677494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77.941427966977869</v>
      </c>
      <c r="AB16">
        <f t="shared" ca="1" si="14"/>
        <v>16.460809463364455</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792.22294533677496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50</v>
      </c>
    </row>
    <row r="17" spans="1:41" ht="15" customHeight="1" x14ac:dyDescent="0.2">
      <c r="A17" t="s">
        <v>25</v>
      </c>
      <c r="B17">
        <f>IFERROR(INDEX(Engine!$B$2:$B$15,MATCH($A17,Engine!$A$2:$A$15,0)),1000)</f>
        <v>944.39454678356583</v>
      </c>
      <c r="C17">
        <f>IFERROR(INDEX(Engine!$C$2:$C$15,MATCH($A17,Engine!$A$2:$A$15,0)),"")</f>
        <v>1171.2070927192344</v>
      </c>
      <c r="D17">
        <f t="shared" si="0"/>
        <v>12</v>
      </c>
      <c r="E17">
        <f t="shared" si="1"/>
        <v>304.53426436369159</v>
      </c>
      <c r="F17" t="str">
        <f>IFERROR(LOOKUP(2,1/('Match Log'!$D$4:$D$1510=$A17),'Match Log'!$E$4:$E$1510),"")</f>
        <v>Loss</v>
      </c>
      <c r="G17">
        <f>IF($F17="",0,SUMPRODUCT(('Match Log'!$D$4:$D$1510=$A17)*(ROW('Match Log'!$A$4:$A$1510)&gt;SUMPRODUCT(MAX(('Match Log'!$D$4:$D$1510=$A17)*('Match Log'!$E$4:$E$1510&lt;&gt;$F17)*ROW('Match Log'!$A$4:$A$1510))))))</f>
        <v>8</v>
      </c>
      <c r="H17" t="str">
        <f t="shared" si="2"/>
        <v>L8</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LLLLL</v>
      </c>
      <c r="J17">
        <f t="shared" ca="1" si="3"/>
        <v>944.39454848356581</v>
      </c>
      <c r="K17">
        <f t="shared" ca="1" si="4"/>
        <v>11</v>
      </c>
      <c r="L17">
        <f t="shared" ca="1" si="5"/>
        <v>0</v>
      </c>
      <c r="M17">
        <f t="shared" si="6"/>
        <v>4</v>
      </c>
      <c r="N17">
        <f t="shared" si="7"/>
        <v>0</v>
      </c>
      <c r="O17">
        <f t="shared" si="8"/>
        <v>0</v>
      </c>
      <c r="P17">
        <f>IFERROR(SUMPRODUCT(MAX(('Match Log'!$D$4:$D$1510=$A17)*'Match Log'!$B$4:$B$1510)),0)</f>
        <v>46271</v>
      </c>
      <c r="Q17">
        <f t="shared" ca="1" si="9"/>
        <v>2.2857142857142856</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At risk</v>
      </c>
      <c r="U17">
        <f>SUMIF('Match Log'!$D$4:$D$1510,$A17,'Match Log'!$AC$4:$AC$1510)</f>
        <v>0</v>
      </c>
      <c r="V17">
        <f t="shared" si="10"/>
        <v>8</v>
      </c>
      <c r="W17">
        <f t="shared" ca="1" si="11"/>
        <v>36.098636695891457</v>
      </c>
      <c r="X17">
        <f ca="1">IFERROR(INDEX(Dashboard!$G$5:$G$18,MATCH($A17,Dashboard!$B$5:$B$18,0))*100,0)</f>
        <v>34.146341463414636</v>
      </c>
      <c r="Y17">
        <f ca="1">MIN(100,IFERROR(INDEX(Dashboard!$K$5:$K$18,MATCH($A17,Dashboard!$B$5:$B$18,0)),0)/5*50+$AC17/4*50)</f>
        <v>100</v>
      </c>
      <c r="Z17">
        <f t="shared" si="12"/>
        <v>0</v>
      </c>
      <c r="AA17">
        <f t="shared" si="13"/>
        <v>92.801773179808606</v>
      </c>
      <c r="AB17">
        <f t="shared" ca="1" si="14"/>
        <v>48.743968454225794</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5"/>
        <v>Mid</v>
      </c>
      <c r="AG17">
        <f ca="1">COUNTIFS('Match Log'!$D$4:$D$1510,$A17,'Match Log'!$B$4:$B$1510,"&gt;="&amp;$B$5)</f>
        <v>0</v>
      </c>
      <c r="AH17">
        <f ca="1">COUNTIFS('Match Log'!$D$4:$D$1510,$A17,'Match Log'!$B$4:$B$1510,"&gt;="&amp;$B$5,'Match Log'!$E$4:$E$1510,"Win")</f>
        <v>0</v>
      </c>
      <c r="AI17">
        <f t="shared" ca="1" si="16"/>
        <v>944.39454848356581</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1059.6253815425109</v>
      </c>
      <c r="D18">
        <f t="shared" si="0"/>
        <v>7</v>
      </c>
      <c r="E18">
        <f t="shared" si="1"/>
        <v>161.37991644077192</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1077.5488965064856</v>
      </c>
      <c r="K18">
        <f t="shared" ca="1" si="4"/>
        <v>6</v>
      </c>
      <c r="L18">
        <f t="shared" ca="1" si="5"/>
        <v>-1</v>
      </c>
      <c r="M18">
        <f t="shared" si="6"/>
        <v>2</v>
      </c>
      <c r="N18">
        <f t="shared" si="7"/>
        <v>3</v>
      </c>
      <c r="O18">
        <f t="shared" si="8"/>
        <v>1</v>
      </c>
      <c r="P18">
        <f>IFERROR(SUMPRODUCT(MAX(('Match Log'!$D$4:$D$1510=$A18)*'Match Log'!$B$4:$B$1510)),0)</f>
        <v>46249</v>
      </c>
      <c r="Q18">
        <f t="shared" ca="1" si="9"/>
        <v>5.4285714285714288</v>
      </c>
      <c r="R18">
        <f ca="1">IF($P18=0,0,IF($Q18&gt;='Guide &amp; Settings'!$C$48,(INT($Q18-'Guide &amp; Settings'!$C$48)+1)*'Guide &amp; Settings'!$C$49,0))</f>
        <v>20</v>
      </c>
      <c r="S18">
        <f ca="1">$B18-$R18-$U18+SUMIF('Poker Stake Ledger'!$C$18:$C$137,$A18,'Poker Stake Ledger'!$K$18:$K$137)</f>
        <v>1067.5488947064855</v>
      </c>
      <c r="T18" t="str">
        <f ca="1">IF($P18=0,"No games",IF($Q18&gt;='Guide &amp; Settings'!$C$48,"Inactive",IF($Q18&gt;='Guide &amp; Settings'!$C$47,"At risk","Active")))</f>
        <v>Inactive</v>
      </c>
      <c r="U18">
        <f>SUMIF('Match Log'!$D$4:$D$1510,$A18,'Match Log'!$AC$4:$AC$1510)</f>
        <v>0</v>
      </c>
      <c r="V18">
        <f t="shared" si="10"/>
        <v>0</v>
      </c>
      <c r="W18">
        <f t="shared" ca="1" si="11"/>
        <v>66.887223676621375</v>
      </c>
      <c r="X18">
        <f ca="1">IFERROR(INDEX(Dashboard!$G$5:$G$18,MATCH($A18,Dashboard!$B$5:$B$18,0))*100,0)</f>
        <v>46.666666666666664</v>
      </c>
      <c r="Y18">
        <f ca="1">MIN(100,IFERROR(INDEX(Dashboard!$K$5:$K$18,MATCH($A18,Dashboard!$B$5:$B$18,0)),0)/5*50+$AC18/4*50)</f>
        <v>65</v>
      </c>
      <c r="Z18">
        <f t="shared" si="12"/>
        <v>60</v>
      </c>
      <c r="AA18">
        <f t="shared" si="13"/>
        <v>64.906345385627731</v>
      </c>
      <c r="AB18">
        <f t="shared" ca="1" si="14"/>
        <v>61.23449615871359</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1067.5488965064856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10</v>
      </c>
    </row>
    <row r="19" spans="1:41" ht="15" customHeight="1" x14ac:dyDescent="0.2">
      <c r="A19" t="s">
        <v>27</v>
      </c>
      <c r="B19">
        <f>IFERROR(INDEX(Engine!$B$2:$B$15,MATCH($A19,Engine!$A$2:$A$15,0)),1000)</f>
        <v>1023.2192605207141</v>
      </c>
      <c r="C19">
        <f>IFERROR(INDEX(Engine!$C$2:$C$15,MATCH($A19,Engine!$A$2:$A$15,0)),"")</f>
        <v>1092.8470236980786</v>
      </c>
      <c r="D19">
        <f t="shared" si="0"/>
        <v>10</v>
      </c>
      <c r="E19">
        <f t="shared" si="1"/>
        <v>225.70955062654332</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1013.2192624207141</v>
      </c>
      <c r="K19">
        <f t="shared" ca="1" si="4"/>
        <v>8</v>
      </c>
      <c r="L19">
        <f t="shared" ca="1" si="5"/>
        <v>-1</v>
      </c>
      <c r="M19">
        <f t="shared" si="6"/>
        <v>0</v>
      </c>
      <c r="N19">
        <f t="shared" si="7"/>
        <v>0</v>
      </c>
      <c r="O19">
        <f t="shared" si="8"/>
        <v>0</v>
      </c>
      <c r="P19">
        <f>IFERROR(SUMPRODUCT(MAX(('Match Log'!$D$4:$D$1510=$A19)*'Match Log'!$B$4:$B$1510)),0)</f>
        <v>46249</v>
      </c>
      <c r="Q19">
        <f t="shared" ca="1" si="9"/>
        <v>5.4285714285714288</v>
      </c>
      <c r="R19">
        <f ca="1">IF($P19=0,0,IF($Q19&gt;='Guide &amp; Settings'!$C$48,(INT($Q19-'Guide &amp; Settings'!$C$48)+1)*'Guide &amp; Settings'!$C$49,0))</f>
        <v>20</v>
      </c>
      <c r="S19">
        <f ca="1">$B19-$R19-$U19+SUMIF('Poker Stake Ledger'!$C$18:$C$137,$A19,'Poker Stake Ledger'!$K$18:$K$137)</f>
        <v>1003.2192605207141</v>
      </c>
      <c r="T19" t="str">
        <f ca="1">IF($P19=0,"No games",IF($Q19&gt;='Guide &amp; Settings'!$C$48,"Inactive",IF($Q19&gt;='Guide &amp; Settings'!$C$47,"At risk","Active")))</f>
        <v>Inactive</v>
      </c>
      <c r="U19">
        <f>SUMIF('Match Log'!$D$4:$D$1510,$A19,'Match Log'!$AC$4:$AC$1510)</f>
        <v>0</v>
      </c>
      <c r="V19">
        <f t="shared" si="10"/>
        <v>6</v>
      </c>
      <c r="W19">
        <f t="shared" ca="1" si="11"/>
        <v>50.804815130178525</v>
      </c>
      <c r="X19">
        <f ca="1">IFERROR(INDEX(Dashboard!$G$5:$G$18,MATCH($A19,Dashboard!$B$5:$B$18,0))*100,0)</f>
        <v>40</v>
      </c>
      <c r="Y19">
        <f ca="1">MIN(100,IFERROR(INDEX(Dashboard!$K$5:$K$18,MATCH($A19,Dashboard!$B$5:$B$18,0)),0)/5*50+$AC19/4*50)</f>
        <v>65</v>
      </c>
      <c r="Z19">
        <f t="shared" si="12"/>
        <v>0</v>
      </c>
      <c r="AA19">
        <f t="shared" si="13"/>
        <v>73.21175592451965</v>
      </c>
      <c r="AB19">
        <f t="shared" ca="1" si="14"/>
        <v>46.102860888014447</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1003.2192624207141</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10</v>
      </c>
    </row>
    <row r="20" spans="1:41" ht="15" customHeight="1" x14ac:dyDescent="0.2">
      <c r="A20" t="s">
        <v>28</v>
      </c>
      <c r="B20">
        <f>IFERROR(INDEX(Engine!$B$2:$B$15,MATCH($A20,Engine!$A$2:$A$15,0)),1000)</f>
        <v>1000</v>
      </c>
      <c r="C20" t="str">
        <f>IFERROR(INDEX(Engine!$C$2:$C$15,MATCH($A20,Engine!$A$2:$A$15,0)),"")</f>
        <v/>
      </c>
      <c r="D20">
        <f t="shared" si="0"/>
        <v>11</v>
      </c>
      <c r="E20">
        <f t="shared" si="1"/>
        <v>248.92881114725742</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f t="shared" ca="1" si="31"/>
        <v>0.16894376923076918</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f t="shared" ca="1" si="31"/>
        <v>0.11859311888111874</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f t="shared" ca="1" si="31"/>
        <v>7.3193428115015932E-2</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f t="shared" ca="1" si="31"/>
        <v>-3.2548064516129224E-2</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f t="shared" ca="1" si="31"/>
        <v>-1.2156248224504769</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f t="shared" ca="1" si="31"/>
        <v>-7.4918865671641785E-2</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f t="shared" ca="1" si="31"/>
        <v>-0.13636959401100024</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f t="shared" ca="1" si="31"/>
        <v>-0.17364643553008594</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f t="shared" ca="1" si="31"/>
        <v>2.2636206380857438E-2</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f t="shared" ca="1" si="31"/>
        <v>-7.7586865671640899E-3</v>
      </c>
    </row>
    <row r="321" spans="1:25" x14ac:dyDescent="0.2">
      <c r="A321">
        <v>297</v>
      </c>
      <c r="B321" t="str">
        <f>IFERROR(INDEX('Match Log'!$B$4:$B$1510,MATCH($A321,'Match Log'!$A$4:$A$1510,0)),"")</f>
        <v/>
      </c>
      <c r="C321" t="str">
        <f>IFERROR(INDEX('Match Log'!$C$4:$C$1510,MATCH($A321,'Match Log'!$A$4:$A$1510,0)),"")</f>
        <v/>
      </c>
      <c r="D321" t="str">
        <f t="array" ref="D321">IFERROR(_xlfn.TEXTJOIN(" + ",TRUE(),IF(('Match Log'!$A$4:$A$1510=$A321)*('Match Log'!$E$4:$E$1510="Win"),'Match Log'!$D$4:$D$1510,"")),IFERROR(LOOKUP(2,1/(('Match Log'!$A$4:$A$1510=$A321)*('Match Log'!$E$4:$E$1510="Win")),'Match Log'!$D$4:$D$1510),""))</f>
        <v/>
      </c>
      <c r="E321" t="str">
        <f>IFERROR(INDEX('Match Log'!$F$4:$F$1510,MATCH($A321,'Match Log'!$A$4:$A$1510,0)),"")</f>
        <v/>
      </c>
      <c r="F321">
        <f>IFERROR(SUMIFS('Match Log'!$I$4:$I$1510,'Match Log'!$A$4:$A$1510,$A321,'Match Log'!$E$4:$E$1510,"Win"),"")</f>
        <v>0</v>
      </c>
      <c r="G321" t="str">
        <f t="shared" si="29"/>
        <v/>
      </c>
      <c r="H321" t="str">
        <f t="array" ref="H321">IFERROR(IF(COUNTIFS('Match Log'!$A$4:$A$1510,$A321,'Match Log'!$E$4:$E$1510,"Win")&gt;1,_xlfn.TEXTJOIN(" + ",TRUE(),IF(('Match Log'!$A$4:$A$1510=$A321)*('Match Log'!$E$4:$E$1510="Loss"),'Match Log'!$D$4:$D$1510,"")),IF($E321=2,LOOKUP(2,1/(('Match Log'!$A$4:$A$1510=$A321)*('Match Log'!$E$4:$E$1510="Loss")),'Match Log'!$D$4:$D$1510),"the field")),"")</f>
        <v>the field</v>
      </c>
      <c r="I321" t="str">
        <f t="shared" si="30"/>
        <v/>
      </c>
      <c r="J321">
        <v>297</v>
      </c>
      <c r="K321" t="e">
        <f>IF($J321&gt;MAX('Match Log'!$A$4:$A$1510),NA(),IFERROR(LOOKUP(2,1/(('Match Log'!$D$4:$D$1510=$K$24)*('Match Log'!$A$4:$A$1510&lt;=$J321)),'Match Log'!$N$4:$N$1510),NA()))</f>
        <v>#N/A</v>
      </c>
      <c r="L321" t="e">
        <f>IF($J321&gt;MAX('Match Log'!$A$4:$A$1510),NA(),IFERROR(LOOKUP(2,1/(('Match Log'!$D$4:$D$1510=$L$24)*('Match Log'!$A$4:$A$1510&lt;=$J321)),'Match Log'!$N$4:$N$1510),NA()))</f>
        <v>#N/A</v>
      </c>
      <c r="M321" t="e">
        <f>IF($J321&gt;MAX('Match Log'!$A$4:$A$1510),NA(),IFERROR(LOOKUP(2,1/(('Match Log'!$D$4:$D$1510=$M$24)*('Match Log'!$A$4:$A$1510&lt;=$J321)),'Match Log'!$N$4:$N$1510),NA()))</f>
        <v>#N/A</v>
      </c>
      <c r="N321" t="e">
        <f>IF($J321&gt;MAX('Match Log'!$A$4:$A$1510),NA(),IFERROR(LOOKUP(2,1/(('Match Log'!$D$4:$D$1510=$N$24)*('Match Log'!$A$4:$A$1510&lt;=$J321)),'Match Log'!$N$4:$N$1510),NA()))</f>
        <v>#N/A</v>
      </c>
      <c r="O321" t="e">
        <f>IF($J321&gt;MAX('Match Log'!$A$4:$A$1510),NA(),IFERROR(LOOKUP(2,1/(('Match Log'!$D$4:$D$1510=$O$24)*('Match Log'!$A$4:$A$1510&lt;=$J321)),'Match Log'!$N$4:$N$1510),NA()))</f>
        <v>#N/A</v>
      </c>
      <c r="P321" t="e">
        <f>IF($J321&gt;MAX('Match Log'!$A$4:$A$1510),NA(),IFERROR(LOOKUP(2,1/(('Match Log'!$D$4:$D$1510=$P$24)*('Match Log'!$A$4:$A$1510&lt;=$J321)),'Match Log'!$N$4:$N$1510),NA()))</f>
        <v>#N/A</v>
      </c>
      <c r="Q321" t="e">
        <f>IF($J321&gt;MAX('Match Log'!$A$4:$A$1510),NA(),IFERROR(LOOKUP(2,1/(('Match Log'!$D$4:$D$1510=$Q$24)*('Match Log'!$A$4:$A$1510&lt;=$J321)),'Match Log'!$N$4:$N$1510),NA()))</f>
        <v>#N/A</v>
      </c>
      <c r="R321" t="e">
        <f>IF($J321&gt;MAX('Match Log'!$A$4:$A$1510),NA(),IFERROR(LOOKUP(2,1/(('Match Log'!$D$4:$D$1510=$R$24)*('Match Log'!$A$4:$A$1510&lt;=$J321)),'Match Log'!$N$4:$N$1510),NA()))</f>
        <v>#N/A</v>
      </c>
      <c r="S321" t="e">
        <f>IF($J321&gt;MAX('Match Log'!$A$4:$A$1510),NA(),IFERROR(LOOKUP(2,1/(('Match Log'!$D$4:$D$1510=$S$24)*('Match Log'!$A$4:$A$1510&lt;=$J321)),'Match Log'!$N$4:$N$1510),NA()))</f>
        <v>#N/A</v>
      </c>
      <c r="T321" t="e">
        <f>IF($J321&gt;MAX('Match Log'!$A$4:$A$1510),NA(),IFERROR(LOOKUP(2,1/(('Match Log'!$D$4:$D$1510=$T$24)*('Match Log'!$A$4:$A$1510&lt;=$J321)),'Match Log'!$N$4:$N$1510),NA()))</f>
        <v>#N/A</v>
      </c>
      <c r="U321" t="e">
        <f>IF($J321&gt;MAX('Match Log'!$A$4:$A$1510),NA(),IFERROR(LOOKUP(2,1/(('Match Log'!$D$4:$D$1510=$U$24)*('Match Log'!$A$4:$A$1510&lt;=$J321)),'Match Log'!$N$4:$N$1510),NA()))</f>
        <v>#N/A</v>
      </c>
      <c r="V321" t="e">
        <f>IF($J321&gt;MAX('Match Log'!$A$4:$A$1510),NA(),IFERROR(LOOKUP(2,1/(('Match Log'!$D$4:$D$1510=$V$24)*('Match Log'!$A$4:$A$1510&lt;=$J321)),'Match Log'!$N$4:$N$1510),NA()))</f>
        <v>#N/A</v>
      </c>
      <c r="W321" t="e">
        <f>IF($J321&gt;MAX('Match Log'!$A$4:$A$1510),NA(),IFERROR(LOOKUP(2,1/(('Match Log'!$D$4:$D$1510=$W$24)*('Match Log'!$A$4:$A$1510&lt;=$J321)),'Match Log'!$N$4:$N$1510),NA()))</f>
        <v>#N/A</v>
      </c>
      <c r="X321" t="e">
        <f>IF($J321&gt;MAX('Match Log'!$A$4:$A$1510),NA(),IFERROR(LOOKUP(2,1/(('Match Log'!$D$4:$D$1510=$X$24)*('Match Log'!$A$4:$A$1510&lt;=$J321)),'Match Log'!$N$4:$N$1510),NA()))</f>
        <v>#N/A</v>
      </c>
      <c r="Y321" t="str">
        <f t="shared" ca="1" si="31"/>
        <v/>
      </c>
    </row>
    <row r="322" spans="1:25" x14ac:dyDescent="0.2">
      <c r="A322">
        <v>298</v>
      </c>
      <c r="B322" t="str">
        <f>IFERROR(INDEX('Match Log'!$B$4:$B$1510,MATCH($A322,'Match Log'!$A$4:$A$1510,0)),"")</f>
        <v/>
      </c>
      <c r="C322" t="str">
        <f>IFERROR(INDEX('Match Log'!$C$4:$C$1510,MATCH($A322,'Match Log'!$A$4:$A$1510,0)),"")</f>
        <v/>
      </c>
      <c r="D322" t="str">
        <f t="array" ref="D322">IFERROR(_xlfn.TEXTJOIN(" + ",TRUE(),IF(('Match Log'!$A$4:$A$1510=$A322)*('Match Log'!$E$4:$E$1510="Win"),'Match Log'!$D$4:$D$1510,"")),IFERROR(LOOKUP(2,1/(('Match Log'!$A$4:$A$1510=$A322)*('Match Log'!$E$4:$E$1510="Win")),'Match Log'!$D$4:$D$1510),""))</f>
        <v/>
      </c>
      <c r="E322" t="str">
        <f>IFERROR(INDEX('Match Log'!$F$4:$F$1510,MATCH($A322,'Match Log'!$A$4:$A$1510,0)),"")</f>
        <v/>
      </c>
      <c r="F322">
        <f>IFERROR(SUMIFS('Match Log'!$I$4:$I$1510,'Match Log'!$A$4:$A$1510,$A322,'Match Log'!$E$4:$E$1510,"Win"),"")</f>
        <v>0</v>
      </c>
      <c r="G322" t="str">
        <f t="shared" si="29"/>
        <v/>
      </c>
      <c r="H322" t="str">
        <f t="array" ref="H322">IFERROR(IF(COUNTIFS('Match Log'!$A$4:$A$1510,$A322,'Match Log'!$E$4:$E$1510,"Win")&gt;1,_xlfn.TEXTJOIN(" + ",TRUE(),IF(('Match Log'!$A$4:$A$1510=$A322)*('Match Log'!$E$4:$E$1510="Loss"),'Match Log'!$D$4:$D$1510,"")),IF($E322=2,LOOKUP(2,1/(('Match Log'!$A$4:$A$1510=$A322)*('Match Log'!$E$4:$E$1510="Loss")),'Match Log'!$D$4:$D$1510),"the field")),"")</f>
        <v>the field</v>
      </c>
      <c r="I322" t="str">
        <f t="shared" si="30"/>
        <v/>
      </c>
      <c r="J322">
        <v>298</v>
      </c>
      <c r="K322" t="e">
        <f>IF($J322&gt;MAX('Match Log'!$A$4:$A$1510),NA(),IFERROR(LOOKUP(2,1/(('Match Log'!$D$4:$D$1510=$K$24)*('Match Log'!$A$4:$A$1510&lt;=$J322)),'Match Log'!$N$4:$N$1510),NA()))</f>
        <v>#N/A</v>
      </c>
      <c r="L322" t="e">
        <f>IF($J322&gt;MAX('Match Log'!$A$4:$A$1510),NA(),IFERROR(LOOKUP(2,1/(('Match Log'!$D$4:$D$1510=$L$24)*('Match Log'!$A$4:$A$1510&lt;=$J322)),'Match Log'!$N$4:$N$1510),NA()))</f>
        <v>#N/A</v>
      </c>
      <c r="M322" t="e">
        <f>IF($J322&gt;MAX('Match Log'!$A$4:$A$1510),NA(),IFERROR(LOOKUP(2,1/(('Match Log'!$D$4:$D$1510=$M$24)*('Match Log'!$A$4:$A$1510&lt;=$J322)),'Match Log'!$N$4:$N$1510),NA()))</f>
        <v>#N/A</v>
      </c>
      <c r="N322" t="e">
        <f>IF($J322&gt;MAX('Match Log'!$A$4:$A$1510),NA(),IFERROR(LOOKUP(2,1/(('Match Log'!$D$4:$D$1510=$N$24)*('Match Log'!$A$4:$A$1510&lt;=$J322)),'Match Log'!$N$4:$N$1510),NA()))</f>
        <v>#N/A</v>
      </c>
      <c r="O322" t="e">
        <f>IF($J322&gt;MAX('Match Log'!$A$4:$A$1510),NA(),IFERROR(LOOKUP(2,1/(('Match Log'!$D$4:$D$1510=$O$24)*('Match Log'!$A$4:$A$1510&lt;=$J322)),'Match Log'!$N$4:$N$1510),NA()))</f>
        <v>#N/A</v>
      </c>
      <c r="P322" t="e">
        <f>IF($J322&gt;MAX('Match Log'!$A$4:$A$1510),NA(),IFERROR(LOOKUP(2,1/(('Match Log'!$D$4:$D$1510=$P$24)*('Match Log'!$A$4:$A$1510&lt;=$J322)),'Match Log'!$N$4:$N$1510),NA()))</f>
        <v>#N/A</v>
      </c>
      <c r="Q322" t="e">
        <f>IF($J322&gt;MAX('Match Log'!$A$4:$A$1510),NA(),IFERROR(LOOKUP(2,1/(('Match Log'!$D$4:$D$1510=$Q$24)*('Match Log'!$A$4:$A$1510&lt;=$J322)),'Match Log'!$N$4:$N$1510),NA()))</f>
        <v>#N/A</v>
      </c>
      <c r="R322" t="e">
        <f>IF($J322&gt;MAX('Match Log'!$A$4:$A$1510),NA(),IFERROR(LOOKUP(2,1/(('Match Log'!$D$4:$D$1510=$R$24)*('Match Log'!$A$4:$A$1510&lt;=$J322)),'Match Log'!$N$4:$N$1510),NA()))</f>
        <v>#N/A</v>
      </c>
      <c r="S322" t="e">
        <f>IF($J322&gt;MAX('Match Log'!$A$4:$A$1510),NA(),IFERROR(LOOKUP(2,1/(('Match Log'!$D$4:$D$1510=$S$24)*('Match Log'!$A$4:$A$1510&lt;=$J322)),'Match Log'!$N$4:$N$1510),NA()))</f>
        <v>#N/A</v>
      </c>
      <c r="T322" t="e">
        <f>IF($J322&gt;MAX('Match Log'!$A$4:$A$1510),NA(),IFERROR(LOOKUP(2,1/(('Match Log'!$D$4:$D$1510=$T$24)*('Match Log'!$A$4:$A$1510&lt;=$J322)),'Match Log'!$N$4:$N$1510),NA()))</f>
        <v>#N/A</v>
      </c>
      <c r="U322" t="e">
        <f>IF($J322&gt;MAX('Match Log'!$A$4:$A$1510),NA(),IFERROR(LOOKUP(2,1/(('Match Log'!$D$4:$D$1510=$U$24)*('Match Log'!$A$4:$A$1510&lt;=$J322)),'Match Log'!$N$4:$N$1510),NA()))</f>
        <v>#N/A</v>
      </c>
      <c r="V322" t="e">
        <f>IF($J322&gt;MAX('Match Log'!$A$4:$A$1510),NA(),IFERROR(LOOKUP(2,1/(('Match Log'!$D$4:$D$1510=$V$24)*('Match Log'!$A$4:$A$1510&lt;=$J322)),'Match Log'!$N$4:$N$1510),NA()))</f>
        <v>#N/A</v>
      </c>
      <c r="W322" t="e">
        <f>IF($J322&gt;MAX('Match Log'!$A$4:$A$1510),NA(),IFERROR(LOOKUP(2,1/(('Match Log'!$D$4:$D$1510=$W$24)*('Match Log'!$A$4:$A$1510&lt;=$J322)),'Match Log'!$N$4:$N$1510),NA()))</f>
        <v>#N/A</v>
      </c>
      <c r="X322" t="e">
        <f>IF($J322&gt;MAX('Match Log'!$A$4:$A$1510),NA(),IFERROR(LOOKUP(2,1/(('Match Log'!$D$4:$D$1510=$X$24)*('Match Log'!$A$4:$A$1510&lt;=$J322)),'Match Log'!$N$4:$N$1510),NA()))</f>
        <v>#N/A</v>
      </c>
      <c r="Y322" t="str">
        <f t="shared" ca="1" si="31"/>
        <v/>
      </c>
    </row>
    <row r="323" spans="1:25" x14ac:dyDescent="0.2">
      <c r="A323">
        <v>299</v>
      </c>
      <c r="B323" t="str">
        <f>IFERROR(INDEX('Match Log'!$B$4:$B$1510,MATCH($A323,'Match Log'!$A$4:$A$1510,0)),"")</f>
        <v/>
      </c>
      <c r="C323" t="str">
        <f>IFERROR(INDEX('Match Log'!$C$4:$C$1510,MATCH($A323,'Match Log'!$A$4:$A$1510,0)),"")</f>
        <v/>
      </c>
      <c r="D323" t="str">
        <f t="array" ref="D323">IFERROR(_xlfn.TEXTJOIN(" + ",TRUE(),IF(('Match Log'!$A$4:$A$1510=$A323)*('Match Log'!$E$4:$E$1510="Win"),'Match Log'!$D$4:$D$1510,"")),IFERROR(LOOKUP(2,1/(('Match Log'!$A$4:$A$1510=$A323)*('Match Log'!$E$4:$E$1510="Win")),'Match Log'!$D$4:$D$1510),""))</f>
        <v/>
      </c>
      <c r="E323" t="str">
        <f>IFERROR(INDEX('Match Log'!$F$4:$F$1510,MATCH($A323,'Match Log'!$A$4:$A$1510,0)),"")</f>
        <v/>
      </c>
      <c r="F323">
        <f>IFERROR(SUMIFS('Match Log'!$I$4:$I$1510,'Match Log'!$A$4:$A$1510,$A323,'Match Log'!$E$4:$E$1510,"Win"),"")</f>
        <v>0</v>
      </c>
      <c r="G323" t="str">
        <f t="shared" si="29"/>
        <v/>
      </c>
      <c r="H323" t="str">
        <f t="array" ref="H323">IFERROR(IF(COUNTIFS('Match Log'!$A$4:$A$1510,$A323,'Match Log'!$E$4:$E$1510,"Win")&gt;1,_xlfn.TEXTJOIN(" + ",TRUE(),IF(('Match Log'!$A$4:$A$1510=$A323)*('Match Log'!$E$4:$E$1510="Loss"),'Match Log'!$D$4:$D$1510,"")),IF($E323=2,LOOKUP(2,1/(('Match Log'!$A$4:$A$1510=$A323)*('Match Log'!$E$4:$E$1510="Loss")),'Match Log'!$D$4:$D$1510),"the field")),"")</f>
        <v>the field</v>
      </c>
      <c r="I323" t="str">
        <f t="shared" si="30"/>
        <v/>
      </c>
      <c r="J323">
        <v>299</v>
      </c>
      <c r="K323" t="e">
        <f>IF($J323&gt;MAX('Match Log'!$A$4:$A$1510),NA(),IFERROR(LOOKUP(2,1/(('Match Log'!$D$4:$D$1510=$K$24)*('Match Log'!$A$4:$A$1510&lt;=$J323)),'Match Log'!$N$4:$N$1510),NA()))</f>
        <v>#N/A</v>
      </c>
      <c r="L323" t="e">
        <f>IF($J323&gt;MAX('Match Log'!$A$4:$A$1510),NA(),IFERROR(LOOKUP(2,1/(('Match Log'!$D$4:$D$1510=$L$24)*('Match Log'!$A$4:$A$1510&lt;=$J323)),'Match Log'!$N$4:$N$1510),NA()))</f>
        <v>#N/A</v>
      </c>
      <c r="M323" t="e">
        <f>IF($J323&gt;MAX('Match Log'!$A$4:$A$1510),NA(),IFERROR(LOOKUP(2,1/(('Match Log'!$D$4:$D$1510=$M$24)*('Match Log'!$A$4:$A$1510&lt;=$J323)),'Match Log'!$N$4:$N$1510),NA()))</f>
        <v>#N/A</v>
      </c>
      <c r="N323" t="e">
        <f>IF($J323&gt;MAX('Match Log'!$A$4:$A$1510),NA(),IFERROR(LOOKUP(2,1/(('Match Log'!$D$4:$D$1510=$N$24)*('Match Log'!$A$4:$A$1510&lt;=$J323)),'Match Log'!$N$4:$N$1510),NA()))</f>
        <v>#N/A</v>
      </c>
      <c r="O323" t="e">
        <f>IF($J323&gt;MAX('Match Log'!$A$4:$A$1510),NA(),IFERROR(LOOKUP(2,1/(('Match Log'!$D$4:$D$1510=$O$24)*('Match Log'!$A$4:$A$1510&lt;=$J323)),'Match Log'!$N$4:$N$1510),NA()))</f>
        <v>#N/A</v>
      </c>
      <c r="P323" t="e">
        <f>IF($J323&gt;MAX('Match Log'!$A$4:$A$1510),NA(),IFERROR(LOOKUP(2,1/(('Match Log'!$D$4:$D$1510=$P$24)*('Match Log'!$A$4:$A$1510&lt;=$J323)),'Match Log'!$N$4:$N$1510),NA()))</f>
        <v>#N/A</v>
      </c>
      <c r="Q323" t="e">
        <f>IF($J323&gt;MAX('Match Log'!$A$4:$A$1510),NA(),IFERROR(LOOKUP(2,1/(('Match Log'!$D$4:$D$1510=$Q$24)*('Match Log'!$A$4:$A$1510&lt;=$J323)),'Match Log'!$N$4:$N$1510),NA()))</f>
        <v>#N/A</v>
      </c>
      <c r="R323" t="e">
        <f>IF($J323&gt;MAX('Match Log'!$A$4:$A$1510),NA(),IFERROR(LOOKUP(2,1/(('Match Log'!$D$4:$D$1510=$R$24)*('Match Log'!$A$4:$A$1510&lt;=$J323)),'Match Log'!$N$4:$N$1510),NA()))</f>
        <v>#N/A</v>
      </c>
      <c r="S323" t="e">
        <f>IF($J323&gt;MAX('Match Log'!$A$4:$A$1510),NA(),IFERROR(LOOKUP(2,1/(('Match Log'!$D$4:$D$1510=$S$24)*('Match Log'!$A$4:$A$1510&lt;=$J323)),'Match Log'!$N$4:$N$1510),NA()))</f>
        <v>#N/A</v>
      </c>
      <c r="T323" t="e">
        <f>IF($J323&gt;MAX('Match Log'!$A$4:$A$1510),NA(),IFERROR(LOOKUP(2,1/(('Match Log'!$D$4:$D$1510=$T$24)*('Match Log'!$A$4:$A$1510&lt;=$J323)),'Match Log'!$N$4:$N$1510),NA()))</f>
        <v>#N/A</v>
      </c>
      <c r="U323" t="e">
        <f>IF($J323&gt;MAX('Match Log'!$A$4:$A$1510),NA(),IFERROR(LOOKUP(2,1/(('Match Log'!$D$4:$D$1510=$U$24)*('Match Log'!$A$4:$A$1510&lt;=$J323)),'Match Log'!$N$4:$N$1510),NA()))</f>
        <v>#N/A</v>
      </c>
      <c r="V323" t="e">
        <f>IF($J323&gt;MAX('Match Log'!$A$4:$A$1510),NA(),IFERROR(LOOKUP(2,1/(('Match Log'!$D$4:$D$1510=$V$24)*('Match Log'!$A$4:$A$1510&lt;=$J323)),'Match Log'!$N$4:$N$1510),NA()))</f>
        <v>#N/A</v>
      </c>
      <c r="W323" t="e">
        <f>IF($J323&gt;MAX('Match Log'!$A$4:$A$1510),NA(),IFERROR(LOOKUP(2,1/(('Match Log'!$D$4:$D$1510=$W$24)*('Match Log'!$A$4:$A$1510&lt;=$J323)),'Match Log'!$N$4:$N$1510),NA()))</f>
        <v>#N/A</v>
      </c>
      <c r="X323" t="e">
        <f>IF($J323&gt;MAX('Match Log'!$A$4:$A$1510),NA(),IFERROR(LOOKUP(2,1/(('Match Log'!$D$4:$D$1510=$X$24)*('Match Log'!$A$4:$A$1510&lt;=$J323)),'Match Log'!$N$4:$N$1510),NA()))</f>
        <v>#N/A</v>
      </c>
      <c r="Y323" t="str">
        <f t="shared" ca="1" si="31"/>
        <v/>
      </c>
    </row>
    <row r="324" spans="1:25" x14ac:dyDescent="0.2">
      <c r="A324">
        <v>300</v>
      </c>
      <c r="B324" t="str">
        <f>IFERROR(INDEX('Match Log'!$B$4:$B$1510,MATCH($A324,'Match Log'!$A$4:$A$1510,0)),"")</f>
        <v/>
      </c>
      <c r="C324" t="str">
        <f>IFERROR(INDEX('Match Log'!$C$4:$C$1510,MATCH($A324,'Match Log'!$A$4:$A$1510,0)),"")</f>
        <v/>
      </c>
      <c r="D324" t="str">
        <f t="array" ref="D324">IFERROR(_xlfn.TEXTJOIN(" + ",TRUE(),IF(('Match Log'!$A$4:$A$1510=$A324)*('Match Log'!$E$4:$E$1510="Win"),'Match Log'!$D$4:$D$1510,"")),IFERROR(LOOKUP(2,1/(('Match Log'!$A$4:$A$1510=$A324)*('Match Log'!$E$4:$E$1510="Win")),'Match Log'!$D$4:$D$1510),""))</f>
        <v/>
      </c>
      <c r="E324" t="str">
        <f>IFERROR(INDEX('Match Log'!$F$4:$F$1510,MATCH($A324,'Match Log'!$A$4:$A$1510,0)),"")</f>
        <v/>
      </c>
      <c r="F324">
        <f>IFERROR(SUMIFS('Match Log'!$I$4:$I$1510,'Match Log'!$A$4:$A$1510,$A324,'Match Log'!$E$4:$E$1510,"Win"),"")</f>
        <v>0</v>
      </c>
      <c r="G324" t="str">
        <f t="shared" si="29"/>
        <v/>
      </c>
      <c r="H324" t="str">
        <f t="array" ref="H324">IFERROR(IF(COUNTIFS('Match Log'!$A$4:$A$1510,$A324,'Match Log'!$E$4:$E$1510,"Win")&gt;1,_xlfn.TEXTJOIN(" + ",TRUE(),IF(('Match Log'!$A$4:$A$1510=$A324)*('Match Log'!$E$4:$E$1510="Loss"),'Match Log'!$D$4:$D$1510,"")),IF($E324=2,LOOKUP(2,1/(('Match Log'!$A$4:$A$1510=$A324)*('Match Log'!$E$4:$E$1510="Loss")),'Match Log'!$D$4:$D$1510),"the field")),"")</f>
        <v>the field</v>
      </c>
      <c r="I324" t="str">
        <f t="shared" si="30"/>
        <v/>
      </c>
      <c r="J324">
        <v>300</v>
      </c>
      <c r="K324" t="e">
        <f>IF($J324&gt;MAX('Match Log'!$A$4:$A$1510),NA(),IFERROR(LOOKUP(2,1/(('Match Log'!$D$4:$D$1510=$K$24)*('Match Log'!$A$4:$A$1510&lt;=$J324)),'Match Log'!$N$4:$N$1510),NA()))</f>
        <v>#N/A</v>
      </c>
      <c r="L324" t="e">
        <f>IF($J324&gt;MAX('Match Log'!$A$4:$A$1510),NA(),IFERROR(LOOKUP(2,1/(('Match Log'!$D$4:$D$1510=$L$24)*('Match Log'!$A$4:$A$1510&lt;=$J324)),'Match Log'!$N$4:$N$1510),NA()))</f>
        <v>#N/A</v>
      </c>
      <c r="M324" t="e">
        <f>IF($J324&gt;MAX('Match Log'!$A$4:$A$1510),NA(),IFERROR(LOOKUP(2,1/(('Match Log'!$D$4:$D$1510=$M$24)*('Match Log'!$A$4:$A$1510&lt;=$J324)),'Match Log'!$N$4:$N$1510),NA()))</f>
        <v>#N/A</v>
      </c>
      <c r="N324" t="e">
        <f>IF($J324&gt;MAX('Match Log'!$A$4:$A$1510),NA(),IFERROR(LOOKUP(2,1/(('Match Log'!$D$4:$D$1510=$N$24)*('Match Log'!$A$4:$A$1510&lt;=$J324)),'Match Log'!$N$4:$N$1510),NA()))</f>
        <v>#N/A</v>
      </c>
      <c r="O324" t="e">
        <f>IF($J324&gt;MAX('Match Log'!$A$4:$A$1510),NA(),IFERROR(LOOKUP(2,1/(('Match Log'!$D$4:$D$1510=$O$24)*('Match Log'!$A$4:$A$1510&lt;=$J324)),'Match Log'!$N$4:$N$1510),NA()))</f>
        <v>#N/A</v>
      </c>
      <c r="P324" t="e">
        <f>IF($J324&gt;MAX('Match Log'!$A$4:$A$1510),NA(),IFERROR(LOOKUP(2,1/(('Match Log'!$D$4:$D$1510=$P$24)*('Match Log'!$A$4:$A$1510&lt;=$J324)),'Match Log'!$N$4:$N$1510),NA()))</f>
        <v>#N/A</v>
      </c>
      <c r="Q324" t="e">
        <f>IF($J324&gt;MAX('Match Log'!$A$4:$A$1510),NA(),IFERROR(LOOKUP(2,1/(('Match Log'!$D$4:$D$1510=$Q$24)*('Match Log'!$A$4:$A$1510&lt;=$J324)),'Match Log'!$N$4:$N$1510),NA()))</f>
        <v>#N/A</v>
      </c>
      <c r="R324" t="e">
        <f>IF($J324&gt;MAX('Match Log'!$A$4:$A$1510),NA(),IFERROR(LOOKUP(2,1/(('Match Log'!$D$4:$D$1510=$R$24)*('Match Log'!$A$4:$A$1510&lt;=$J324)),'Match Log'!$N$4:$N$1510),NA()))</f>
        <v>#N/A</v>
      </c>
      <c r="S324" t="e">
        <f>IF($J324&gt;MAX('Match Log'!$A$4:$A$1510),NA(),IFERROR(LOOKUP(2,1/(('Match Log'!$D$4:$D$1510=$S$24)*('Match Log'!$A$4:$A$1510&lt;=$J324)),'Match Log'!$N$4:$N$1510),NA()))</f>
        <v>#N/A</v>
      </c>
      <c r="T324" t="e">
        <f>IF($J324&gt;MAX('Match Log'!$A$4:$A$1510),NA(),IFERROR(LOOKUP(2,1/(('Match Log'!$D$4:$D$1510=$T$24)*('Match Log'!$A$4:$A$1510&lt;=$J324)),'Match Log'!$N$4:$N$1510),NA()))</f>
        <v>#N/A</v>
      </c>
      <c r="U324" t="e">
        <f>IF($J324&gt;MAX('Match Log'!$A$4:$A$1510),NA(),IFERROR(LOOKUP(2,1/(('Match Log'!$D$4:$D$1510=$U$24)*('Match Log'!$A$4:$A$1510&lt;=$J324)),'Match Log'!$N$4:$N$1510),NA()))</f>
        <v>#N/A</v>
      </c>
      <c r="V324" t="e">
        <f>IF($J324&gt;MAX('Match Log'!$A$4:$A$1510),NA(),IFERROR(LOOKUP(2,1/(('Match Log'!$D$4:$D$1510=$V$24)*('Match Log'!$A$4:$A$1510&lt;=$J324)),'Match Log'!$N$4:$N$1510),NA()))</f>
        <v>#N/A</v>
      </c>
      <c r="W324" t="e">
        <f>IF($J324&gt;MAX('Match Log'!$A$4:$A$1510),NA(),IFERROR(LOOKUP(2,1/(('Match Log'!$D$4:$D$1510=$W$24)*('Match Log'!$A$4:$A$1510&lt;=$J324)),'Match Log'!$N$4:$N$1510),NA()))</f>
        <v>#N/A</v>
      </c>
      <c r="X324" t="e">
        <f>IF($J324&gt;MAX('Match Log'!$A$4:$A$1510),NA(),IFERROR(LOOKUP(2,1/(('Match Log'!$D$4:$D$1510=$X$24)*('Match Log'!$A$4:$A$1510&lt;=$J324)),'Match Log'!$N$4:$N$1510),NA()))</f>
        <v>#N/A</v>
      </c>
      <c r="Y324" t="str">
        <f t="shared" ca="1" si="31"/>
        <v/>
      </c>
    </row>
    <row r="325" spans="1:25" x14ac:dyDescent="0.2">
      <c r="A325">
        <v>301</v>
      </c>
      <c r="B325" t="str">
        <f>IFERROR(INDEX('Match Log'!$B$4:$B$1510,MATCH($A325,'Match Log'!$A$4:$A$1510,0)),"")</f>
        <v/>
      </c>
      <c r="C325" t="str">
        <f>IFERROR(INDEX('Match Log'!$C$4:$C$1510,MATCH($A325,'Match Log'!$A$4:$A$1510,0)),"")</f>
        <v/>
      </c>
      <c r="D325" t="str">
        <f t="array" ref="D325">IFERROR(_xlfn.TEXTJOIN(" + ",TRUE(),IF(('Match Log'!$A$4:$A$1510=$A325)*('Match Log'!$E$4:$E$1510="Win"),'Match Log'!$D$4:$D$1510,"")),IFERROR(LOOKUP(2,1/(('Match Log'!$A$4:$A$1510=$A325)*('Match Log'!$E$4:$E$1510="Win")),'Match Log'!$D$4:$D$1510),""))</f>
        <v/>
      </c>
      <c r="E325" t="str">
        <f>IFERROR(INDEX('Match Log'!$F$4:$F$1510,MATCH($A325,'Match Log'!$A$4:$A$1510,0)),"")</f>
        <v/>
      </c>
      <c r="F325">
        <f>IFERROR(SUMIFS('Match Log'!$I$4:$I$1510,'Match Log'!$A$4:$A$1510,$A325,'Match Log'!$E$4:$E$1510,"Win"),"")</f>
        <v>0</v>
      </c>
      <c r="G325" t="str">
        <f t="shared" si="29"/>
        <v/>
      </c>
      <c r="H325" t="str">
        <f t="array" ref="H325">IFERROR(IF(COUNTIFS('Match Log'!$A$4:$A$1510,$A325,'Match Log'!$E$4:$E$1510,"Win")&gt;1,_xlfn.TEXTJOIN(" + ",TRUE(),IF(('Match Log'!$A$4:$A$1510=$A325)*('Match Log'!$E$4:$E$1510="Loss"),'Match Log'!$D$4:$D$1510,"")),IF($E325=2,LOOKUP(2,1/(('Match Log'!$A$4:$A$1510=$A325)*('Match Log'!$E$4:$E$1510="Loss")),'Match Log'!$D$4:$D$1510),"the field")),"")</f>
        <v>the field</v>
      </c>
      <c r="I325" t="str">
        <f t="shared" si="30"/>
        <v/>
      </c>
      <c r="J325">
        <v>301</v>
      </c>
      <c r="K325" t="e">
        <f>IF($J325&gt;MAX('Match Log'!$A$4:$A$1510),NA(),IFERROR(LOOKUP(2,1/(('Match Log'!$D$4:$D$1510=$K$24)*('Match Log'!$A$4:$A$1510&lt;=$J325)),'Match Log'!$N$4:$N$1510),NA()))</f>
        <v>#N/A</v>
      </c>
      <c r="L325" t="e">
        <f>IF($J325&gt;MAX('Match Log'!$A$4:$A$1510),NA(),IFERROR(LOOKUP(2,1/(('Match Log'!$D$4:$D$1510=$L$24)*('Match Log'!$A$4:$A$1510&lt;=$J325)),'Match Log'!$N$4:$N$1510),NA()))</f>
        <v>#N/A</v>
      </c>
      <c r="M325" t="e">
        <f>IF($J325&gt;MAX('Match Log'!$A$4:$A$1510),NA(),IFERROR(LOOKUP(2,1/(('Match Log'!$D$4:$D$1510=$M$24)*('Match Log'!$A$4:$A$1510&lt;=$J325)),'Match Log'!$N$4:$N$1510),NA()))</f>
        <v>#N/A</v>
      </c>
      <c r="N325" t="e">
        <f>IF($J325&gt;MAX('Match Log'!$A$4:$A$1510),NA(),IFERROR(LOOKUP(2,1/(('Match Log'!$D$4:$D$1510=$N$24)*('Match Log'!$A$4:$A$1510&lt;=$J325)),'Match Log'!$N$4:$N$1510),NA()))</f>
        <v>#N/A</v>
      </c>
      <c r="O325" t="e">
        <f>IF($J325&gt;MAX('Match Log'!$A$4:$A$1510),NA(),IFERROR(LOOKUP(2,1/(('Match Log'!$D$4:$D$1510=$O$24)*('Match Log'!$A$4:$A$1510&lt;=$J325)),'Match Log'!$N$4:$N$1510),NA()))</f>
        <v>#N/A</v>
      </c>
      <c r="P325" t="e">
        <f>IF($J325&gt;MAX('Match Log'!$A$4:$A$1510),NA(),IFERROR(LOOKUP(2,1/(('Match Log'!$D$4:$D$1510=$P$24)*('Match Log'!$A$4:$A$1510&lt;=$J325)),'Match Log'!$N$4:$N$1510),NA()))</f>
        <v>#N/A</v>
      </c>
      <c r="Q325" t="e">
        <f>IF($J325&gt;MAX('Match Log'!$A$4:$A$1510),NA(),IFERROR(LOOKUP(2,1/(('Match Log'!$D$4:$D$1510=$Q$24)*('Match Log'!$A$4:$A$1510&lt;=$J325)),'Match Log'!$N$4:$N$1510),NA()))</f>
        <v>#N/A</v>
      </c>
      <c r="R325" t="e">
        <f>IF($J325&gt;MAX('Match Log'!$A$4:$A$1510),NA(),IFERROR(LOOKUP(2,1/(('Match Log'!$D$4:$D$1510=$R$24)*('Match Log'!$A$4:$A$1510&lt;=$J325)),'Match Log'!$N$4:$N$1510),NA()))</f>
        <v>#N/A</v>
      </c>
      <c r="S325" t="e">
        <f>IF($J325&gt;MAX('Match Log'!$A$4:$A$1510),NA(),IFERROR(LOOKUP(2,1/(('Match Log'!$D$4:$D$1510=$S$24)*('Match Log'!$A$4:$A$1510&lt;=$J325)),'Match Log'!$N$4:$N$1510),NA()))</f>
        <v>#N/A</v>
      </c>
      <c r="T325" t="e">
        <f>IF($J325&gt;MAX('Match Log'!$A$4:$A$1510),NA(),IFERROR(LOOKUP(2,1/(('Match Log'!$D$4:$D$1510=$T$24)*('Match Log'!$A$4:$A$1510&lt;=$J325)),'Match Log'!$N$4:$N$1510),NA()))</f>
        <v>#N/A</v>
      </c>
      <c r="U325" t="e">
        <f>IF($J325&gt;MAX('Match Log'!$A$4:$A$1510),NA(),IFERROR(LOOKUP(2,1/(('Match Log'!$D$4:$D$1510=$U$24)*('Match Log'!$A$4:$A$1510&lt;=$J325)),'Match Log'!$N$4:$N$1510),NA()))</f>
        <v>#N/A</v>
      </c>
      <c r="V325" t="e">
        <f>IF($J325&gt;MAX('Match Log'!$A$4:$A$1510),NA(),IFERROR(LOOKUP(2,1/(('Match Log'!$D$4:$D$1510=$V$24)*('Match Log'!$A$4:$A$1510&lt;=$J325)),'Match Log'!$N$4:$N$1510),NA()))</f>
        <v>#N/A</v>
      </c>
      <c r="W325" t="e">
        <f>IF($J325&gt;MAX('Match Log'!$A$4:$A$1510),NA(),IFERROR(LOOKUP(2,1/(('Match Log'!$D$4:$D$1510=$W$24)*('Match Log'!$A$4:$A$1510&lt;=$J325)),'Match Log'!$N$4:$N$1510),NA()))</f>
        <v>#N/A</v>
      </c>
      <c r="X325" t="e">
        <f>IF($J325&gt;MAX('Match Log'!$A$4:$A$1510),NA(),IFERROR(LOOKUP(2,1/(('Match Log'!$D$4:$D$1510=$X$24)*('Match Log'!$A$4:$A$1510&lt;=$J325)),'Match Log'!$N$4:$N$1510),NA()))</f>
        <v>#N/A</v>
      </c>
      <c r="Y325" t="str">
        <f t="shared" ca="1" si="31"/>
        <v/>
      </c>
    </row>
    <row r="326" spans="1:25" x14ac:dyDescent="0.2">
      <c r="A326">
        <v>302</v>
      </c>
      <c r="B326" t="str">
        <f>IFERROR(INDEX('Match Log'!$B$4:$B$1510,MATCH($A326,'Match Log'!$A$4:$A$1510,0)),"")</f>
        <v/>
      </c>
      <c r="C326" t="str">
        <f>IFERROR(INDEX('Match Log'!$C$4:$C$1510,MATCH($A326,'Match Log'!$A$4:$A$1510,0)),"")</f>
        <v/>
      </c>
      <c r="D326" t="str">
        <f t="array" ref="D326">IFERROR(_xlfn.TEXTJOIN(" + ",TRUE(),IF(('Match Log'!$A$4:$A$1510=$A326)*('Match Log'!$E$4:$E$1510="Win"),'Match Log'!$D$4:$D$1510,"")),IFERROR(LOOKUP(2,1/(('Match Log'!$A$4:$A$1510=$A326)*('Match Log'!$E$4:$E$1510="Win")),'Match Log'!$D$4:$D$1510),""))</f>
        <v/>
      </c>
      <c r="E326" t="str">
        <f>IFERROR(INDEX('Match Log'!$F$4:$F$1510,MATCH($A326,'Match Log'!$A$4:$A$1510,0)),"")</f>
        <v/>
      </c>
      <c r="F326">
        <f>IFERROR(SUMIFS('Match Log'!$I$4:$I$1510,'Match Log'!$A$4:$A$1510,$A326,'Match Log'!$E$4:$E$1510,"Win"),"")</f>
        <v>0</v>
      </c>
      <c r="G326" t="str">
        <f t="shared" si="29"/>
        <v/>
      </c>
      <c r="H326" t="str">
        <f t="array" ref="H326">IFERROR(IF(COUNTIFS('Match Log'!$A$4:$A$1510,$A326,'Match Log'!$E$4:$E$1510,"Win")&gt;1,_xlfn.TEXTJOIN(" + ",TRUE(),IF(('Match Log'!$A$4:$A$1510=$A326)*('Match Log'!$E$4:$E$1510="Loss"),'Match Log'!$D$4:$D$1510,"")),IF($E326=2,LOOKUP(2,1/(('Match Log'!$A$4:$A$1510=$A326)*('Match Log'!$E$4:$E$1510="Loss")),'Match Log'!$D$4:$D$1510),"the field")),"")</f>
        <v>the field</v>
      </c>
      <c r="I326" t="str">
        <f t="shared" si="30"/>
        <v/>
      </c>
      <c r="J326">
        <v>302</v>
      </c>
      <c r="K326" t="e">
        <f>IF($J326&gt;MAX('Match Log'!$A$4:$A$1510),NA(),IFERROR(LOOKUP(2,1/(('Match Log'!$D$4:$D$1510=$K$24)*('Match Log'!$A$4:$A$1510&lt;=$J326)),'Match Log'!$N$4:$N$1510),NA()))</f>
        <v>#N/A</v>
      </c>
      <c r="L326" t="e">
        <f>IF($J326&gt;MAX('Match Log'!$A$4:$A$1510),NA(),IFERROR(LOOKUP(2,1/(('Match Log'!$D$4:$D$1510=$L$24)*('Match Log'!$A$4:$A$1510&lt;=$J326)),'Match Log'!$N$4:$N$1510),NA()))</f>
        <v>#N/A</v>
      </c>
      <c r="M326" t="e">
        <f>IF($J326&gt;MAX('Match Log'!$A$4:$A$1510),NA(),IFERROR(LOOKUP(2,1/(('Match Log'!$D$4:$D$1510=$M$24)*('Match Log'!$A$4:$A$1510&lt;=$J326)),'Match Log'!$N$4:$N$1510),NA()))</f>
        <v>#N/A</v>
      </c>
      <c r="N326" t="e">
        <f>IF($J326&gt;MAX('Match Log'!$A$4:$A$1510),NA(),IFERROR(LOOKUP(2,1/(('Match Log'!$D$4:$D$1510=$N$24)*('Match Log'!$A$4:$A$1510&lt;=$J326)),'Match Log'!$N$4:$N$1510),NA()))</f>
        <v>#N/A</v>
      </c>
      <c r="O326" t="e">
        <f>IF($J326&gt;MAX('Match Log'!$A$4:$A$1510),NA(),IFERROR(LOOKUP(2,1/(('Match Log'!$D$4:$D$1510=$O$24)*('Match Log'!$A$4:$A$1510&lt;=$J326)),'Match Log'!$N$4:$N$1510),NA()))</f>
        <v>#N/A</v>
      </c>
      <c r="P326" t="e">
        <f>IF($J326&gt;MAX('Match Log'!$A$4:$A$1510),NA(),IFERROR(LOOKUP(2,1/(('Match Log'!$D$4:$D$1510=$P$24)*('Match Log'!$A$4:$A$1510&lt;=$J326)),'Match Log'!$N$4:$N$1510),NA()))</f>
        <v>#N/A</v>
      </c>
      <c r="Q326" t="e">
        <f>IF($J326&gt;MAX('Match Log'!$A$4:$A$1510),NA(),IFERROR(LOOKUP(2,1/(('Match Log'!$D$4:$D$1510=$Q$24)*('Match Log'!$A$4:$A$1510&lt;=$J326)),'Match Log'!$N$4:$N$1510),NA()))</f>
        <v>#N/A</v>
      </c>
      <c r="R326" t="e">
        <f>IF($J326&gt;MAX('Match Log'!$A$4:$A$1510),NA(),IFERROR(LOOKUP(2,1/(('Match Log'!$D$4:$D$1510=$R$24)*('Match Log'!$A$4:$A$1510&lt;=$J326)),'Match Log'!$N$4:$N$1510),NA()))</f>
        <v>#N/A</v>
      </c>
      <c r="S326" t="e">
        <f>IF($J326&gt;MAX('Match Log'!$A$4:$A$1510),NA(),IFERROR(LOOKUP(2,1/(('Match Log'!$D$4:$D$1510=$S$24)*('Match Log'!$A$4:$A$1510&lt;=$J326)),'Match Log'!$N$4:$N$1510),NA()))</f>
        <v>#N/A</v>
      </c>
      <c r="T326" t="e">
        <f>IF($J326&gt;MAX('Match Log'!$A$4:$A$1510),NA(),IFERROR(LOOKUP(2,1/(('Match Log'!$D$4:$D$1510=$T$24)*('Match Log'!$A$4:$A$1510&lt;=$J326)),'Match Log'!$N$4:$N$1510),NA()))</f>
        <v>#N/A</v>
      </c>
      <c r="U326" t="e">
        <f>IF($J326&gt;MAX('Match Log'!$A$4:$A$1510),NA(),IFERROR(LOOKUP(2,1/(('Match Log'!$D$4:$D$1510=$U$24)*('Match Log'!$A$4:$A$1510&lt;=$J326)),'Match Log'!$N$4:$N$1510),NA()))</f>
        <v>#N/A</v>
      </c>
      <c r="V326" t="e">
        <f>IF($J326&gt;MAX('Match Log'!$A$4:$A$1510),NA(),IFERROR(LOOKUP(2,1/(('Match Log'!$D$4:$D$1510=$V$24)*('Match Log'!$A$4:$A$1510&lt;=$J326)),'Match Log'!$N$4:$N$1510),NA()))</f>
        <v>#N/A</v>
      </c>
      <c r="W326" t="e">
        <f>IF($J326&gt;MAX('Match Log'!$A$4:$A$1510),NA(),IFERROR(LOOKUP(2,1/(('Match Log'!$D$4:$D$1510=$W$24)*('Match Log'!$A$4:$A$1510&lt;=$J326)),'Match Log'!$N$4:$N$1510),NA()))</f>
        <v>#N/A</v>
      </c>
      <c r="X326" t="e">
        <f>IF($J326&gt;MAX('Match Log'!$A$4:$A$1510),NA(),IFERROR(LOOKUP(2,1/(('Match Log'!$D$4:$D$1510=$X$24)*('Match Log'!$A$4:$A$1510&lt;=$J326)),'Match Log'!$N$4:$N$1510),NA()))</f>
        <v>#N/A</v>
      </c>
      <c r="Y326" t="str">
        <f t="shared" ca="1" si="31"/>
        <v/>
      </c>
    </row>
    <row r="327" spans="1:25" x14ac:dyDescent="0.2">
      <c r="A327">
        <v>303</v>
      </c>
      <c r="B327" t="str">
        <f>IFERROR(INDEX('Match Log'!$B$4:$B$1510,MATCH($A327,'Match Log'!$A$4:$A$1510,0)),"")</f>
        <v/>
      </c>
      <c r="C327" t="str">
        <f>IFERROR(INDEX('Match Log'!$C$4:$C$1510,MATCH($A327,'Match Log'!$A$4:$A$1510,0)),"")</f>
        <v/>
      </c>
      <c r="D327" t="str">
        <f t="array" ref="D327">IFERROR(_xlfn.TEXTJOIN(" + ",TRUE(),IF(('Match Log'!$A$4:$A$1510=$A327)*('Match Log'!$E$4:$E$1510="Win"),'Match Log'!$D$4:$D$1510,"")),IFERROR(LOOKUP(2,1/(('Match Log'!$A$4:$A$1510=$A327)*('Match Log'!$E$4:$E$1510="Win")),'Match Log'!$D$4:$D$1510),""))</f>
        <v/>
      </c>
      <c r="E327" t="str">
        <f>IFERROR(INDEX('Match Log'!$F$4:$F$1510,MATCH($A327,'Match Log'!$A$4:$A$1510,0)),"")</f>
        <v/>
      </c>
      <c r="F327">
        <f>IFERROR(SUMIFS('Match Log'!$I$4:$I$1510,'Match Log'!$A$4:$A$1510,$A327,'Match Log'!$E$4:$E$1510,"Win"),"")</f>
        <v>0</v>
      </c>
      <c r="G327" t="str">
        <f t="shared" si="29"/>
        <v/>
      </c>
      <c r="H327" t="str">
        <f t="array" ref="H327">IFERROR(IF(COUNTIFS('Match Log'!$A$4:$A$1510,$A327,'Match Log'!$E$4:$E$1510,"Win")&gt;1,_xlfn.TEXTJOIN(" + ",TRUE(),IF(('Match Log'!$A$4:$A$1510=$A327)*('Match Log'!$E$4:$E$1510="Loss"),'Match Log'!$D$4:$D$1510,"")),IF($E327=2,LOOKUP(2,1/(('Match Log'!$A$4:$A$1510=$A327)*('Match Log'!$E$4:$E$1510="Loss")),'Match Log'!$D$4:$D$1510),"the field")),"")</f>
        <v>the field</v>
      </c>
      <c r="I327" t="str">
        <f t="shared" si="30"/>
        <v/>
      </c>
      <c r="J327">
        <v>303</v>
      </c>
      <c r="K327" t="e">
        <f>IF($J327&gt;MAX('Match Log'!$A$4:$A$1510),NA(),IFERROR(LOOKUP(2,1/(('Match Log'!$D$4:$D$1510=$K$24)*('Match Log'!$A$4:$A$1510&lt;=$J327)),'Match Log'!$N$4:$N$1510),NA()))</f>
        <v>#N/A</v>
      </c>
      <c r="L327" t="e">
        <f>IF($J327&gt;MAX('Match Log'!$A$4:$A$1510),NA(),IFERROR(LOOKUP(2,1/(('Match Log'!$D$4:$D$1510=$L$24)*('Match Log'!$A$4:$A$1510&lt;=$J327)),'Match Log'!$N$4:$N$1510),NA()))</f>
        <v>#N/A</v>
      </c>
      <c r="M327" t="e">
        <f>IF($J327&gt;MAX('Match Log'!$A$4:$A$1510),NA(),IFERROR(LOOKUP(2,1/(('Match Log'!$D$4:$D$1510=$M$24)*('Match Log'!$A$4:$A$1510&lt;=$J327)),'Match Log'!$N$4:$N$1510),NA()))</f>
        <v>#N/A</v>
      </c>
      <c r="N327" t="e">
        <f>IF($J327&gt;MAX('Match Log'!$A$4:$A$1510),NA(),IFERROR(LOOKUP(2,1/(('Match Log'!$D$4:$D$1510=$N$24)*('Match Log'!$A$4:$A$1510&lt;=$J327)),'Match Log'!$N$4:$N$1510),NA()))</f>
        <v>#N/A</v>
      </c>
      <c r="O327" t="e">
        <f>IF($J327&gt;MAX('Match Log'!$A$4:$A$1510),NA(),IFERROR(LOOKUP(2,1/(('Match Log'!$D$4:$D$1510=$O$24)*('Match Log'!$A$4:$A$1510&lt;=$J327)),'Match Log'!$N$4:$N$1510),NA()))</f>
        <v>#N/A</v>
      </c>
      <c r="P327" t="e">
        <f>IF($J327&gt;MAX('Match Log'!$A$4:$A$1510),NA(),IFERROR(LOOKUP(2,1/(('Match Log'!$D$4:$D$1510=$P$24)*('Match Log'!$A$4:$A$1510&lt;=$J327)),'Match Log'!$N$4:$N$1510),NA()))</f>
        <v>#N/A</v>
      </c>
      <c r="Q327" t="e">
        <f>IF($J327&gt;MAX('Match Log'!$A$4:$A$1510),NA(),IFERROR(LOOKUP(2,1/(('Match Log'!$D$4:$D$1510=$Q$24)*('Match Log'!$A$4:$A$1510&lt;=$J327)),'Match Log'!$N$4:$N$1510),NA()))</f>
        <v>#N/A</v>
      </c>
      <c r="R327" t="e">
        <f>IF($J327&gt;MAX('Match Log'!$A$4:$A$1510),NA(),IFERROR(LOOKUP(2,1/(('Match Log'!$D$4:$D$1510=$R$24)*('Match Log'!$A$4:$A$1510&lt;=$J327)),'Match Log'!$N$4:$N$1510),NA()))</f>
        <v>#N/A</v>
      </c>
      <c r="S327" t="e">
        <f>IF($J327&gt;MAX('Match Log'!$A$4:$A$1510),NA(),IFERROR(LOOKUP(2,1/(('Match Log'!$D$4:$D$1510=$S$24)*('Match Log'!$A$4:$A$1510&lt;=$J327)),'Match Log'!$N$4:$N$1510),NA()))</f>
        <v>#N/A</v>
      </c>
      <c r="T327" t="e">
        <f>IF($J327&gt;MAX('Match Log'!$A$4:$A$1510),NA(),IFERROR(LOOKUP(2,1/(('Match Log'!$D$4:$D$1510=$T$24)*('Match Log'!$A$4:$A$1510&lt;=$J327)),'Match Log'!$N$4:$N$1510),NA()))</f>
        <v>#N/A</v>
      </c>
      <c r="U327" t="e">
        <f>IF($J327&gt;MAX('Match Log'!$A$4:$A$1510),NA(),IFERROR(LOOKUP(2,1/(('Match Log'!$D$4:$D$1510=$U$24)*('Match Log'!$A$4:$A$1510&lt;=$J327)),'Match Log'!$N$4:$N$1510),NA()))</f>
        <v>#N/A</v>
      </c>
      <c r="V327" t="e">
        <f>IF($J327&gt;MAX('Match Log'!$A$4:$A$1510),NA(),IFERROR(LOOKUP(2,1/(('Match Log'!$D$4:$D$1510=$V$24)*('Match Log'!$A$4:$A$1510&lt;=$J327)),'Match Log'!$N$4:$N$1510),NA()))</f>
        <v>#N/A</v>
      </c>
      <c r="W327" t="e">
        <f>IF($J327&gt;MAX('Match Log'!$A$4:$A$1510),NA(),IFERROR(LOOKUP(2,1/(('Match Log'!$D$4:$D$1510=$W$24)*('Match Log'!$A$4:$A$1510&lt;=$J327)),'Match Log'!$N$4:$N$1510),NA()))</f>
        <v>#N/A</v>
      </c>
      <c r="X327" t="e">
        <f>IF($J327&gt;MAX('Match Log'!$A$4:$A$1510),NA(),IFERROR(LOOKUP(2,1/(('Match Log'!$D$4:$D$1510=$X$24)*('Match Log'!$A$4:$A$1510&lt;=$J327)),'Match Log'!$N$4:$N$1510),NA()))</f>
        <v>#N/A</v>
      </c>
      <c r="Y327" t="str">
        <f t="shared" ca="1" si="31"/>
        <v/>
      </c>
    </row>
    <row r="328" spans="1:25" x14ac:dyDescent="0.2">
      <c r="A328">
        <v>304</v>
      </c>
      <c r="B328" t="str">
        <f>IFERROR(INDEX('Match Log'!$B$4:$B$1510,MATCH($A328,'Match Log'!$A$4:$A$1510,0)),"")</f>
        <v/>
      </c>
      <c r="C328" t="str">
        <f>IFERROR(INDEX('Match Log'!$C$4:$C$1510,MATCH($A328,'Match Log'!$A$4:$A$1510,0)),"")</f>
        <v/>
      </c>
      <c r="D328" t="str">
        <f t="array" ref="D328">IFERROR(_xlfn.TEXTJOIN(" + ",TRUE(),IF(('Match Log'!$A$4:$A$1510=$A328)*('Match Log'!$E$4:$E$1510="Win"),'Match Log'!$D$4:$D$1510,"")),IFERROR(LOOKUP(2,1/(('Match Log'!$A$4:$A$1510=$A328)*('Match Log'!$E$4:$E$1510="Win")),'Match Log'!$D$4:$D$1510),""))</f>
        <v/>
      </c>
      <c r="E328" t="str">
        <f>IFERROR(INDEX('Match Log'!$F$4:$F$1510,MATCH($A328,'Match Log'!$A$4:$A$1510,0)),"")</f>
        <v/>
      </c>
      <c r="F328">
        <f>IFERROR(SUMIFS('Match Log'!$I$4:$I$1510,'Match Log'!$A$4:$A$1510,$A328,'Match Log'!$E$4:$E$1510,"Win"),"")</f>
        <v>0</v>
      </c>
      <c r="G328" t="str">
        <f t="shared" si="29"/>
        <v/>
      </c>
      <c r="H328" t="str">
        <f t="array" ref="H328">IFERROR(IF(COUNTIFS('Match Log'!$A$4:$A$1510,$A328,'Match Log'!$E$4:$E$1510,"Win")&gt;1,_xlfn.TEXTJOIN(" + ",TRUE(),IF(('Match Log'!$A$4:$A$1510=$A328)*('Match Log'!$E$4:$E$1510="Loss"),'Match Log'!$D$4:$D$1510,"")),IF($E328=2,LOOKUP(2,1/(('Match Log'!$A$4:$A$1510=$A328)*('Match Log'!$E$4:$E$1510="Loss")),'Match Log'!$D$4:$D$1510),"the field")),"")</f>
        <v>the field</v>
      </c>
      <c r="I328" t="str">
        <f t="shared" si="30"/>
        <v/>
      </c>
      <c r="J328">
        <v>304</v>
      </c>
      <c r="K328" t="e">
        <f>IF($J328&gt;MAX('Match Log'!$A$4:$A$1510),NA(),IFERROR(LOOKUP(2,1/(('Match Log'!$D$4:$D$1510=$K$24)*('Match Log'!$A$4:$A$1510&lt;=$J328)),'Match Log'!$N$4:$N$1510),NA()))</f>
        <v>#N/A</v>
      </c>
      <c r="L328" t="e">
        <f>IF($J328&gt;MAX('Match Log'!$A$4:$A$1510),NA(),IFERROR(LOOKUP(2,1/(('Match Log'!$D$4:$D$1510=$L$24)*('Match Log'!$A$4:$A$1510&lt;=$J328)),'Match Log'!$N$4:$N$1510),NA()))</f>
        <v>#N/A</v>
      </c>
      <c r="M328" t="e">
        <f>IF($J328&gt;MAX('Match Log'!$A$4:$A$1510),NA(),IFERROR(LOOKUP(2,1/(('Match Log'!$D$4:$D$1510=$M$24)*('Match Log'!$A$4:$A$1510&lt;=$J328)),'Match Log'!$N$4:$N$1510),NA()))</f>
        <v>#N/A</v>
      </c>
      <c r="N328" t="e">
        <f>IF($J328&gt;MAX('Match Log'!$A$4:$A$1510),NA(),IFERROR(LOOKUP(2,1/(('Match Log'!$D$4:$D$1510=$N$24)*('Match Log'!$A$4:$A$1510&lt;=$J328)),'Match Log'!$N$4:$N$1510),NA()))</f>
        <v>#N/A</v>
      </c>
      <c r="O328" t="e">
        <f>IF($J328&gt;MAX('Match Log'!$A$4:$A$1510),NA(),IFERROR(LOOKUP(2,1/(('Match Log'!$D$4:$D$1510=$O$24)*('Match Log'!$A$4:$A$1510&lt;=$J328)),'Match Log'!$N$4:$N$1510),NA()))</f>
        <v>#N/A</v>
      </c>
      <c r="P328" t="e">
        <f>IF($J328&gt;MAX('Match Log'!$A$4:$A$1510),NA(),IFERROR(LOOKUP(2,1/(('Match Log'!$D$4:$D$1510=$P$24)*('Match Log'!$A$4:$A$1510&lt;=$J328)),'Match Log'!$N$4:$N$1510),NA()))</f>
        <v>#N/A</v>
      </c>
      <c r="Q328" t="e">
        <f>IF($J328&gt;MAX('Match Log'!$A$4:$A$1510),NA(),IFERROR(LOOKUP(2,1/(('Match Log'!$D$4:$D$1510=$Q$24)*('Match Log'!$A$4:$A$1510&lt;=$J328)),'Match Log'!$N$4:$N$1510),NA()))</f>
        <v>#N/A</v>
      </c>
      <c r="R328" t="e">
        <f>IF($J328&gt;MAX('Match Log'!$A$4:$A$1510),NA(),IFERROR(LOOKUP(2,1/(('Match Log'!$D$4:$D$1510=$R$24)*('Match Log'!$A$4:$A$1510&lt;=$J328)),'Match Log'!$N$4:$N$1510),NA()))</f>
        <v>#N/A</v>
      </c>
      <c r="S328" t="e">
        <f>IF($J328&gt;MAX('Match Log'!$A$4:$A$1510),NA(),IFERROR(LOOKUP(2,1/(('Match Log'!$D$4:$D$1510=$S$24)*('Match Log'!$A$4:$A$1510&lt;=$J328)),'Match Log'!$N$4:$N$1510),NA()))</f>
        <v>#N/A</v>
      </c>
      <c r="T328" t="e">
        <f>IF($J328&gt;MAX('Match Log'!$A$4:$A$1510),NA(),IFERROR(LOOKUP(2,1/(('Match Log'!$D$4:$D$1510=$T$24)*('Match Log'!$A$4:$A$1510&lt;=$J328)),'Match Log'!$N$4:$N$1510),NA()))</f>
        <v>#N/A</v>
      </c>
      <c r="U328" t="e">
        <f>IF($J328&gt;MAX('Match Log'!$A$4:$A$1510),NA(),IFERROR(LOOKUP(2,1/(('Match Log'!$D$4:$D$1510=$U$24)*('Match Log'!$A$4:$A$1510&lt;=$J328)),'Match Log'!$N$4:$N$1510),NA()))</f>
        <v>#N/A</v>
      </c>
      <c r="V328" t="e">
        <f>IF($J328&gt;MAX('Match Log'!$A$4:$A$1510),NA(),IFERROR(LOOKUP(2,1/(('Match Log'!$D$4:$D$1510=$V$24)*('Match Log'!$A$4:$A$1510&lt;=$J328)),'Match Log'!$N$4:$N$1510),NA()))</f>
        <v>#N/A</v>
      </c>
      <c r="W328" t="e">
        <f>IF($J328&gt;MAX('Match Log'!$A$4:$A$1510),NA(),IFERROR(LOOKUP(2,1/(('Match Log'!$D$4:$D$1510=$W$24)*('Match Log'!$A$4:$A$1510&lt;=$J328)),'Match Log'!$N$4:$N$1510),NA()))</f>
        <v>#N/A</v>
      </c>
      <c r="X328" t="e">
        <f>IF($J328&gt;MAX('Match Log'!$A$4:$A$1510),NA(),IFERROR(LOOKUP(2,1/(('Match Log'!$D$4:$D$1510=$X$24)*('Match Log'!$A$4:$A$1510&lt;=$J328)),'Match Log'!$N$4:$N$1510),NA()))</f>
        <v>#N/A</v>
      </c>
      <c r="Y328" t="str">
        <f t="shared" ca="1" si="31"/>
        <v/>
      </c>
    </row>
    <row r="329" spans="1:25" x14ac:dyDescent="0.2">
      <c r="A329">
        <v>305</v>
      </c>
      <c r="B329" t="str">
        <f>IFERROR(INDEX('Match Log'!$B$4:$B$1510,MATCH($A329,'Match Log'!$A$4:$A$1510,0)),"")</f>
        <v/>
      </c>
      <c r="C329" t="str">
        <f>IFERROR(INDEX('Match Log'!$C$4:$C$1510,MATCH($A329,'Match Log'!$A$4:$A$1510,0)),"")</f>
        <v/>
      </c>
      <c r="D329" t="str">
        <f t="array" ref="D329">IFERROR(_xlfn.TEXTJOIN(" + ",TRUE(),IF(('Match Log'!$A$4:$A$1510=$A329)*('Match Log'!$E$4:$E$1510="Win"),'Match Log'!$D$4:$D$1510,"")),IFERROR(LOOKUP(2,1/(('Match Log'!$A$4:$A$1510=$A329)*('Match Log'!$E$4:$E$1510="Win")),'Match Log'!$D$4:$D$1510),""))</f>
        <v/>
      </c>
      <c r="E329" t="str">
        <f>IFERROR(INDEX('Match Log'!$F$4:$F$1510,MATCH($A329,'Match Log'!$A$4:$A$1510,0)),"")</f>
        <v/>
      </c>
      <c r="F329">
        <f>IFERROR(SUMIFS('Match Log'!$I$4:$I$1510,'Match Log'!$A$4:$A$1510,$A329,'Match Log'!$E$4:$E$1510,"Win"),"")</f>
        <v>0</v>
      </c>
      <c r="G329" t="str">
        <f t="shared" si="29"/>
        <v/>
      </c>
      <c r="H329" t="str">
        <f t="array" ref="H329">IFERROR(IF(COUNTIFS('Match Log'!$A$4:$A$1510,$A329,'Match Log'!$E$4:$E$1510,"Win")&gt;1,_xlfn.TEXTJOIN(" + ",TRUE(),IF(('Match Log'!$A$4:$A$1510=$A329)*('Match Log'!$E$4:$E$1510="Loss"),'Match Log'!$D$4:$D$1510,"")),IF($E329=2,LOOKUP(2,1/(('Match Log'!$A$4:$A$1510=$A329)*('Match Log'!$E$4:$E$1510="Loss")),'Match Log'!$D$4:$D$1510),"the field")),"")</f>
        <v>the field</v>
      </c>
      <c r="I329" t="str">
        <f t="shared" si="30"/>
        <v/>
      </c>
      <c r="J329">
        <v>305</v>
      </c>
      <c r="K329" t="e">
        <f>IF($J329&gt;MAX('Match Log'!$A$4:$A$1510),NA(),IFERROR(LOOKUP(2,1/(('Match Log'!$D$4:$D$1510=$K$24)*('Match Log'!$A$4:$A$1510&lt;=$J329)),'Match Log'!$N$4:$N$1510),NA()))</f>
        <v>#N/A</v>
      </c>
      <c r="L329" t="e">
        <f>IF($J329&gt;MAX('Match Log'!$A$4:$A$1510),NA(),IFERROR(LOOKUP(2,1/(('Match Log'!$D$4:$D$1510=$L$24)*('Match Log'!$A$4:$A$1510&lt;=$J329)),'Match Log'!$N$4:$N$1510),NA()))</f>
        <v>#N/A</v>
      </c>
      <c r="M329" t="e">
        <f>IF($J329&gt;MAX('Match Log'!$A$4:$A$1510),NA(),IFERROR(LOOKUP(2,1/(('Match Log'!$D$4:$D$1510=$M$24)*('Match Log'!$A$4:$A$1510&lt;=$J329)),'Match Log'!$N$4:$N$1510),NA()))</f>
        <v>#N/A</v>
      </c>
      <c r="N329" t="e">
        <f>IF($J329&gt;MAX('Match Log'!$A$4:$A$1510),NA(),IFERROR(LOOKUP(2,1/(('Match Log'!$D$4:$D$1510=$N$24)*('Match Log'!$A$4:$A$1510&lt;=$J329)),'Match Log'!$N$4:$N$1510),NA()))</f>
        <v>#N/A</v>
      </c>
      <c r="O329" t="e">
        <f>IF($J329&gt;MAX('Match Log'!$A$4:$A$1510),NA(),IFERROR(LOOKUP(2,1/(('Match Log'!$D$4:$D$1510=$O$24)*('Match Log'!$A$4:$A$1510&lt;=$J329)),'Match Log'!$N$4:$N$1510),NA()))</f>
        <v>#N/A</v>
      </c>
      <c r="P329" t="e">
        <f>IF($J329&gt;MAX('Match Log'!$A$4:$A$1510),NA(),IFERROR(LOOKUP(2,1/(('Match Log'!$D$4:$D$1510=$P$24)*('Match Log'!$A$4:$A$1510&lt;=$J329)),'Match Log'!$N$4:$N$1510),NA()))</f>
        <v>#N/A</v>
      </c>
      <c r="Q329" t="e">
        <f>IF($J329&gt;MAX('Match Log'!$A$4:$A$1510),NA(),IFERROR(LOOKUP(2,1/(('Match Log'!$D$4:$D$1510=$Q$24)*('Match Log'!$A$4:$A$1510&lt;=$J329)),'Match Log'!$N$4:$N$1510),NA()))</f>
        <v>#N/A</v>
      </c>
      <c r="R329" t="e">
        <f>IF($J329&gt;MAX('Match Log'!$A$4:$A$1510),NA(),IFERROR(LOOKUP(2,1/(('Match Log'!$D$4:$D$1510=$R$24)*('Match Log'!$A$4:$A$1510&lt;=$J329)),'Match Log'!$N$4:$N$1510),NA()))</f>
        <v>#N/A</v>
      </c>
      <c r="S329" t="e">
        <f>IF($J329&gt;MAX('Match Log'!$A$4:$A$1510),NA(),IFERROR(LOOKUP(2,1/(('Match Log'!$D$4:$D$1510=$S$24)*('Match Log'!$A$4:$A$1510&lt;=$J329)),'Match Log'!$N$4:$N$1510),NA()))</f>
        <v>#N/A</v>
      </c>
      <c r="T329" t="e">
        <f>IF($J329&gt;MAX('Match Log'!$A$4:$A$1510),NA(),IFERROR(LOOKUP(2,1/(('Match Log'!$D$4:$D$1510=$T$24)*('Match Log'!$A$4:$A$1510&lt;=$J329)),'Match Log'!$N$4:$N$1510),NA()))</f>
        <v>#N/A</v>
      </c>
      <c r="U329" t="e">
        <f>IF($J329&gt;MAX('Match Log'!$A$4:$A$1510),NA(),IFERROR(LOOKUP(2,1/(('Match Log'!$D$4:$D$1510=$U$24)*('Match Log'!$A$4:$A$1510&lt;=$J329)),'Match Log'!$N$4:$N$1510),NA()))</f>
        <v>#N/A</v>
      </c>
      <c r="V329" t="e">
        <f>IF($J329&gt;MAX('Match Log'!$A$4:$A$1510),NA(),IFERROR(LOOKUP(2,1/(('Match Log'!$D$4:$D$1510=$V$24)*('Match Log'!$A$4:$A$1510&lt;=$J329)),'Match Log'!$N$4:$N$1510),NA()))</f>
        <v>#N/A</v>
      </c>
      <c r="W329" t="e">
        <f>IF($J329&gt;MAX('Match Log'!$A$4:$A$1510),NA(),IFERROR(LOOKUP(2,1/(('Match Log'!$D$4:$D$1510=$W$24)*('Match Log'!$A$4:$A$1510&lt;=$J329)),'Match Log'!$N$4:$N$1510),NA()))</f>
        <v>#N/A</v>
      </c>
      <c r="X329" t="e">
        <f>IF($J329&gt;MAX('Match Log'!$A$4:$A$1510),NA(),IFERROR(LOOKUP(2,1/(('Match Log'!$D$4:$D$1510=$X$24)*('Match Log'!$A$4:$A$1510&lt;=$J329)),'Match Log'!$N$4:$N$1510),NA()))</f>
        <v>#N/A</v>
      </c>
      <c r="Y329" t="str">
        <f t="shared" ca="1" si="31"/>
        <v/>
      </c>
    </row>
    <row r="330" spans="1:25" x14ac:dyDescent="0.2">
      <c r="A330">
        <v>306</v>
      </c>
      <c r="B330" t="str">
        <f>IFERROR(INDEX('Match Log'!$B$4:$B$1510,MATCH($A330,'Match Log'!$A$4:$A$1510,0)),"")</f>
        <v/>
      </c>
      <c r="C330" t="str">
        <f>IFERROR(INDEX('Match Log'!$C$4:$C$1510,MATCH($A330,'Match Log'!$A$4:$A$1510,0)),"")</f>
        <v/>
      </c>
      <c r="D330" t="str">
        <f t="array" ref="D330">IFERROR(_xlfn.TEXTJOIN(" + ",TRUE(),IF(('Match Log'!$A$4:$A$1510=$A330)*('Match Log'!$E$4:$E$1510="Win"),'Match Log'!$D$4:$D$1510,"")),IFERROR(LOOKUP(2,1/(('Match Log'!$A$4:$A$1510=$A330)*('Match Log'!$E$4:$E$1510="Win")),'Match Log'!$D$4:$D$1510),""))</f>
        <v/>
      </c>
      <c r="E330" t="str">
        <f>IFERROR(INDEX('Match Log'!$F$4:$F$1510,MATCH($A330,'Match Log'!$A$4:$A$1510,0)),"")</f>
        <v/>
      </c>
      <c r="F330">
        <f>IFERROR(SUMIFS('Match Log'!$I$4:$I$1510,'Match Log'!$A$4:$A$1510,$A330,'Match Log'!$E$4:$E$1510,"Win"),"")</f>
        <v>0</v>
      </c>
      <c r="G330" t="str">
        <f t="shared" si="29"/>
        <v/>
      </c>
      <c r="H330" t="str">
        <f t="array" ref="H330">IFERROR(IF(COUNTIFS('Match Log'!$A$4:$A$1510,$A330,'Match Log'!$E$4:$E$1510,"Win")&gt;1,_xlfn.TEXTJOIN(" + ",TRUE(),IF(('Match Log'!$A$4:$A$1510=$A330)*('Match Log'!$E$4:$E$1510="Loss"),'Match Log'!$D$4:$D$1510,"")),IF($E330=2,LOOKUP(2,1/(('Match Log'!$A$4:$A$1510=$A330)*('Match Log'!$E$4:$E$1510="Loss")),'Match Log'!$D$4:$D$1510),"the field")),"")</f>
        <v>the field</v>
      </c>
      <c r="I330" t="str">
        <f t="shared" si="30"/>
        <v/>
      </c>
      <c r="J330">
        <v>306</v>
      </c>
      <c r="K330" t="e">
        <f>IF($J330&gt;MAX('Match Log'!$A$4:$A$1510),NA(),IFERROR(LOOKUP(2,1/(('Match Log'!$D$4:$D$1510=$K$24)*('Match Log'!$A$4:$A$1510&lt;=$J330)),'Match Log'!$N$4:$N$1510),NA()))</f>
        <v>#N/A</v>
      </c>
      <c r="L330" t="e">
        <f>IF($J330&gt;MAX('Match Log'!$A$4:$A$1510),NA(),IFERROR(LOOKUP(2,1/(('Match Log'!$D$4:$D$1510=$L$24)*('Match Log'!$A$4:$A$1510&lt;=$J330)),'Match Log'!$N$4:$N$1510),NA()))</f>
        <v>#N/A</v>
      </c>
      <c r="M330" t="e">
        <f>IF($J330&gt;MAX('Match Log'!$A$4:$A$1510),NA(),IFERROR(LOOKUP(2,1/(('Match Log'!$D$4:$D$1510=$M$24)*('Match Log'!$A$4:$A$1510&lt;=$J330)),'Match Log'!$N$4:$N$1510),NA()))</f>
        <v>#N/A</v>
      </c>
      <c r="N330" t="e">
        <f>IF($J330&gt;MAX('Match Log'!$A$4:$A$1510),NA(),IFERROR(LOOKUP(2,1/(('Match Log'!$D$4:$D$1510=$N$24)*('Match Log'!$A$4:$A$1510&lt;=$J330)),'Match Log'!$N$4:$N$1510),NA()))</f>
        <v>#N/A</v>
      </c>
      <c r="O330" t="e">
        <f>IF($J330&gt;MAX('Match Log'!$A$4:$A$1510),NA(),IFERROR(LOOKUP(2,1/(('Match Log'!$D$4:$D$1510=$O$24)*('Match Log'!$A$4:$A$1510&lt;=$J330)),'Match Log'!$N$4:$N$1510),NA()))</f>
        <v>#N/A</v>
      </c>
      <c r="P330" t="e">
        <f>IF($J330&gt;MAX('Match Log'!$A$4:$A$1510),NA(),IFERROR(LOOKUP(2,1/(('Match Log'!$D$4:$D$1510=$P$24)*('Match Log'!$A$4:$A$1510&lt;=$J330)),'Match Log'!$N$4:$N$1510),NA()))</f>
        <v>#N/A</v>
      </c>
      <c r="Q330" t="e">
        <f>IF($J330&gt;MAX('Match Log'!$A$4:$A$1510),NA(),IFERROR(LOOKUP(2,1/(('Match Log'!$D$4:$D$1510=$Q$24)*('Match Log'!$A$4:$A$1510&lt;=$J330)),'Match Log'!$N$4:$N$1510),NA()))</f>
        <v>#N/A</v>
      </c>
      <c r="R330" t="e">
        <f>IF($J330&gt;MAX('Match Log'!$A$4:$A$1510),NA(),IFERROR(LOOKUP(2,1/(('Match Log'!$D$4:$D$1510=$R$24)*('Match Log'!$A$4:$A$1510&lt;=$J330)),'Match Log'!$N$4:$N$1510),NA()))</f>
        <v>#N/A</v>
      </c>
      <c r="S330" t="e">
        <f>IF($J330&gt;MAX('Match Log'!$A$4:$A$1510),NA(),IFERROR(LOOKUP(2,1/(('Match Log'!$D$4:$D$1510=$S$24)*('Match Log'!$A$4:$A$1510&lt;=$J330)),'Match Log'!$N$4:$N$1510),NA()))</f>
        <v>#N/A</v>
      </c>
      <c r="T330" t="e">
        <f>IF($J330&gt;MAX('Match Log'!$A$4:$A$1510),NA(),IFERROR(LOOKUP(2,1/(('Match Log'!$D$4:$D$1510=$T$24)*('Match Log'!$A$4:$A$1510&lt;=$J330)),'Match Log'!$N$4:$N$1510),NA()))</f>
        <v>#N/A</v>
      </c>
      <c r="U330" t="e">
        <f>IF($J330&gt;MAX('Match Log'!$A$4:$A$1510),NA(),IFERROR(LOOKUP(2,1/(('Match Log'!$D$4:$D$1510=$U$24)*('Match Log'!$A$4:$A$1510&lt;=$J330)),'Match Log'!$N$4:$N$1510),NA()))</f>
        <v>#N/A</v>
      </c>
      <c r="V330" t="e">
        <f>IF($J330&gt;MAX('Match Log'!$A$4:$A$1510),NA(),IFERROR(LOOKUP(2,1/(('Match Log'!$D$4:$D$1510=$V$24)*('Match Log'!$A$4:$A$1510&lt;=$J330)),'Match Log'!$N$4:$N$1510),NA()))</f>
        <v>#N/A</v>
      </c>
      <c r="W330" t="e">
        <f>IF($J330&gt;MAX('Match Log'!$A$4:$A$1510),NA(),IFERROR(LOOKUP(2,1/(('Match Log'!$D$4:$D$1510=$W$24)*('Match Log'!$A$4:$A$1510&lt;=$J330)),'Match Log'!$N$4:$N$1510),NA()))</f>
        <v>#N/A</v>
      </c>
      <c r="X330" t="e">
        <f>IF($J330&gt;MAX('Match Log'!$A$4:$A$1510),NA(),IFERROR(LOOKUP(2,1/(('Match Log'!$D$4:$D$1510=$X$24)*('Match Log'!$A$4:$A$1510&lt;=$J330)),'Match Log'!$N$4:$N$1510),NA()))</f>
        <v>#N/A</v>
      </c>
      <c r="Y330" t="str">
        <f t="shared" ca="1" si="31"/>
        <v/>
      </c>
    </row>
    <row r="331" spans="1:25" x14ac:dyDescent="0.2">
      <c r="A331">
        <v>307</v>
      </c>
      <c r="B331" t="str">
        <f>IFERROR(INDEX('Match Log'!$B$4:$B$1510,MATCH($A331,'Match Log'!$A$4:$A$1510,0)),"")</f>
        <v/>
      </c>
      <c r="C331" t="str">
        <f>IFERROR(INDEX('Match Log'!$C$4:$C$1510,MATCH($A331,'Match Log'!$A$4:$A$1510,0)),"")</f>
        <v/>
      </c>
      <c r="D331" t="str">
        <f t="array" ref="D331">IFERROR(_xlfn.TEXTJOIN(" + ",TRUE(),IF(('Match Log'!$A$4:$A$1510=$A331)*('Match Log'!$E$4:$E$1510="Win"),'Match Log'!$D$4:$D$1510,"")),IFERROR(LOOKUP(2,1/(('Match Log'!$A$4:$A$1510=$A331)*('Match Log'!$E$4:$E$1510="Win")),'Match Log'!$D$4:$D$1510),""))</f>
        <v/>
      </c>
      <c r="E331" t="str">
        <f>IFERROR(INDEX('Match Log'!$F$4:$F$1510,MATCH($A331,'Match Log'!$A$4:$A$1510,0)),"")</f>
        <v/>
      </c>
      <c r="F331">
        <f>IFERROR(SUMIFS('Match Log'!$I$4:$I$1510,'Match Log'!$A$4:$A$1510,$A331,'Match Log'!$E$4:$E$1510,"Win"),"")</f>
        <v>0</v>
      </c>
      <c r="G331" t="str">
        <f t="shared" si="29"/>
        <v/>
      </c>
      <c r="H331" t="str">
        <f t="array" ref="H331">IFERROR(IF(COUNTIFS('Match Log'!$A$4:$A$1510,$A331,'Match Log'!$E$4:$E$1510,"Win")&gt;1,_xlfn.TEXTJOIN(" + ",TRUE(),IF(('Match Log'!$A$4:$A$1510=$A331)*('Match Log'!$E$4:$E$1510="Loss"),'Match Log'!$D$4:$D$1510,"")),IF($E331=2,LOOKUP(2,1/(('Match Log'!$A$4:$A$1510=$A331)*('Match Log'!$E$4:$E$1510="Loss")),'Match Log'!$D$4:$D$1510),"the field")),"")</f>
        <v>the field</v>
      </c>
      <c r="I331" t="str">
        <f t="shared" si="30"/>
        <v/>
      </c>
      <c r="J331">
        <v>307</v>
      </c>
      <c r="K331" t="e">
        <f>IF($J331&gt;MAX('Match Log'!$A$4:$A$1510),NA(),IFERROR(LOOKUP(2,1/(('Match Log'!$D$4:$D$1510=$K$24)*('Match Log'!$A$4:$A$1510&lt;=$J331)),'Match Log'!$N$4:$N$1510),NA()))</f>
        <v>#N/A</v>
      </c>
      <c r="L331" t="e">
        <f>IF($J331&gt;MAX('Match Log'!$A$4:$A$1510),NA(),IFERROR(LOOKUP(2,1/(('Match Log'!$D$4:$D$1510=$L$24)*('Match Log'!$A$4:$A$1510&lt;=$J331)),'Match Log'!$N$4:$N$1510),NA()))</f>
        <v>#N/A</v>
      </c>
      <c r="M331" t="e">
        <f>IF($J331&gt;MAX('Match Log'!$A$4:$A$1510),NA(),IFERROR(LOOKUP(2,1/(('Match Log'!$D$4:$D$1510=$M$24)*('Match Log'!$A$4:$A$1510&lt;=$J331)),'Match Log'!$N$4:$N$1510),NA()))</f>
        <v>#N/A</v>
      </c>
      <c r="N331" t="e">
        <f>IF($J331&gt;MAX('Match Log'!$A$4:$A$1510),NA(),IFERROR(LOOKUP(2,1/(('Match Log'!$D$4:$D$1510=$N$24)*('Match Log'!$A$4:$A$1510&lt;=$J331)),'Match Log'!$N$4:$N$1510),NA()))</f>
        <v>#N/A</v>
      </c>
      <c r="O331" t="e">
        <f>IF($J331&gt;MAX('Match Log'!$A$4:$A$1510),NA(),IFERROR(LOOKUP(2,1/(('Match Log'!$D$4:$D$1510=$O$24)*('Match Log'!$A$4:$A$1510&lt;=$J331)),'Match Log'!$N$4:$N$1510),NA()))</f>
        <v>#N/A</v>
      </c>
      <c r="P331" t="e">
        <f>IF($J331&gt;MAX('Match Log'!$A$4:$A$1510),NA(),IFERROR(LOOKUP(2,1/(('Match Log'!$D$4:$D$1510=$P$24)*('Match Log'!$A$4:$A$1510&lt;=$J331)),'Match Log'!$N$4:$N$1510),NA()))</f>
        <v>#N/A</v>
      </c>
      <c r="Q331" t="e">
        <f>IF($J331&gt;MAX('Match Log'!$A$4:$A$1510),NA(),IFERROR(LOOKUP(2,1/(('Match Log'!$D$4:$D$1510=$Q$24)*('Match Log'!$A$4:$A$1510&lt;=$J331)),'Match Log'!$N$4:$N$1510),NA()))</f>
        <v>#N/A</v>
      </c>
      <c r="R331" t="e">
        <f>IF($J331&gt;MAX('Match Log'!$A$4:$A$1510),NA(),IFERROR(LOOKUP(2,1/(('Match Log'!$D$4:$D$1510=$R$24)*('Match Log'!$A$4:$A$1510&lt;=$J331)),'Match Log'!$N$4:$N$1510),NA()))</f>
        <v>#N/A</v>
      </c>
      <c r="S331" t="e">
        <f>IF($J331&gt;MAX('Match Log'!$A$4:$A$1510),NA(),IFERROR(LOOKUP(2,1/(('Match Log'!$D$4:$D$1510=$S$24)*('Match Log'!$A$4:$A$1510&lt;=$J331)),'Match Log'!$N$4:$N$1510),NA()))</f>
        <v>#N/A</v>
      </c>
      <c r="T331" t="e">
        <f>IF($J331&gt;MAX('Match Log'!$A$4:$A$1510),NA(),IFERROR(LOOKUP(2,1/(('Match Log'!$D$4:$D$1510=$T$24)*('Match Log'!$A$4:$A$1510&lt;=$J331)),'Match Log'!$N$4:$N$1510),NA()))</f>
        <v>#N/A</v>
      </c>
      <c r="U331" t="e">
        <f>IF($J331&gt;MAX('Match Log'!$A$4:$A$1510),NA(),IFERROR(LOOKUP(2,1/(('Match Log'!$D$4:$D$1510=$U$24)*('Match Log'!$A$4:$A$1510&lt;=$J331)),'Match Log'!$N$4:$N$1510),NA()))</f>
        <v>#N/A</v>
      </c>
      <c r="V331" t="e">
        <f>IF($J331&gt;MAX('Match Log'!$A$4:$A$1510),NA(),IFERROR(LOOKUP(2,1/(('Match Log'!$D$4:$D$1510=$V$24)*('Match Log'!$A$4:$A$1510&lt;=$J331)),'Match Log'!$N$4:$N$1510),NA()))</f>
        <v>#N/A</v>
      </c>
      <c r="W331" t="e">
        <f>IF($J331&gt;MAX('Match Log'!$A$4:$A$1510),NA(),IFERROR(LOOKUP(2,1/(('Match Log'!$D$4:$D$1510=$W$24)*('Match Log'!$A$4:$A$1510&lt;=$J331)),'Match Log'!$N$4:$N$1510),NA()))</f>
        <v>#N/A</v>
      </c>
      <c r="X331" t="e">
        <f>IF($J331&gt;MAX('Match Log'!$A$4:$A$1510),NA(),IFERROR(LOOKUP(2,1/(('Match Log'!$D$4:$D$1510=$X$24)*('Match Log'!$A$4:$A$1510&lt;=$J331)),'Match Log'!$N$4:$N$1510),NA()))</f>
        <v>#N/A</v>
      </c>
      <c r="Y331" t="str">
        <f t="shared" ca="1" si="31"/>
        <v/>
      </c>
    </row>
    <row r="332" spans="1:25" x14ac:dyDescent="0.2">
      <c r="A332">
        <v>308</v>
      </c>
      <c r="B332" t="str">
        <f>IFERROR(INDEX('Match Log'!$B$4:$B$1510,MATCH($A332,'Match Log'!$A$4:$A$1510,0)),"")</f>
        <v/>
      </c>
      <c r="C332" t="str">
        <f>IFERROR(INDEX('Match Log'!$C$4:$C$1510,MATCH($A332,'Match Log'!$A$4:$A$1510,0)),"")</f>
        <v/>
      </c>
      <c r="D332" t="str">
        <f t="array" ref="D332">IFERROR(_xlfn.TEXTJOIN(" + ",TRUE(),IF(('Match Log'!$A$4:$A$1510=$A332)*('Match Log'!$E$4:$E$1510="Win"),'Match Log'!$D$4:$D$1510,"")),IFERROR(LOOKUP(2,1/(('Match Log'!$A$4:$A$1510=$A332)*('Match Log'!$E$4:$E$1510="Win")),'Match Log'!$D$4:$D$1510),""))</f>
        <v/>
      </c>
      <c r="E332" t="str">
        <f>IFERROR(INDEX('Match Log'!$F$4:$F$1510,MATCH($A332,'Match Log'!$A$4:$A$1510,0)),"")</f>
        <v/>
      </c>
      <c r="F332">
        <f>IFERROR(SUMIFS('Match Log'!$I$4:$I$1510,'Match Log'!$A$4:$A$1510,$A332,'Match Log'!$E$4:$E$1510,"Win"),"")</f>
        <v>0</v>
      </c>
      <c r="G332" t="str">
        <f t="shared" si="29"/>
        <v/>
      </c>
      <c r="H332" t="str">
        <f t="array" ref="H332">IFERROR(IF(COUNTIFS('Match Log'!$A$4:$A$1510,$A332,'Match Log'!$E$4:$E$1510,"Win")&gt;1,_xlfn.TEXTJOIN(" + ",TRUE(),IF(('Match Log'!$A$4:$A$1510=$A332)*('Match Log'!$E$4:$E$1510="Loss"),'Match Log'!$D$4:$D$1510,"")),IF($E332=2,LOOKUP(2,1/(('Match Log'!$A$4:$A$1510=$A332)*('Match Log'!$E$4:$E$1510="Loss")),'Match Log'!$D$4:$D$1510),"the field")),"")</f>
        <v>the field</v>
      </c>
      <c r="I332" t="str">
        <f t="shared" si="30"/>
        <v/>
      </c>
      <c r="J332">
        <v>308</v>
      </c>
      <c r="K332" t="e">
        <f>IF($J332&gt;MAX('Match Log'!$A$4:$A$1510),NA(),IFERROR(LOOKUP(2,1/(('Match Log'!$D$4:$D$1510=$K$24)*('Match Log'!$A$4:$A$1510&lt;=$J332)),'Match Log'!$N$4:$N$1510),NA()))</f>
        <v>#N/A</v>
      </c>
      <c r="L332" t="e">
        <f>IF($J332&gt;MAX('Match Log'!$A$4:$A$1510),NA(),IFERROR(LOOKUP(2,1/(('Match Log'!$D$4:$D$1510=$L$24)*('Match Log'!$A$4:$A$1510&lt;=$J332)),'Match Log'!$N$4:$N$1510),NA()))</f>
        <v>#N/A</v>
      </c>
      <c r="M332" t="e">
        <f>IF($J332&gt;MAX('Match Log'!$A$4:$A$1510),NA(),IFERROR(LOOKUP(2,1/(('Match Log'!$D$4:$D$1510=$M$24)*('Match Log'!$A$4:$A$1510&lt;=$J332)),'Match Log'!$N$4:$N$1510),NA()))</f>
        <v>#N/A</v>
      </c>
      <c r="N332" t="e">
        <f>IF($J332&gt;MAX('Match Log'!$A$4:$A$1510),NA(),IFERROR(LOOKUP(2,1/(('Match Log'!$D$4:$D$1510=$N$24)*('Match Log'!$A$4:$A$1510&lt;=$J332)),'Match Log'!$N$4:$N$1510),NA()))</f>
        <v>#N/A</v>
      </c>
      <c r="O332" t="e">
        <f>IF($J332&gt;MAX('Match Log'!$A$4:$A$1510),NA(),IFERROR(LOOKUP(2,1/(('Match Log'!$D$4:$D$1510=$O$24)*('Match Log'!$A$4:$A$1510&lt;=$J332)),'Match Log'!$N$4:$N$1510),NA()))</f>
        <v>#N/A</v>
      </c>
      <c r="P332" t="e">
        <f>IF($J332&gt;MAX('Match Log'!$A$4:$A$1510),NA(),IFERROR(LOOKUP(2,1/(('Match Log'!$D$4:$D$1510=$P$24)*('Match Log'!$A$4:$A$1510&lt;=$J332)),'Match Log'!$N$4:$N$1510),NA()))</f>
        <v>#N/A</v>
      </c>
      <c r="Q332" t="e">
        <f>IF($J332&gt;MAX('Match Log'!$A$4:$A$1510),NA(),IFERROR(LOOKUP(2,1/(('Match Log'!$D$4:$D$1510=$Q$24)*('Match Log'!$A$4:$A$1510&lt;=$J332)),'Match Log'!$N$4:$N$1510),NA()))</f>
        <v>#N/A</v>
      </c>
      <c r="R332" t="e">
        <f>IF($J332&gt;MAX('Match Log'!$A$4:$A$1510),NA(),IFERROR(LOOKUP(2,1/(('Match Log'!$D$4:$D$1510=$R$24)*('Match Log'!$A$4:$A$1510&lt;=$J332)),'Match Log'!$N$4:$N$1510),NA()))</f>
        <v>#N/A</v>
      </c>
      <c r="S332" t="e">
        <f>IF($J332&gt;MAX('Match Log'!$A$4:$A$1510),NA(),IFERROR(LOOKUP(2,1/(('Match Log'!$D$4:$D$1510=$S$24)*('Match Log'!$A$4:$A$1510&lt;=$J332)),'Match Log'!$N$4:$N$1510),NA()))</f>
        <v>#N/A</v>
      </c>
      <c r="T332" t="e">
        <f>IF($J332&gt;MAX('Match Log'!$A$4:$A$1510),NA(),IFERROR(LOOKUP(2,1/(('Match Log'!$D$4:$D$1510=$T$24)*('Match Log'!$A$4:$A$1510&lt;=$J332)),'Match Log'!$N$4:$N$1510),NA()))</f>
        <v>#N/A</v>
      </c>
      <c r="U332" t="e">
        <f>IF($J332&gt;MAX('Match Log'!$A$4:$A$1510),NA(),IFERROR(LOOKUP(2,1/(('Match Log'!$D$4:$D$1510=$U$24)*('Match Log'!$A$4:$A$1510&lt;=$J332)),'Match Log'!$N$4:$N$1510),NA()))</f>
        <v>#N/A</v>
      </c>
      <c r="V332" t="e">
        <f>IF($J332&gt;MAX('Match Log'!$A$4:$A$1510),NA(),IFERROR(LOOKUP(2,1/(('Match Log'!$D$4:$D$1510=$V$24)*('Match Log'!$A$4:$A$1510&lt;=$J332)),'Match Log'!$N$4:$N$1510),NA()))</f>
        <v>#N/A</v>
      </c>
      <c r="W332" t="e">
        <f>IF($J332&gt;MAX('Match Log'!$A$4:$A$1510),NA(),IFERROR(LOOKUP(2,1/(('Match Log'!$D$4:$D$1510=$W$24)*('Match Log'!$A$4:$A$1510&lt;=$J332)),'Match Log'!$N$4:$N$1510),NA()))</f>
        <v>#N/A</v>
      </c>
      <c r="X332" t="e">
        <f>IF($J332&gt;MAX('Match Log'!$A$4:$A$1510),NA(),IFERROR(LOOKUP(2,1/(('Match Log'!$D$4:$D$1510=$X$24)*('Match Log'!$A$4:$A$1510&lt;=$J332)),'Match Log'!$N$4:$N$1510),NA()))</f>
        <v>#N/A</v>
      </c>
      <c r="Y332" t="str">
        <f t="shared" ca="1" si="31"/>
        <v/>
      </c>
    </row>
    <row r="333" spans="1:25" x14ac:dyDescent="0.2">
      <c r="A333">
        <v>309</v>
      </c>
      <c r="B333" t="str">
        <f>IFERROR(INDEX('Match Log'!$B$4:$B$1510,MATCH($A333,'Match Log'!$A$4:$A$1510,0)),"")</f>
        <v/>
      </c>
      <c r="C333" t="str">
        <f>IFERROR(INDEX('Match Log'!$C$4:$C$1510,MATCH($A333,'Match Log'!$A$4:$A$1510,0)),"")</f>
        <v/>
      </c>
      <c r="D333" t="str">
        <f t="array" ref="D333">IFERROR(_xlfn.TEXTJOIN(" + ",TRUE(),IF(('Match Log'!$A$4:$A$1510=$A333)*('Match Log'!$E$4:$E$1510="Win"),'Match Log'!$D$4:$D$1510,"")),IFERROR(LOOKUP(2,1/(('Match Log'!$A$4:$A$1510=$A333)*('Match Log'!$E$4:$E$1510="Win")),'Match Log'!$D$4:$D$1510),""))</f>
        <v/>
      </c>
      <c r="E333" t="str">
        <f>IFERROR(INDEX('Match Log'!$F$4:$F$1510,MATCH($A333,'Match Log'!$A$4:$A$1510,0)),"")</f>
        <v/>
      </c>
      <c r="F333">
        <f>IFERROR(SUMIFS('Match Log'!$I$4:$I$1510,'Match Log'!$A$4:$A$1510,$A333,'Match Log'!$E$4:$E$1510,"Win"),"")</f>
        <v>0</v>
      </c>
      <c r="G333" t="str">
        <f t="shared" si="29"/>
        <v/>
      </c>
      <c r="H333" t="str">
        <f t="array" ref="H333">IFERROR(IF(COUNTIFS('Match Log'!$A$4:$A$1510,$A333,'Match Log'!$E$4:$E$1510,"Win")&gt;1,_xlfn.TEXTJOIN(" + ",TRUE(),IF(('Match Log'!$A$4:$A$1510=$A333)*('Match Log'!$E$4:$E$1510="Loss"),'Match Log'!$D$4:$D$1510,"")),IF($E333=2,LOOKUP(2,1/(('Match Log'!$A$4:$A$1510=$A333)*('Match Log'!$E$4:$E$1510="Loss")),'Match Log'!$D$4:$D$1510),"the field")),"")</f>
        <v>the field</v>
      </c>
      <c r="I333" t="str">
        <f t="shared" si="30"/>
        <v/>
      </c>
      <c r="J333">
        <v>309</v>
      </c>
      <c r="K333" t="e">
        <f>IF($J333&gt;MAX('Match Log'!$A$4:$A$1510),NA(),IFERROR(LOOKUP(2,1/(('Match Log'!$D$4:$D$1510=$K$24)*('Match Log'!$A$4:$A$1510&lt;=$J333)),'Match Log'!$N$4:$N$1510),NA()))</f>
        <v>#N/A</v>
      </c>
      <c r="L333" t="e">
        <f>IF($J333&gt;MAX('Match Log'!$A$4:$A$1510),NA(),IFERROR(LOOKUP(2,1/(('Match Log'!$D$4:$D$1510=$L$24)*('Match Log'!$A$4:$A$1510&lt;=$J333)),'Match Log'!$N$4:$N$1510),NA()))</f>
        <v>#N/A</v>
      </c>
      <c r="M333" t="e">
        <f>IF($J333&gt;MAX('Match Log'!$A$4:$A$1510),NA(),IFERROR(LOOKUP(2,1/(('Match Log'!$D$4:$D$1510=$M$24)*('Match Log'!$A$4:$A$1510&lt;=$J333)),'Match Log'!$N$4:$N$1510),NA()))</f>
        <v>#N/A</v>
      </c>
      <c r="N333" t="e">
        <f>IF($J333&gt;MAX('Match Log'!$A$4:$A$1510),NA(),IFERROR(LOOKUP(2,1/(('Match Log'!$D$4:$D$1510=$N$24)*('Match Log'!$A$4:$A$1510&lt;=$J333)),'Match Log'!$N$4:$N$1510),NA()))</f>
        <v>#N/A</v>
      </c>
      <c r="O333" t="e">
        <f>IF($J333&gt;MAX('Match Log'!$A$4:$A$1510),NA(),IFERROR(LOOKUP(2,1/(('Match Log'!$D$4:$D$1510=$O$24)*('Match Log'!$A$4:$A$1510&lt;=$J333)),'Match Log'!$N$4:$N$1510),NA()))</f>
        <v>#N/A</v>
      </c>
      <c r="P333" t="e">
        <f>IF($J333&gt;MAX('Match Log'!$A$4:$A$1510),NA(),IFERROR(LOOKUP(2,1/(('Match Log'!$D$4:$D$1510=$P$24)*('Match Log'!$A$4:$A$1510&lt;=$J333)),'Match Log'!$N$4:$N$1510),NA()))</f>
        <v>#N/A</v>
      </c>
      <c r="Q333" t="e">
        <f>IF($J333&gt;MAX('Match Log'!$A$4:$A$1510),NA(),IFERROR(LOOKUP(2,1/(('Match Log'!$D$4:$D$1510=$Q$24)*('Match Log'!$A$4:$A$1510&lt;=$J333)),'Match Log'!$N$4:$N$1510),NA()))</f>
        <v>#N/A</v>
      </c>
      <c r="R333" t="e">
        <f>IF($J333&gt;MAX('Match Log'!$A$4:$A$1510),NA(),IFERROR(LOOKUP(2,1/(('Match Log'!$D$4:$D$1510=$R$24)*('Match Log'!$A$4:$A$1510&lt;=$J333)),'Match Log'!$N$4:$N$1510),NA()))</f>
        <v>#N/A</v>
      </c>
      <c r="S333" t="e">
        <f>IF($J333&gt;MAX('Match Log'!$A$4:$A$1510),NA(),IFERROR(LOOKUP(2,1/(('Match Log'!$D$4:$D$1510=$S$24)*('Match Log'!$A$4:$A$1510&lt;=$J333)),'Match Log'!$N$4:$N$1510),NA()))</f>
        <v>#N/A</v>
      </c>
      <c r="T333" t="e">
        <f>IF($J333&gt;MAX('Match Log'!$A$4:$A$1510),NA(),IFERROR(LOOKUP(2,1/(('Match Log'!$D$4:$D$1510=$T$24)*('Match Log'!$A$4:$A$1510&lt;=$J333)),'Match Log'!$N$4:$N$1510),NA()))</f>
        <v>#N/A</v>
      </c>
      <c r="U333" t="e">
        <f>IF($J333&gt;MAX('Match Log'!$A$4:$A$1510),NA(),IFERROR(LOOKUP(2,1/(('Match Log'!$D$4:$D$1510=$U$24)*('Match Log'!$A$4:$A$1510&lt;=$J333)),'Match Log'!$N$4:$N$1510),NA()))</f>
        <v>#N/A</v>
      </c>
      <c r="V333" t="e">
        <f>IF($J333&gt;MAX('Match Log'!$A$4:$A$1510),NA(),IFERROR(LOOKUP(2,1/(('Match Log'!$D$4:$D$1510=$V$24)*('Match Log'!$A$4:$A$1510&lt;=$J333)),'Match Log'!$N$4:$N$1510),NA()))</f>
        <v>#N/A</v>
      </c>
      <c r="W333" t="e">
        <f>IF($J333&gt;MAX('Match Log'!$A$4:$A$1510),NA(),IFERROR(LOOKUP(2,1/(('Match Log'!$D$4:$D$1510=$W$24)*('Match Log'!$A$4:$A$1510&lt;=$J333)),'Match Log'!$N$4:$N$1510),NA()))</f>
        <v>#N/A</v>
      </c>
      <c r="X333" t="e">
        <f>IF($J333&gt;MAX('Match Log'!$A$4:$A$1510),NA(),IFERROR(LOOKUP(2,1/(('Match Log'!$D$4:$D$1510=$X$24)*('Match Log'!$A$4:$A$1510&lt;=$J333)),'Match Log'!$N$4:$N$1510),NA()))</f>
        <v>#N/A</v>
      </c>
      <c r="Y333" t="str">
        <f t="shared" ca="1" si="31"/>
        <v/>
      </c>
    </row>
    <row r="334" spans="1:25" x14ac:dyDescent="0.2">
      <c r="A334">
        <v>310</v>
      </c>
      <c r="B334" t="str">
        <f>IFERROR(INDEX('Match Log'!$B$4:$B$1510,MATCH($A334,'Match Log'!$A$4:$A$1510,0)),"")</f>
        <v/>
      </c>
      <c r="C334" t="str">
        <f>IFERROR(INDEX('Match Log'!$C$4:$C$1510,MATCH($A334,'Match Log'!$A$4:$A$1510,0)),"")</f>
        <v/>
      </c>
      <c r="D334" t="str">
        <f t="array" ref="D334">IFERROR(_xlfn.TEXTJOIN(" + ",TRUE(),IF(('Match Log'!$A$4:$A$1510=$A334)*('Match Log'!$E$4:$E$1510="Win"),'Match Log'!$D$4:$D$1510,"")),IFERROR(LOOKUP(2,1/(('Match Log'!$A$4:$A$1510=$A334)*('Match Log'!$E$4:$E$1510="Win")),'Match Log'!$D$4:$D$1510),""))</f>
        <v/>
      </c>
      <c r="E334" t="str">
        <f>IFERROR(INDEX('Match Log'!$F$4:$F$1510,MATCH($A334,'Match Log'!$A$4:$A$1510,0)),"")</f>
        <v/>
      </c>
      <c r="F334">
        <f>IFERROR(SUMIFS('Match Log'!$I$4:$I$1510,'Match Log'!$A$4:$A$1510,$A334,'Match Log'!$E$4:$E$1510,"Win"),"")</f>
        <v>0</v>
      </c>
      <c r="G334" t="str">
        <f t="shared" si="29"/>
        <v/>
      </c>
      <c r="H334" t="str">
        <f t="array" ref="H334">IFERROR(IF(COUNTIFS('Match Log'!$A$4:$A$1510,$A334,'Match Log'!$E$4:$E$1510,"Win")&gt;1,_xlfn.TEXTJOIN(" + ",TRUE(),IF(('Match Log'!$A$4:$A$1510=$A334)*('Match Log'!$E$4:$E$1510="Loss"),'Match Log'!$D$4:$D$1510,"")),IF($E334=2,LOOKUP(2,1/(('Match Log'!$A$4:$A$1510=$A334)*('Match Log'!$E$4:$E$1510="Loss")),'Match Log'!$D$4:$D$1510),"the field")),"")</f>
        <v>the field</v>
      </c>
      <c r="I334" t="str">
        <f t="shared" si="30"/>
        <v/>
      </c>
      <c r="J334">
        <v>310</v>
      </c>
      <c r="K334" t="e">
        <f>IF($J334&gt;MAX('Match Log'!$A$4:$A$1510),NA(),IFERROR(LOOKUP(2,1/(('Match Log'!$D$4:$D$1510=$K$24)*('Match Log'!$A$4:$A$1510&lt;=$J334)),'Match Log'!$N$4:$N$1510),NA()))</f>
        <v>#N/A</v>
      </c>
      <c r="L334" t="e">
        <f>IF($J334&gt;MAX('Match Log'!$A$4:$A$1510),NA(),IFERROR(LOOKUP(2,1/(('Match Log'!$D$4:$D$1510=$L$24)*('Match Log'!$A$4:$A$1510&lt;=$J334)),'Match Log'!$N$4:$N$1510),NA()))</f>
        <v>#N/A</v>
      </c>
      <c r="M334" t="e">
        <f>IF($J334&gt;MAX('Match Log'!$A$4:$A$1510),NA(),IFERROR(LOOKUP(2,1/(('Match Log'!$D$4:$D$1510=$M$24)*('Match Log'!$A$4:$A$1510&lt;=$J334)),'Match Log'!$N$4:$N$1510),NA()))</f>
        <v>#N/A</v>
      </c>
      <c r="N334" t="e">
        <f>IF($J334&gt;MAX('Match Log'!$A$4:$A$1510),NA(),IFERROR(LOOKUP(2,1/(('Match Log'!$D$4:$D$1510=$N$24)*('Match Log'!$A$4:$A$1510&lt;=$J334)),'Match Log'!$N$4:$N$1510),NA()))</f>
        <v>#N/A</v>
      </c>
      <c r="O334" t="e">
        <f>IF($J334&gt;MAX('Match Log'!$A$4:$A$1510),NA(),IFERROR(LOOKUP(2,1/(('Match Log'!$D$4:$D$1510=$O$24)*('Match Log'!$A$4:$A$1510&lt;=$J334)),'Match Log'!$N$4:$N$1510),NA()))</f>
        <v>#N/A</v>
      </c>
      <c r="P334" t="e">
        <f>IF($J334&gt;MAX('Match Log'!$A$4:$A$1510),NA(),IFERROR(LOOKUP(2,1/(('Match Log'!$D$4:$D$1510=$P$24)*('Match Log'!$A$4:$A$1510&lt;=$J334)),'Match Log'!$N$4:$N$1510),NA()))</f>
        <v>#N/A</v>
      </c>
      <c r="Q334" t="e">
        <f>IF($J334&gt;MAX('Match Log'!$A$4:$A$1510),NA(),IFERROR(LOOKUP(2,1/(('Match Log'!$D$4:$D$1510=$Q$24)*('Match Log'!$A$4:$A$1510&lt;=$J334)),'Match Log'!$N$4:$N$1510),NA()))</f>
        <v>#N/A</v>
      </c>
      <c r="R334" t="e">
        <f>IF($J334&gt;MAX('Match Log'!$A$4:$A$1510),NA(),IFERROR(LOOKUP(2,1/(('Match Log'!$D$4:$D$1510=$R$24)*('Match Log'!$A$4:$A$1510&lt;=$J334)),'Match Log'!$N$4:$N$1510),NA()))</f>
        <v>#N/A</v>
      </c>
      <c r="S334" t="e">
        <f>IF($J334&gt;MAX('Match Log'!$A$4:$A$1510),NA(),IFERROR(LOOKUP(2,1/(('Match Log'!$D$4:$D$1510=$S$24)*('Match Log'!$A$4:$A$1510&lt;=$J334)),'Match Log'!$N$4:$N$1510),NA()))</f>
        <v>#N/A</v>
      </c>
      <c r="T334" t="e">
        <f>IF($J334&gt;MAX('Match Log'!$A$4:$A$1510),NA(),IFERROR(LOOKUP(2,1/(('Match Log'!$D$4:$D$1510=$T$24)*('Match Log'!$A$4:$A$1510&lt;=$J334)),'Match Log'!$N$4:$N$1510),NA()))</f>
        <v>#N/A</v>
      </c>
      <c r="U334" t="e">
        <f>IF($J334&gt;MAX('Match Log'!$A$4:$A$1510),NA(),IFERROR(LOOKUP(2,1/(('Match Log'!$D$4:$D$1510=$U$24)*('Match Log'!$A$4:$A$1510&lt;=$J334)),'Match Log'!$N$4:$N$1510),NA()))</f>
        <v>#N/A</v>
      </c>
      <c r="V334" t="e">
        <f>IF($J334&gt;MAX('Match Log'!$A$4:$A$1510),NA(),IFERROR(LOOKUP(2,1/(('Match Log'!$D$4:$D$1510=$V$24)*('Match Log'!$A$4:$A$1510&lt;=$J334)),'Match Log'!$N$4:$N$1510),NA()))</f>
        <v>#N/A</v>
      </c>
      <c r="W334" t="e">
        <f>IF($J334&gt;MAX('Match Log'!$A$4:$A$1510),NA(),IFERROR(LOOKUP(2,1/(('Match Log'!$D$4:$D$1510=$W$24)*('Match Log'!$A$4:$A$1510&lt;=$J334)),'Match Log'!$N$4:$N$1510),NA()))</f>
        <v>#N/A</v>
      </c>
      <c r="X334" t="e">
        <f>IF($J334&gt;MAX('Match Log'!$A$4:$A$1510),NA(),IFERROR(LOOKUP(2,1/(('Match Log'!$D$4:$D$1510=$X$24)*('Match Log'!$A$4:$A$1510&lt;=$J334)),'Match Log'!$N$4:$N$1510),NA()))</f>
        <v>#N/A</v>
      </c>
      <c r="Y334" t="str">
        <f t="shared" ca="1" si="31"/>
        <v/>
      </c>
    </row>
    <row r="335" spans="1:25" x14ac:dyDescent="0.2">
      <c r="A335">
        <v>311</v>
      </c>
      <c r="B335" t="str">
        <f>IFERROR(INDEX('Match Log'!$B$4:$B$1510,MATCH($A335,'Match Log'!$A$4:$A$1510,0)),"")</f>
        <v/>
      </c>
      <c r="C335" t="str">
        <f>IFERROR(INDEX('Match Log'!$C$4:$C$1510,MATCH($A335,'Match Log'!$A$4:$A$1510,0)),"")</f>
        <v/>
      </c>
      <c r="D335" t="str">
        <f t="array" ref="D335">IFERROR(_xlfn.TEXTJOIN(" + ",TRUE(),IF(('Match Log'!$A$4:$A$1510=$A335)*('Match Log'!$E$4:$E$1510="Win"),'Match Log'!$D$4:$D$1510,"")),IFERROR(LOOKUP(2,1/(('Match Log'!$A$4:$A$1510=$A335)*('Match Log'!$E$4:$E$1510="Win")),'Match Log'!$D$4:$D$1510),""))</f>
        <v/>
      </c>
      <c r="E335" t="str">
        <f>IFERROR(INDEX('Match Log'!$F$4:$F$1510,MATCH($A335,'Match Log'!$A$4:$A$1510,0)),"")</f>
        <v/>
      </c>
      <c r="F335">
        <f>IFERROR(SUMIFS('Match Log'!$I$4:$I$1510,'Match Log'!$A$4:$A$1510,$A335,'Match Log'!$E$4:$E$1510,"Win"),"")</f>
        <v>0</v>
      </c>
      <c r="G335" t="str">
        <f t="shared" si="29"/>
        <v/>
      </c>
      <c r="H335" t="str">
        <f t="array" ref="H335">IFERROR(IF(COUNTIFS('Match Log'!$A$4:$A$1510,$A335,'Match Log'!$E$4:$E$1510,"Win")&gt;1,_xlfn.TEXTJOIN(" + ",TRUE(),IF(('Match Log'!$A$4:$A$1510=$A335)*('Match Log'!$E$4:$E$1510="Loss"),'Match Log'!$D$4:$D$1510,"")),IF($E335=2,LOOKUP(2,1/(('Match Log'!$A$4:$A$1510=$A335)*('Match Log'!$E$4:$E$1510="Loss")),'Match Log'!$D$4:$D$1510),"the field")),"")</f>
        <v>the field</v>
      </c>
      <c r="I335" t="str">
        <f t="shared" si="30"/>
        <v/>
      </c>
      <c r="J335">
        <v>311</v>
      </c>
      <c r="K335" t="e">
        <f>IF($J335&gt;MAX('Match Log'!$A$4:$A$1510),NA(),IFERROR(LOOKUP(2,1/(('Match Log'!$D$4:$D$1510=$K$24)*('Match Log'!$A$4:$A$1510&lt;=$J335)),'Match Log'!$N$4:$N$1510),NA()))</f>
        <v>#N/A</v>
      </c>
      <c r="L335" t="e">
        <f>IF($J335&gt;MAX('Match Log'!$A$4:$A$1510),NA(),IFERROR(LOOKUP(2,1/(('Match Log'!$D$4:$D$1510=$L$24)*('Match Log'!$A$4:$A$1510&lt;=$J335)),'Match Log'!$N$4:$N$1510),NA()))</f>
        <v>#N/A</v>
      </c>
      <c r="M335" t="e">
        <f>IF($J335&gt;MAX('Match Log'!$A$4:$A$1510),NA(),IFERROR(LOOKUP(2,1/(('Match Log'!$D$4:$D$1510=$M$24)*('Match Log'!$A$4:$A$1510&lt;=$J335)),'Match Log'!$N$4:$N$1510),NA()))</f>
        <v>#N/A</v>
      </c>
      <c r="N335" t="e">
        <f>IF($J335&gt;MAX('Match Log'!$A$4:$A$1510),NA(),IFERROR(LOOKUP(2,1/(('Match Log'!$D$4:$D$1510=$N$24)*('Match Log'!$A$4:$A$1510&lt;=$J335)),'Match Log'!$N$4:$N$1510),NA()))</f>
        <v>#N/A</v>
      </c>
      <c r="O335" t="e">
        <f>IF($J335&gt;MAX('Match Log'!$A$4:$A$1510),NA(),IFERROR(LOOKUP(2,1/(('Match Log'!$D$4:$D$1510=$O$24)*('Match Log'!$A$4:$A$1510&lt;=$J335)),'Match Log'!$N$4:$N$1510),NA()))</f>
        <v>#N/A</v>
      </c>
      <c r="P335" t="e">
        <f>IF($J335&gt;MAX('Match Log'!$A$4:$A$1510),NA(),IFERROR(LOOKUP(2,1/(('Match Log'!$D$4:$D$1510=$P$24)*('Match Log'!$A$4:$A$1510&lt;=$J335)),'Match Log'!$N$4:$N$1510),NA()))</f>
        <v>#N/A</v>
      </c>
      <c r="Q335" t="e">
        <f>IF($J335&gt;MAX('Match Log'!$A$4:$A$1510),NA(),IFERROR(LOOKUP(2,1/(('Match Log'!$D$4:$D$1510=$Q$24)*('Match Log'!$A$4:$A$1510&lt;=$J335)),'Match Log'!$N$4:$N$1510),NA()))</f>
        <v>#N/A</v>
      </c>
      <c r="R335" t="e">
        <f>IF($J335&gt;MAX('Match Log'!$A$4:$A$1510),NA(),IFERROR(LOOKUP(2,1/(('Match Log'!$D$4:$D$1510=$R$24)*('Match Log'!$A$4:$A$1510&lt;=$J335)),'Match Log'!$N$4:$N$1510),NA()))</f>
        <v>#N/A</v>
      </c>
      <c r="S335" t="e">
        <f>IF($J335&gt;MAX('Match Log'!$A$4:$A$1510),NA(),IFERROR(LOOKUP(2,1/(('Match Log'!$D$4:$D$1510=$S$24)*('Match Log'!$A$4:$A$1510&lt;=$J335)),'Match Log'!$N$4:$N$1510),NA()))</f>
        <v>#N/A</v>
      </c>
      <c r="T335" t="e">
        <f>IF($J335&gt;MAX('Match Log'!$A$4:$A$1510),NA(),IFERROR(LOOKUP(2,1/(('Match Log'!$D$4:$D$1510=$T$24)*('Match Log'!$A$4:$A$1510&lt;=$J335)),'Match Log'!$N$4:$N$1510),NA()))</f>
        <v>#N/A</v>
      </c>
      <c r="U335" t="e">
        <f>IF($J335&gt;MAX('Match Log'!$A$4:$A$1510),NA(),IFERROR(LOOKUP(2,1/(('Match Log'!$D$4:$D$1510=$U$24)*('Match Log'!$A$4:$A$1510&lt;=$J335)),'Match Log'!$N$4:$N$1510),NA()))</f>
        <v>#N/A</v>
      </c>
      <c r="V335" t="e">
        <f>IF($J335&gt;MAX('Match Log'!$A$4:$A$1510),NA(),IFERROR(LOOKUP(2,1/(('Match Log'!$D$4:$D$1510=$V$24)*('Match Log'!$A$4:$A$1510&lt;=$J335)),'Match Log'!$N$4:$N$1510),NA()))</f>
        <v>#N/A</v>
      </c>
      <c r="W335" t="e">
        <f>IF($J335&gt;MAX('Match Log'!$A$4:$A$1510),NA(),IFERROR(LOOKUP(2,1/(('Match Log'!$D$4:$D$1510=$W$24)*('Match Log'!$A$4:$A$1510&lt;=$J335)),'Match Log'!$N$4:$N$1510),NA()))</f>
        <v>#N/A</v>
      </c>
      <c r="X335" t="e">
        <f>IF($J335&gt;MAX('Match Log'!$A$4:$A$1510),NA(),IFERROR(LOOKUP(2,1/(('Match Log'!$D$4:$D$1510=$X$24)*('Match Log'!$A$4:$A$1510&lt;=$J335)),'Match Log'!$N$4:$N$1510),NA()))</f>
        <v>#N/A</v>
      </c>
      <c r="Y335" t="str">
        <f t="shared" ca="1" si="31"/>
        <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1232.8695151191851</v>
      </c>
      <c r="C2">
        <f>IFERROR(SUMPRODUCT(INDEX('Head-to-Head'!$B$22:$O$35,1,0),$D$2:$Q$2)/SUM(INDEX('Head-to-Head'!$B$22:$O$35,1,0)),"")</f>
        <v>1139.0476374221903</v>
      </c>
      <c r="D2">
        <f>$B$2</f>
        <v>1232.8695151191851</v>
      </c>
      <c r="E2">
        <f>$B$3</f>
        <v>1029.5175965335138</v>
      </c>
      <c r="F2">
        <f>$B$4</f>
        <v>1081.2287215286424</v>
      </c>
      <c r="G2">
        <f>$B$5</f>
        <v>907.03133644117429</v>
      </c>
      <c r="H2">
        <f>$B$6</f>
        <v>1192.3121492095624</v>
      </c>
      <c r="I2">
        <f>$B$7</f>
        <v>1208.774905680516</v>
      </c>
      <c r="J2">
        <f>$B$8</f>
        <v>1215.996181687143</v>
      </c>
      <c r="K2">
        <f>$B$9</f>
        <v>1122.9551369054641</v>
      </c>
      <c r="L2">
        <f>$B$10</f>
        <v>1248.9288111472574</v>
      </c>
      <c r="M2">
        <f>$B$11</f>
        <v>862.22294373677494</v>
      </c>
      <c r="N2">
        <f>$B$12</f>
        <v>944.39454678356583</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1090.1293746791509</v>
      </c>
    </row>
    <row r="4" spans="1:17" ht="15" customHeight="1" x14ac:dyDescent="0.2">
      <c r="A4" t="s">
        <v>17</v>
      </c>
      <c r="B4">
        <f>IF(COUNTIF('Match Log'!$D$4:$D$1510,$A4)=0,'Guide &amp; Settings'!$C$41,IFERROR(LOOKUP(2,1/('Match Log'!$D$4:$D$1510=$A4),'Match Log'!$N$4:$N$1510),'Guide &amp; Settings'!$C$41))</f>
        <v>1081.2287215286424</v>
      </c>
      <c r="C4">
        <f>IFERROR(SUMPRODUCT(INDEX('Head-to-Head'!$B$22:$O$35,3,0),$D$2:$Q$2)/SUM(INDEX('Head-to-Head'!$B$22:$O$35,3,0)),"")</f>
        <v>1127.7568283571582</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1159.8121570438734</v>
      </c>
    </row>
    <row r="6" spans="1:17" ht="15" customHeight="1" x14ac:dyDescent="0.2">
      <c r="A6" t="s">
        <v>19</v>
      </c>
      <c r="B6">
        <f>IF(COUNTIF('Match Log'!$D$4:$D$1510,$A6)=0,'Guide &amp; Settings'!$C$41,IFERROR(LOOKUP(2,1/('Match Log'!$D$4:$D$1510=$A6),'Match Log'!$N$4:$N$1510),'Guide &amp; Settings'!$C$41))</f>
        <v>1192.3121492095624</v>
      </c>
      <c r="C6">
        <f>IFERROR(SUMPRODUCT(INDEX('Head-to-Head'!$B$22:$O$35,5,0),$D$2:$Q$2)/SUM(INDEX('Head-to-Head'!$B$22:$O$35,5,0)),"")</f>
        <v>1120.9938580011403</v>
      </c>
    </row>
    <row r="7" spans="1:17" ht="15" customHeight="1" x14ac:dyDescent="0.2">
      <c r="A7" t="s">
        <v>20</v>
      </c>
      <c r="B7">
        <f>IF(COUNTIF('Match Log'!$D$4:$D$1510,$A7)=0,'Guide &amp; Settings'!$C$41,IFERROR(LOOKUP(2,1/('Match Log'!$D$4:$D$1510=$A7),'Match Log'!$N$4:$N$1510),'Guide &amp; Settings'!$C$41))</f>
        <v>1208.774905680516</v>
      </c>
      <c r="C7">
        <f>IFERROR(SUMPRODUCT(INDEX('Head-to-Head'!$B$22:$O$35,6,0),$D$2:$Q$2)/SUM(INDEX('Head-to-Head'!$B$22:$O$35,6,0)),"")</f>
        <v>1125.0184018657783</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1075.761704803989</v>
      </c>
    </row>
    <row r="9" spans="1:17" ht="15" customHeight="1" x14ac:dyDescent="0.2">
      <c r="A9" t="s">
        <v>22</v>
      </c>
      <c r="B9">
        <f>IF(COUNTIF('Match Log'!$D$4:$D$1510,$A9)=0,'Guide &amp; Settings'!$C$41,IFERROR(LOOKUP(2,1/('Match Log'!$D$4:$D$1510=$A9),'Match Log'!$N$4:$N$1510),'Guide &amp; Settings'!$C$41))</f>
        <v>1122.9551369054641</v>
      </c>
      <c r="C9">
        <f>IFERROR(SUMPRODUCT(INDEX('Head-to-Head'!$B$22:$O$35,8,0),$D$2:$Q$2)/SUM(INDEX('Head-to-Head'!$B$22:$O$35,8,0)),"")</f>
        <v>1163.2169284484555</v>
      </c>
    </row>
    <row r="10" spans="1:17" ht="15" customHeight="1" x14ac:dyDescent="0.2">
      <c r="A10" t="s">
        <v>23</v>
      </c>
      <c r="B10">
        <f>IF(COUNTIF('Match Log'!$D$4:$D$1510,$A10)=0,'Guide &amp; Settings'!$C$41,IFERROR(LOOKUP(2,1/('Match Log'!$D$4:$D$1510=$A10),'Match Log'!$N$4:$N$1510),'Guide &amp; Settings'!$C$41))</f>
        <v>1248.9288111472574</v>
      </c>
      <c r="C10">
        <f>IFERROR(SUMPRODUCT(INDEX('Head-to-Head'!$B$22:$O$35,9,0),$D$2:$Q$2)/SUM(INDEX('Head-to-Head'!$B$22:$O$35,9,0)),"")</f>
        <v>1110.8538618694322</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1111.7657118679115</v>
      </c>
    </row>
    <row r="12" spans="1:17" ht="15" customHeight="1" x14ac:dyDescent="0.2">
      <c r="A12" t="s">
        <v>25</v>
      </c>
      <c r="B12">
        <f>IF(COUNTIF('Match Log'!$D$4:$D$1510,$A12)=0,'Guide &amp; Settings'!$C$41,IFERROR(LOOKUP(2,1/('Match Log'!$D$4:$D$1510=$A12),'Match Log'!$N$4:$N$1510),'Guide &amp; Settings'!$C$41))</f>
        <v>944.39454678356583</v>
      </c>
      <c r="C12">
        <f>IFERROR(SUMPRODUCT(INDEX('Head-to-Head'!$B$22:$O$35,11,0),$D$2:$Q$2)/SUM(INDEX('Head-to-Head'!$B$22:$O$35,11,0)),"")</f>
        <v>1171.2070927192344</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1059.6253815425109</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1092.8470236980786</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2026-09-22T11:32:25Z</dcterms:modified>
  <dc:language>en-US</dc:language>
</cp:coreProperties>
</file>