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35E56475-2CEE-F34B-84F3-3A5DE1377381}"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E548" i="13"/>
  <c r="E549" i="13"/>
  <c r="H549" i="13" s="1" a="1"/>
  <c r="H549" i="13" s="1"/>
  <c r="E550" i="13"/>
  <c r="H550" i="13" s="1" a="1"/>
  <c r="H550" i="13" s="1"/>
  <c r="E551" i="13"/>
  <c r="H551" i="13" s="1" a="1"/>
  <c r="H551" i="13" s="1"/>
  <c r="E552" i="13"/>
  <c r="H552" i="13" s="1" a="1"/>
  <c r="H552" i="13" s="1"/>
  <c r="E553" i="13"/>
  <c r="E554" i="13"/>
  <c r="H554" i="13" s="1" a="1"/>
  <c r="H554" i="13" s="1"/>
  <c r="E555" i="13"/>
  <c r="H555" i="13" s="1" a="1"/>
  <c r="H555" i="13" s="1"/>
  <c r="E556" i="13"/>
  <c r="H556" i="13" s="1" a="1"/>
  <c r="H556" i="13" s="1"/>
  <c r="E557" i="13"/>
  <c r="H557" i="13" s="1" a="1"/>
  <c r="H557" i="13" s="1"/>
  <c r="E558" i="13"/>
  <c r="H558" i="13" s="1" a="1"/>
  <c r="H558" i="13" s="1"/>
  <c r="E559" i="13"/>
  <c r="H559" i="13" s="1" a="1"/>
  <c r="H559" i="13" s="1"/>
  <c r="E560" i="13"/>
  <c r="H560" i="13" s="1" a="1"/>
  <c r="H560" i="13" s="1"/>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E570" i="13"/>
  <c r="H570" i="13" s="1" a="1"/>
  <c r="H570" i="13" s="1"/>
  <c r="E571" i="13"/>
  <c r="H571" i="13" s="1" a="1"/>
  <c r="H571" i="13" s="1"/>
  <c r="E572" i="13"/>
  <c r="H572" i="13" s="1" a="1"/>
  <c r="H572" i="13" s="1"/>
  <c r="E573" i="13"/>
  <c r="H573" i="13" s="1" a="1"/>
  <c r="H573" i="13" s="1"/>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H630" i="13" s="1" a="1"/>
  <c r="H630" i="13" s="1"/>
  <c r="E631" i="13"/>
  <c r="H631" i="13" s="1" a="1"/>
  <c r="H631" i="13" s="1"/>
  <c r="E632" i="13"/>
  <c r="H632" i="13" s="1" a="1"/>
  <c r="H632" i="13" s="1"/>
  <c r="E633" i="13"/>
  <c r="E634" i="13"/>
  <c r="H634" i="13" s="1" a="1"/>
  <c r="H634" i="13" s="1"/>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E644" i="13"/>
  <c r="H644" i="13" s="1" a="1"/>
  <c r="H644" i="13" s="1"/>
  <c r="E645" i="13"/>
  <c r="H645" i="13" s="1" a="1"/>
  <c r="H645" i="13" s="1"/>
  <c r="E646" i="13"/>
  <c r="H646" i="13" s="1" a="1"/>
  <c r="H646" i="13" s="1"/>
  <c r="E647" i="13"/>
  <c r="H647" i="13" s="1" a="1"/>
  <c r="H647" i="13" s="1"/>
  <c r="E648" i="13"/>
  <c r="H648" i="13" s="1" a="1"/>
  <c r="H648" i="13" s="1"/>
  <c r="E649" i="13"/>
  <c r="E650" i="13"/>
  <c r="H650" i="13" s="1" a="1"/>
  <c r="H650" i="13" s="1"/>
  <c r="E651" i="13"/>
  <c r="H651" i="13" s="1" a="1"/>
  <c r="H651" i="13" s="1"/>
  <c r="E652" i="13"/>
  <c r="E653" i="13"/>
  <c r="H653" i="13" s="1" a="1"/>
  <c r="H653" i="13" s="1"/>
  <c r="E654" i="13"/>
  <c r="E655" i="13"/>
  <c r="H655" i="13" s="1" a="1"/>
  <c r="H655" i="13" s="1"/>
  <c r="E656" i="13"/>
  <c r="H656" i="13" s="1" a="1"/>
  <c r="H656" i="13" s="1"/>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E666" i="13"/>
  <c r="H666" i="13" s="1" a="1"/>
  <c r="H666" i="13" s="1"/>
  <c r="E667" i="13"/>
  <c r="E668" i="13"/>
  <c r="E669" i="13"/>
  <c r="H669" i="13" s="1" a="1"/>
  <c r="H669" i="13" s="1"/>
  <c r="E670" i="13"/>
  <c r="E671" i="13"/>
  <c r="H671" i="13" s="1" a="1"/>
  <c r="H671" i="13" s="1"/>
  <c r="E672" i="13"/>
  <c r="H672" i="13" s="1" a="1"/>
  <c r="H672" i="13" s="1"/>
  <c r="E673" i="13"/>
  <c r="H673" i="13" s="1" a="1"/>
  <c r="H673" i="13" s="1"/>
  <c r="E674" i="13"/>
  <c r="H674" i="13" s="1" a="1"/>
  <c r="H674" i="13" s="1"/>
  <c r="E675" i="13"/>
  <c r="E676" i="13"/>
  <c r="H676" i="13" s="1" a="1"/>
  <c r="H676" i="13" s="1"/>
  <c r="E677" i="13"/>
  <c r="E678" i="13"/>
  <c r="H678" i="13" s="1" a="1"/>
  <c r="H678" i="13" s="1"/>
  <c r="E679" i="13"/>
  <c r="H679" i="13" s="1" a="1"/>
  <c r="H679" i="13" s="1"/>
  <c r="E680" i="13"/>
  <c r="H680" i="13" s="1" a="1"/>
  <c r="H680" i="13" s="1"/>
  <c r="E681" i="13"/>
  <c r="E682" i="13"/>
  <c r="H682" i="13" s="1" a="1"/>
  <c r="H682" i="13" s="1"/>
  <c r="E683" i="13"/>
  <c r="H683" i="13" s="1" a="1"/>
  <c r="H683" i="13" s="1"/>
  <c r="E684" i="13"/>
  <c r="E685" i="13"/>
  <c r="E686" i="13"/>
  <c r="H686" i="13" s="1" a="1"/>
  <c r="H686" i="13" s="1"/>
  <c r="E687" i="13"/>
  <c r="H687" i="13" s="1" a="1"/>
  <c r="H687" i="13" s="1"/>
  <c r="E688" i="13"/>
  <c r="H688" i="13" s="1" a="1"/>
  <c r="H688" i="13" s="1"/>
  <c r="E689" i="13"/>
  <c r="H689" i="13" s="1" a="1"/>
  <c r="H689" i="13" s="1"/>
  <c r="E690" i="13"/>
  <c r="H690" i="13" s="1" a="1"/>
  <c r="H690" i="13" s="1"/>
  <c r="E691" i="13"/>
  <c r="E692" i="13"/>
  <c r="H692" i="13" s="1" a="1"/>
  <c r="H692" i="13" s="1"/>
  <c r="E693" i="13"/>
  <c r="H693" i="13" s="1" a="1"/>
  <c r="H693" i="13" s="1"/>
  <c r="E694" i="13"/>
  <c r="H694" i="13" s="1" a="1"/>
  <c r="H694" i="13" s="1"/>
  <c r="E695" i="13"/>
  <c r="H695" i="13" s="1" a="1"/>
  <c r="H695" i="13" s="1"/>
  <c r="E696" i="13"/>
  <c r="H696" i="13" s="1" a="1"/>
  <c r="H696" i="13" s="1"/>
  <c r="E697" i="13"/>
  <c r="E698" i="13"/>
  <c r="H698" i="13" s="1" a="1"/>
  <c r="H698" i="13" s="1"/>
  <c r="E699" i="13"/>
  <c r="H699" i="13" s="1" a="1"/>
  <c r="H699" i="13" s="1"/>
  <c r="E700" i="13"/>
  <c r="E701" i="13"/>
  <c r="H701" i="13" s="1" a="1"/>
  <c r="H701" i="13" s="1"/>
  <c r="E702" i="13"/>
  <c r="E703" i="13"/>
  <c r="E704" i="13"/>
  <c r="H704" i="13" s="1" a="1"/>
  <c r="H704" i="13" s="1"/>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O787" i="10" s="1"/>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C776" i="10" s="1"/>
  <c r="AD777" i="10"/>
  <c r="AC777" i="10" s="1"/>
  <c r="AD778" i="10"/>
  <c r="AC778" i="10" s="1"/>
  <c r="AD779" i="10"/>
  <c r="AC779" i="10" s="1"/>
  <c r="AD780" i="10"/>
  <c r="AC780" i="10" s="1"/>
  <c r="AD781" i="10"/>
  <c r="AC781" i="10" s="1"/>
  <c r="AD782" i="10"/>
  <c r="AC782" i="10" s="1"/>
  <c r="AD783" i="10"/>
  <c r="AC783" i="10" s="1"/>
  <c r="AD784" i="10"/>
  <c r="AC784" i="10" s="1"/>
  <c r="AD785" i="10"/>
  <c r="AC785" i="10" s="1"/>
  <c r="AD786" i="10"/>
  <c r="AC786" i="10" s="1"/>
  <c r="AD787" i="10"/>
  <c r="AC787" i="10" s="1"/>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D358" i="13" a="1"/>
  <c r="D358" i="13" s="1"/>
  <c r="X357" i="13"/>
  <c r="D357" i="13" a="1"/>
  <c r="D357" i="13" s="1"/>
  <c r="X356" i="13"/>
  <c r="D356" i="13" a="1"/>
  <c r="D356" i="13" s="1"/>
  <c r="X355" i="13"/>
  <c r="D355" i="13" a="1"/>
  <c r="D355" i="13" s="1"/>
  <c r="X354" i="13"/>
  <c r="D354" i="13" a="1"/>
  <c r="D354" i="13" s="1"/>
  <c r="X353" i="13"/>
  <c r="D353" i="13" a="1"/>
  <c r="D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T787" i="10"/>
  <c r="R787" i="10"/>
  <c r="L787" i="10"/>
  <c r="G787" i="10"/>
  <c r="F787" i="10"/>
  <c r="T786" i="10"/>
  <c r="R786" i="10"/>
  <c r="S786" i="10" s="1"/>
  <c r="I786" i="10" s="1"/>
  <c r="G786" i="10"/>
  <c r="F786" i="10"/>
  <c r="E358" i="13" s="1"/>
  <c r="H358" i="13" s="1" a="1"/>
  <c r="H358" i="13" s="1"/>
  <c r="T785" i="10"/>
  <c r="R785" i="10"/>
  <c r="L785" i="10"/>
  <c r="G785" i="10"/>
  <c r="F785" i="10"/>
  <c r="T784" i="10"/>
  <c r="R784" i="10"/>
  <c r="G784" i="10"/>
  <c r="F784" i="10"/>
  <c r="E357" i="13" s="1"/>
  <c r="H357" i="13" s="1" a="1"/>
  <c r="H357" i="13" s="1"/>
  <c r="T783" i="10"/>
  <c r="R783" i="10"/>
  <c r="G783" i="10"/>
  <c r="F783" i="10"/>
  <c r="L783" i="10" s="1"/>
  <c r="T782" i="10"/>
  <c r="R782" i="10"/>
  <c r="G782" i="10"/>
  <c r="F782" i="10"/>
  <c r="E356" i="13" s="1"/>
  <c r="H356" i="13" s="1" a="1"/>
  <c r="H356" i="13" s="1"/>
  <c r="T781" i="10"/>
  <c r="R781" i="10"/>
  <c r="G781" i="10"/>
  <c r="F781" i="10"/>
  <c r="L781" i="10" s="1"/>
  <c r="T780" i="10"/>
  <c r="R780" i="10"/>
  <c r="G780" i="10"/>
  <c r="F780" i="10"/>
  <c r="E355" i="13" s="1"/>
  <c r="H355" i="13" s="1" a="1"/>
  <c r="H355" i="13" s="1"/>
  <c r="T779" i="10"/>
  <c r="R779" i="10"/>
  <c r="G779" i="10"/>
  <c r="F779" i="10"/>
  <c r="O779" i="10" s="1"/>
  <c r="T778" i="10"/>
  <c r="R778" i="10"/>
  <c r="G778" i="10"/>
  <c r="F778" i="10"/>
  <c r="E354" i="13" s="1"/>
  <c r="H354" i="13" s="1" a="1"/>
  <c r="H354" i="13" s="1"/>
  <c r="T777" i="10"/>
  <c r="R777" i="10"/>
  <c r="G777" i="10"/>
  <c r="F777" i="10"/>
  <c r="L777" i="10" s="1"/>
  <c r="T776" i="10"/>
  <c r="R776" i="10"/>
  <c r="G776" i="10"/>
  <c r="F776" i="10"/>
  <c r="L776" i="10" s="1"/>
  <c r="T775" i="10"/>
  <c r="R775" i="10"/>
  <c r="G775" i="10"/>
  <c r="F775" i="10"/>
  <c r="L775" i="10" s="1"/>
  <c r="T774" i="10"/>
  <c r="R774" i="10"/>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787" i="10" l="1"/>
  <c r="I787" i="10" s="1"/>
  <c r="K787" i="10" s="1"/>
  <c r="O786" i="10"/>
  <c r="L784" i="10"/>
  <c r="F358" i="13"/>
  <c r="G358" i="13" s="1"/>
  <c r="I358" i="13" s="1"/>
  <c r="Y358" i="13" s="1"/>
  <c r="K786" i="10"/>
  <c r="L782" i="10"/>
  <c r="O785" i="10"/>
  <c r="L780" i="10"/>
  <c r="L786" i="10"/>
  <c r="S784" i="10"/>
  <c r="I784" i="10" s="1"/>
  <c r="F357" i="13" s="1"/>
  <c r="G357" i="13" s="1"/>
  <c r="I357" i="13" s="1"/>
  <c r="Y357" i="13" s="1"/>
  <c r="S785" i="10"/>
  <c r="I785" i="10" s="1"/>
  <c r="K785" i="10" s="1"/>
  <c r="O784" i="10"/>
  <c r="S782" i="10"/>
  <c r="I782" i="10" s="1"/>
  <c r="F356" i="13" s="1"/>
  <c r="G356" i="13" s="1"/>
  <c r="I356" i="13" s="1"/>
  <c r="Y356" i="13" s="1"/>
  <c r="S781" i="10"/>
  <c r="I781" i="10" s="1"/>
  <c r="K781" i="10" s="1"/>
  <c r="S783" i="10"/>
  <c r="I783" i="10" s="1"/>
  <c r="K783" i="10" s="1"/>
  <c r="O783" i="10"/>
  <c r="O782" i="10"/>
  <c r="O781" i="10"/>
  <c r="S780" i="10"/>
  <c r="I780" i="10" s="1"/>
  <c r="K780" i="10" s="1"/>
  <c r="L778" i="10"/>
  <c r="O780" i="10"/>
  <c r="S779" i="10"/>
  <c r="I779" i="10" s="1"/>
  <c r="K779" i="10" s="1"/>
  <c r="S776" i="10"/>
  <c r="I776" i="10" s="1"/>
  <c r="K776" i="10" s="1"/>
  <c r="S778" i="10"/>
  <c r="I778" i="10" s="1"/>
  <c r="F354" i="13" s="1"/>
  <c r="G354" i="13" s="1"/>
  <c r="I354" i="13" s="1"/>
  <c r="Y354" i="13" s="1"/>
  <c r="O778" i="10"/>
  <c r="L779" i="10"/>
  <c r="O777" i="10"/>
  <c r="S777" i="10"/>
  <c r="I777" i="10" s="1"/>
  <c r="K777" i="10" s="1"/>
  <c r="O776" i="10"/>
  <c r="O775" i="10"/>
  <c r="E353" i="13"/>
  <c r="H353" i="13" s="1" a="1"/>
  <c r="H353" i="13" s="1"/>
  <c r="O774" i="10"/>
  <c r="S774" i="10"/>
  <c r="I774" i="10" s="1"/>
  <c r="K774" i="10" s="1"/>
  <c r="S775" i="10"/>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437" i="13"/>
  <c r="Y421" i="13"/>
  <c r="Y405" i="13"/>
  <c r="Y389" i="13"/>
  <c r="Y373" i="13"/>
  <c r="Y444" i="13"/>
  <c r="Y428" i="13"/>
  <c r="Y412" i="13"/>
  <c r="Y396" i="13"/>
  <c r="Y380" i="13"/>
  <c r="Y364"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60" i="13"/>
  <c r="Y369" i="13"/>
  <c r="Y376"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66" i="13"/>
  <c r="Y395" i="13"/>
  <c r="Y411" i="13"/>
  <c r="Y427" i="13"/>
  <c r="Y439" i="13"/>
  <c r="Y363" i="13"/>
  <c r="Y384" i="13"/>
  <c r="Y377" i="13"/>
  <c r="Y400" i="13"/>
  <c r="Y416" i="13"/>
  <c r="Y432" i="13"/>
  <c r="Y443" i="13"/>
  <c r="Y381" i="13"/>
  <c r="Y388" i="13"/>
  <c r="Y404" i="13"/>
  <c r="Y420" i="13"/>
  <c r="Y370" i="13"/>
  <c r="Y436" i="13"/>
  <c r="Y361" i="13"/>
  <c r="Y393" i="13"/>
  <c r="Y397" i="13"/>
  <c r="Y409" i="13"/>
  <c r="Y413" i="13"/>
  <c r="Y425" i="13"/>
  <c r="Y429" i="13"/>
  <c r="Y382" i="13"/>
  <c r="Y375" i="13"/>
  <c r="Y441" i="13"/>
  <c r="Y359" i="13"/>
  <c r="Y365" i="13"/>
  <c r="Y368" i="13"/>
  <c r="Y390" i="13"/>
  <c r="Y398" i="13"/>
  <c r="Y406" i="13"/>
  <c r="Y414" i="13"/>
  <c r="Y422" i="13"/>
  <c r="Y430" i="13"/>
  <c r="Y438" i="13"/>
  <c r="K784" i="10" l="1"/>
  <c r="K782" i="10"/>
  <c r="F355" i="13"/>
  <c r="G355" i="13" s="1"/>
  <c r="I355" i="13" s="1"/>
  <c r="Y355" i="13" s="1"/>
  <c r="F353" i="13"/>
  <c r="G353" i="13" s="1"/>
  <c r="I353" i="13" s="1"/>
  <c r="Y353" i="13" s="1"/>
  <c r="K778" i="10"/>
  <c r="K775" i="10"/>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AA499" i="10"/>
  <c r="AB499" i="10"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787" i="10" l="1"/>
  <c r="U786" i="10"/>
  <c r="Y787" i="10" s="1"/>
  <c r="Z787" i="10" s="1"/>
  <c r="Y774" i="10"/>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787" i="10" l="1"/>
  <c r="AA786" i="10"/>
  <c r="AB786" i="10" s="1"/>
  <c r="F129" i="7" s="1"/>
  <c r="AB787" i="10"/>
  <c r="I129" i="7" s="1"/>
  <c r="Y786" i="10"/>
  <c r="Z786" i="10" s="1"/>
  <c r="AA775" i="10"/>
  <c r="AB775" i="10" s="1"/>
  <c r="L114" i="7" s="1"/>
  <c r="Z774" i="10"/>
  <c r="AA774" i="10" s="1"/>
  <c r="AB774" i="10" s="1"/>
  <c r="G114" i="7"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H28" i="5" l="1"/>
  <c r="P129" i="7"/>
  <c r="B33" i="3" s="1"/>
  <c r="P114" i="7"/>
  <c r="B18" i="3" s="1"/>
  <c r="D18" i="3" s="1"/>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D33" i="3" l="1"/>
  <c r="C33" i="3"/>
  <c r="C18" i="3"/>
  <c r="AA60" i="10"/>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773" i="10" l="1"/>
  <c r="AB773" i="10" s="1"/>
  <c r="B121" i="7" s="1"/>
  <c r="P121" i="7" s="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AA757" i="10"/>
  <c r="AB757" i="10"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U777" i="10" l="1"/>
  <c r="U776" i="10"/>
  <c r="Y777" i="10" s="1"/>
  <c r="Y761" i="10"/>
  <c r="Z761" i="10" s="1"/>
  <c r="Y762" i="10"/>
  <c r="Z762" i="10" s="1"/>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Z777" i="10" l="1"/>
  <c r="AA777" i="10"/>
  <c r="AB777" i="10" s="1"/>
  <c r="AA776" i="10"/>
  <c r="AB776" i="10" s="1"/>
  <c r="Y776" i="10"/>
  <c r="Z776" i="10" s="1"/>
  <c r="AA762" i="10"/>
  <c r="AB762" i="10" s="1"/>
  <c r="AA761" i="10"/>
  <c r="AB761" i="10" s="1"/>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79" i="10" l="1"/>
  <c r="U778" i="10"/>
  <c r="Y779" i="10" s="1"/>
  <c r="Z779" i="10" s="1"/>
  <c r="U764" i="10"/>
  <c r="U763" i="10"/>
  <c r="U569" i="10"/>
  <c r="Y302" i="10"/>
  <c r="Z302" i="10" s="1"/>
  <c r="Y303" i="10"/>
  <c r="Z303" i="10" s="1"/>
  <c r="AA103" i="10"/>
  <c r="AB103" i="10" s="1"/>
  <c r="U111" i="10" s="1"/>
  <c r="AA102" i="10"/>
  <c r="AB102" i="10"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U780" i="10" l="1"/>
  <c r="Y781" i="10" s="1"/>
  <c r="AA778" i="10"/>
  <c r="AB778" i="10" s="1"/>
  <c r="I110" i="7" s="1"/>
  <c r="AA779" i="10"/>
  <c r="AB779" i="10" s="1"/>
  <c r="F110" i="7" s="1"/>
  <c r="H9" i="5" s="1"/>
  <c r="Y778" i="10"/>
  <c r="Z778" i="10" s="1"/>
  <c r="Y763" i="10"/>
  <c r="Z763" i="10" s="1"/>
  <c r="AA763" i="10" s="1"/>
  <c r="AB763" i="10" s="1"/>
  <c r="Y764" i="10"/>
  <c r="Z764" i="10" s="1"/>
  <c r="AA764" i="10" s="1"/>
  <c r="AB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110" i="7" l="1"/>
  <c r="B14" i="3" s="1"/>
  <c r="D14" i="3" s="1"/>
  <c r="Y780" i="10"/>
  <c r="Z780" i="10" s="1"/>
  <c r="U766" i="10"/>
  <c r="U765" i="10"/>
  <c r="Y767" i="10" s="1"/>
  <c r="Z767" i="10" s="1"/>
  <c r="AA767" i="10" s="1"/>
  <c r="AB767" i="10" s="1"/>
  <c r="G107" i="7"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C14" i="3" l="1"/>
  <c r="Y765" i="10"/>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766" i="10" l="1"/>
  <c r="AB766" i="10" s="1"/>
  <c r="L107" i="7" s="1"/>
  <c r="AA765" i="10"/>
  <c r="AB765" i="10" s="1"/>
  <c r="H107" i="7"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107" i="7" l="1"/>
  <c r="B11" i="3" s="1"/>
  <c r="D11" i="3"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C11" i="3" l="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V76" i="10"/>
  <c r="X76" i="10" s="1"/>
  <c r="Q76" i="10"/>
  <c r="V78" i="10"/>
  <c r="X78" i="10" s="1"/>
  <c r="Q78" i="10"/>
  <c r="U781" i="10" l="1"/>
  <c r="Z752" i="10"/>
  <c r="Y751" i="10"/>
  <c r="Z751" i="10" s="1"/>
  <c r="AA752" i="10"/>
  <c r="AB752" i="10" s="1"/>
  <c r="I124" i="7" s="1"/>
  <c r="AA751" i="10"/>
  <c r="AB751" i="10" s="1"/>
  <c r="G124" i="7" s="1"/>
  <c r="AA595" i="10"/>
  <c r="AB595" i="10" s="1"/>
  <c r="G117" i="7" s="1"/>
  <c r="J78" i="10"/>
  <c r="M78" i="10" s="1"/>
  <c r="N78" i="10" s="1"/>
  <c r="J75" i="10"/>
  <c r="M75" i="10" s="1"/>
  <c r="N75" i="10" s="1"/>
  <c r="J76" i="10"/>
  <c r="M76" i="10" s="1"/>
  <c r="N76" i="10" s="1"/>
  <c r="Z781" i="10" l="1"/>
  <c r="P124" i="7"/>
  <c r="B28" i="3" s="1"/>
  <c r="D28" i="3" s="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AA781" i="10" l="1"/>
  <c r="AB781" i="10" s="1"/>
  <c r="AA780" i="10"/>
  <c r="AB780" i="10" s="1"/>
  <c r="C28" i="3"/>
  <c r="V125" i="10"/>
  <c r="P91" i="10"/>
  <c r="Q91" i="10" s="1"/>
  <c r="P90" i="10"/>
  <c r="Q90" i="10" s="1"/>
  <c r="V90" i="10"/>
  <c r="V79" i="10"/>
  <c r="X79" i="10" s="1"/>
  <c r="Q79" i="10"/>
  <c r="U783" i="10" l="1"/>
  <c r="U782" i="10"/>
  <c r="Y783" i="10" s="1"/>
  <c r="Z783" i="10" s="1"/>
  <c r="J79" i="10"/>
  <c r="M79" i="10" s="1"/>
  <c r="N79" i="10" s="1"/>
  <c r="J77" i="10"/>
  <c r="M77" i="10" s="1"/>
  <c r="N77" i="10" s="1"/>
  <c r="W91" i="10"/>
  <c r="X91" i="10" s="1"/>
  <c r="W90" i="10"/>
  <c r="X90" i="10" s="1"/>
  <c r="AA783" i="10" l="1"/>
  <c r="AA782" i="10"/>
  <c r="AB782" i="10" s="1"/>
  <c r="AB783" i="10"/>
  <c r="Y782" i="10"/>
  <c r="Z782" i="10" s="1"/>
  <c r="J91" i="10"/>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U785" i="10" l="1"/>
  <c r="U784" i="10"/>
  <c r="Y785" i="10" s="1"/>
  <c r="Z785" i="10" s="1"/>
  <c r="P83" i="10"/>
  <c r="Q83" i="10" s="1"/>
  <c r="P82" i="10"/>
  <c r="Q82" i="10" s="1"/>
  <c r="V82" i="10"/>
  <c r="P139" i="10"/>
  <c r="P138" i="10"/>
  <c r="Q138" i="10" s="1"/>
  <c r="V138" i="10"/>
  <c r="R64" i="13"/>
  <c r="H92" i="10"/>
  <c r="S64" i="13"/>
  <c r="S65" i="13"/>
  <c r="H95" i="10"/>
  <c r="AA785" i="10" l="1"/>
  <c r="AB785" i="10" s="1"/>
  <c r="I117" i="7" s="1"/>
  <c r="AA784" i="10"/>
  <c r="AB784" i="10" s="1"/>
  <c r="F117" i="7" s="1"/>
  <c r="Y784" i="10"/>
  <c r="Z784" i="10" s="1"/>
  <c r="V95" i="10"/>
  <c r="W138" i="10"/>
  <c r="X138" i="10" s="1"/>
  <c r="W139" i="10"/>
  <c r="W83" i="10"/>
  <c r="X83" i="10" s="1"/>
  <c r="W82" i="10"/>
  <c r="X82" i="10" s="1"/>
  <c r="V92" i="10"/>
  <c r="H16" i="5" l="1"/>
  <c r="B19" i="5" s="1"/>
  <c r="P117" i="7"/>
  <c r="B21" i="3" s="1"/>
  <c r="J82" i="10"/>
  <c r="M82" i="10" s="1"/>
  <c r="N82" i="10" s="1"/>
  <c r="J83" i="10"/>
  <c r="M83" i="10" s="1"/>
  <c r="N83" i="10" s="1"/>
  <c r="C21" i="3" l="1"/>
  <c r="D21" i="3"/>
  <c r="N77" i="13"/>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58" i="13" s="1"/>
  <c r="L356" i="13" l="1"/>
  <c r="L357" i="13"/>
  <c r="L354" i="13"/>
  <c r="L355" i="13"/>
  <c r="L352" i="13"/>
  <c r="L353" i="13"/>
  <c r="L350" i="13"/>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58" i="13" s="1"/>
  <c r="J241" i="10"/>
  <c r="M241" i="10" s="1"/>
  <c r="N241" i="10" s="1"/>
  <c r="J240" i="10"/>
  <c r="M240" i="10" s="1"/>
  <c r="N240" i="10" s="1"/>
  <c r="W279" i="10"/>
  <c r="X279" i="10" s="1"/>
  <c r="W278" i="10"/>
  <c r="T356" i="13" l="1"/>
  <c r="T357" i="13"/>
  <c r="T354" i="13"/>
  <c r="T355" i="13"/>
  <c r="T352" i="13"/>
  <c r="T353" i="13"/>
  <c r="T350" i="13"/>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358" i="13" s="1"/>
  <c r="V247" i="13"/>
  <c r="V248" i="13"/>
  <c r="R232" i="13"/>
  <c r="H488" i="10"/>
  <c r="V232" i="13"/>
  <c r="V234" i="13"/>
  <c r="V236" i="13"/>
  <c r="V233" i="13"/>
  <c r="V235" i="13"/>
  <c r="V356" i="13" l="1"/>
  <c r="V357" i="13"/>
  <c r="V354" i="13"/>
  <c r="V355" i="13"/>
  <c r="V352" i="13"/>
  <c r="V353" i="13"/>
  <c r="V350" i="13"/>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57" i="13" l="1"/>
  <c r="N358" i="13"/>
  <c r="N355" i="13"/>
  <c r="N356" i="13"/>
  <c r="N353" i="13"/>
  <c r="N354" i="13"/>
  <c r="N351" i="13"/>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AL13" i="13"/>
  <c r="J13" i="13" s="1"/>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3" i="13"/>
  <c r="S334" i="13"/>
  <c r="B10" i="14"/>
  <c r="S327" i="13"/>
  <c r="S332" i="13"/>
  <c r="AL15" i="13"/>
  <c r="J15" i="13" s="1"/>
  <c r="S330" i="13"/>
  <c r="S331" i="13"/>
  <c r="S328" i="13"/>
  <c r="S329" i="13"/>
  <c r="S357" i="13" l="1"/>
  <c r="S358" i="13"/>
  <c r="S355" i="13"/>
  <c r="S356" i="13"/>
  <c r="S353" i="13"/>
  <c r="S354" i="13"/>
  <c r="S351" i="13"/>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AL7" i="13"/>
  <c r="J7" i="13" s="1"/>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P334" i="13"/>
  <c r="M357" i="13" l="1"/>
  <c r="M358" i="13"/>
  <c r="M355" i="13"/>
  <c r="M356" i="13"/>
  <c r="M353" i="13"/>
  <c r="M354" i="13"/>
  <c r="M351" i="13"/>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748" i="10"/>
  <c r="X748" i="10" s="1"/>
  <c r="J748" i="10" s="1"/>
  <c r="M748" i="10" s="1"/>
  <c r="W357" i="13" l="1"/>
  <c r="W358" i="13"/>
  <c r="W355" i="13"/>
  <c r="W356" i="13"/>
  <c r="W353" i="13"/>
  <c r="W354" i="13"/>
  <c r="W351" i="13"/>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R344" i="13"/>
  <c r="N751" i="10"/>
  <c r="P341" i="13"/>
  <c r="O352" i="13" l="1"/>
  <c r="H776" i="10"/>
  <c r="P777" i="10" s="1"/>
  <c r="O350" i="13"/>
  <c r="O351" i="13"/>
  <c r="P768" i="10"/>
  <c r="Q768" i="10" s="1"/>
  <c r="P769" i="10"/>
  <c r="Q769" i="10" s="1"/>
  <c r="V768" i="10"/>
  <c r="W769" i="10" s="1"/>
  <c r="X769" i="10" s="1"/>
  <c r="O348" i="13"/>
  <c r="O349" i="13"/>
  <c r="R348" i="13"/>
  <c r="O346" i="13"/>
  <c r="O347" i="13"/>
  <c r="R346" i="13"/>
  <c r="R347" i="13"/>
  <c r="AL11" i="13"/>
  <c r="J11" i="13" s="1"/>
  <c r="O345" i="13"/>
  <c r="AL14" i="13"/>
  <c r="J14" i="13" s="1"/>
  <c r="R345" i="13"/>
  <c r="O344" i="13"/>
  <c r="H753" i="10"/>
  <c r="P776" i="10" l="1"/>
  <c r="Q776" i="10" s="1"/>
  <c r="V776" i="10"/>
  <c r="J769" i="10"/>
  <c r="M769" i="10" s="1"/>
  <c r="N769" i="10" s="1"/>
  <c r="J768" i="10"/>
  <c r="M768" i="10" s="1"/>
  <c r="N768" i="10" s="1"/>
  <c r="K349" i="13"/>
  <c r="W768" i="10"/>
  <c r="X768" i="10" s="1"/>
  <c r="V753" i="10"/>
  <c r="X753" i="10" s="1"/>
  <c r="J753" i="10" s="1"/>
  <c r="M753" i="10" s="1"/>
  <c r="N753" i="10" s="1"/>
  <c r="Q753" i="10"/>
  <c r="W776" i="10" l="1"/>
  <c r="X776" i="10" s="1"/>
  <c r="W777" i="10"/>
  <c r="H771" i="10"/>
  <c r="H770" i="10"/>
  <c r="R349" i="13"/>
  <c r="J754" i="10"/>
  <c r="M754" i="10" s="1"/>
  <c r="N754" i="10" s="1"/>
  <c r="H756" i="10" s="1"/>
  <c r="V756" i="10"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AL17" i="13"/>
  <c r="J17" i="13" s="1"/>
  <c r="H773" i="10" l="1"/>
  <c r="H772" i="10"/>
  <c r="R350" i="13"/>
  <c r="K350" i="13"/>
  <c r="H760" i="10"/>
  <c r="U343" i="13"/>
  <c r="N755" i="10"/>
  <c r="H767" i="10" s="1"/>
  <c r="P344" i="13"/>
  <c r="AL12" i="13"/>
  <c r="J12" i="13" s="1"/>
  <c r="P343" i="13"/>
  <c r="P773" i="10" l="1"/>
  <c r="Q773" i="10" s="1"/>
  <c r="P772" i="10"/>
  <c r="Q772" i="10" s="1"/>
  <c r="V773" i="10"/>
  <c r="V772" i="10"/>
  <c r="V767" i="10"/>
  <c r="P347" i="13"/>
  <c r="P345" i="13"/>
  <c r="P346" i="13"/>
  <c r="P760" i="10"/>
  <c r="Q760" i="10" s="1"/>
  <c r="P759" i="10"/>
  <c r="Q759" i="10" s="1"/>
  <c r="V760" i="10"/>
  <c r="K17" i="13"/>
  <c r="K19" i="13"/>
  <c r="K7" i="13"/>
  <c r="K16" i="13"/>
  <c r="K11" i="13"/>
  <c r="K18" i="13"/>
  <c r="K15" i="13"/>
  <c r="K12" i="13"/>
  <c r="K8" i="13"/>
  <c r="K13" i="13"/>
  <c r="K20" i="13"/>
  <c r="K9" i="13"/>
  <c r="K10" i="13"/>
  <c r="K14" i="13"/>
  <c r="W773" i="10" l="1"/>
  <c r="X773" i="10" s="1"/>
  <c r="J773" i="10" s="1"/>
  <c r="M773" i="10" s="1"/>
  <c r="N773" i="10" s="1"/>
  <c r="K358" i="13" s="1"/>
  <c r="W772" i="10"/>
  <c r="X772" i="10" s="1"/>
  <c r="J772" i="10" s="1"/>
  <c r="M772" i="10" s="1"/>
  <c r="N772" i="10" s="1"/>
  <c r="H777" i="10" s="1"/>
  <c r="W759" i="10"/>
  <c r="X759" i="10" s="1"/>
  <c r="J759" i="10" s="1"/>
  <c r="M759" i="10" s="1"/>
  <c r="N759" i="10" s="1"/>
  <c r="W760" i="10"/>
  <c r="X760" i="10" s="1"/>
  <c r="J760" i="10" s="1"/>
  <c r="M760" i="10" s="1"/>
  <c r="K356" i="13" l="1"/>
  <c r="K357" i="13"/>
  <c r="K354" i="13"/>
  <c r="K355" i="13"/>
  <c r="V777" i="10"/>
  <c r="X777" i="10" s="1"/>
  <c r="Q777" i="10"/>
  <c r="R352" i="13"/>
  <c r="K352" i="13"/>
  <c r="K353" i="13"/>
  <c r="R351" i="13"/>
  <c r="K351" i="13"/>
  <c r="B2" i="14"/>
  <c r="B7" i="13" s="1"/>
  <c r="S7" i="13" s="1"/>
  <c r="H761" i="10"/>
  <c r="N760" i="10"/>
  <c r="Q345" i="13"/>
  <c r="U345" i="13"/>
  <c r="J777" i="10" l="1"/>
  <c r="M777" i="10" s="1"/>
  <c r="N777" i="10" s="1"/>
  <c r="H778" i="10" s="1"/>
  <c r="P779" i="10" s="1"/>
  <c r="J776" i="10"/>
  <c r="M776" i="10" s="1"/>
  <c r="N776" i="10" s="1"/>
  <c r="D2" i="14"/>
  <c r="F94" i="7"/>
  <c r="S94" i="7" s="1"/>
  <c r="W7" i="13"/>
  <c r="AI7" i="13"/>
  <c r="H762" i="10"/>
  <c r="P761" i="10"/>
  <c r="Q761" i="10" s="1"/>
  <c r="P762" i="10"/>
  <c r="V761" i="10"/>
  <c r="W762" i="10" s="1"/>
  <c r="H779" i="10" l="1"/>
  <c r="Q779" i="10" s="1"/>
  <c r="P778" i="10"/>
  <c r="Q778" i="10" s="1"/>
  <c r="V778" i="10"/>
  <c r="O353" i="13"/>
  <c r="R353" i="13"/>
  <c r="Q762" i="10"/>
  <c r="V762" i="10"/>
  <c r="X762" i="10" s="1"/>
  <c r="W761" i="10"/>
  <c r="X761" i="10" s="1"/>
  <c r="W778" i="10" l="1"/>
  <c r="X778" i="10" s="1"/>
  <c r="W779" i="10"/>
  <c r="X779" i="10" s="1"/>
  <c r="V779" i="10"/>
  <c r="J762" i="10"/>
  <c r="M762" i="10" s="1"/>
  <c r="N762" i="10" s="1"/>
  <c r="J761" i="10"/>
  <c r="M761" i="10" s="1"/>
  <c r="N761" i="10" s="1"/>
  <c r="J778" i="10" l="1"/>
  <c r="M778" i="10" s="1"/>
  <c r="N778" i="10" s="1"/>
  <c r="J779" i="10"/>
  <c r="M779" i="10" s="1"/>
  <c r="N779" i="10" s="1"/>
  <c r="H780" i="10" s="1"/>
  <c r="P781" i="10" s="1"/>
  <c r="H764" i="10"/>
  <c r="H763" i="10"/>
  <c r="Q346" i="13"/>
  <c r="U346" i="13"/>
  <c r="H781" i="10" l="1"/>
  <c r="P780" i="10"/>
  <c r="Q780" i="10" s="1"/>
  <c r="V780" i="10"/>
  <c r="O354" i="13"/>
  <c r="R354" i="13"/>
  <c r="P764" i="10"/>
  <c r="Q764" i="10" s="1"/>
  <c r="P763" i="10"/>
  <c r="Q763" i="10" s="1"/>
  <c r="V764" i="10"/>
  <c r="V763" i="10"/>
  <c r="W780" i="10" l="1"/>
  <c r="X780" i="10" s="1"/>
  <c r="W781" i="10"/>
  <c r="X781" i="10" s="1"/>
  <c r="V781" i="10"/>
  <c r="Q781" i="10"/>
  <c r="W763" i="10"/>
  <c r="X763" i="10" s="1"/>
  <c r="J763" i="10" s="1"/>
  <c r="M763" i="10" s="1"/>
  <c r="W764" i="10"/>
  <c r="X764" i="10" s="1"/>
  <c r="J764" i="10" s="1"/>
  <c r="M764" i="10" s="1"/>
  <c r="N764" i="10" s="1"/>
  <c r="J781" i="10" l="1"/>
  <c r="M781" i="10" s="1"/>
  <c r="N781" i="10" s="1"/>
  <c r="J780" i="10"/>
  <c r="M780" i="10" s="1"/>
  <c r="N780" i="10" s="1"/>
  <c r="H782" i="10" s="1"/>
  <c r="P783" i="10" s="1"/>
  <c r="H766" i="10"/>
  <c r="U347" i="13"/>
  <c r="N763" i="10"/>
  <c r="H783" i="10" l="1"/>
  <c r="P782" i="10"/>
  <c r="Q782" i="10" s="1"/>
  <c r="V782" i="10"/>
  <c r="O355" i="13"/>
  <c r="R355" i="13"/>
  <c r="V766" i="10"/>
  <c r="H765" i="10"/>
  <c r="P767" i="10" s="1"/>
  <c r="Q767" i="10" s="1"/>
  <c r="Q347" i="13"/>
  <c r="V783" i="10" l="1"/>
  <c r="W782" i="10"/>
  <c r="X782" i="10" s="1"/>
  <c r="W783" i="10"/>
  <c r="X783" i="10" s="1"/>
  <c r="Q783" i="10"/>
  <c r="P765" i="10"/>
  <c r="Q765" i="10" s="1"/>
  <c r="P766" i="10"/>
  <c r="Q766" i="10" s="1"/>
  <c r="V765" i="10"/>
  <c r="J783" i="10" l="1"/>
  <c r="M783" i="10" s="1"/>
  <c r="N783" i="10" s="1"/>
  <c r="J782" i="10"/>
  <c r="M782" i="10" s="1"/>
  <c r="N782" i="10" s="1"/>
  <c r="H784" i="10" s="1"/>
  <c r="P785" i="10" s="1"/>
  <c r="W766" i="10"/>
  <c r="X766" i="10" s="1"/>
  <c r="J766" i="10" s="1"/>
  <c r="M766" i="10" s="1"/>
  <c r="W767" i="10"/>
  <c r="X767" i="10" s="1"/>
  <c r="J767" i="10" s="1"/>
  <c r="M767" i="10" s="1"/>
  <c r="N767" i="10" s="1"/>
  <c r="H774" i="10" s="1"/>
  <c r="W765" i="10"/>
  <c r="X765" i="10" s="1"/>
  <c r="H785" i="10" l="1"/>
  <c r="P784" i="10"/>
  <c r="Q784" i="10" s="1"/>
  <c r="V784" i="10"/>
  <c r="O356" i="13"/>
  <c r="R356" i="13"/>
  <c r="J765" i="10"/>
  <c r="M765" i="10" s="1"/>
  <c r="N765" i="10" s="1"/>
  <c r="Q353" i="13"/>
  <c r="Q354" i="13"/>
  <c r="V774" i="10"/>
  <c r="Q351" i="13"/>
  <c r="Q352" i="13"/>
  <c r="P351" i="13"/>
  <c r="Q349" i="13"/>
  <c r="Q350" i="13"/>
  <c r="P349" i="13"/>
  <c r="P350" i="13"/>
  <c r="N766" i="10"/>
  <c r="H775" i="10" s="1"/>
  <c r="P348" i="13"/>
  <c r="U348" i="13"/>
  <c r="Q357" i="13" l="1"/>
  <c r="Q358" i="13"/>
  <c r="W784" i="10"/>
  <c r="X784" i="10" s="1"/>
  <c r="W785" i="10"/>
  <c r="X785" i="10" s="1"/>
  <c r="V785" i="10"/>
  <c r="Q785" i="10"/>
  <c r="Q355" i="13"/>
  <c r="Q356" i="13"/>
  <c r="Q348" i="13"/>
  <c r="B8" i="14"/>
  <c r="P775" i="10"/>
  <c r="Q775" i="10" s="1"/>
  <c r="P774" i="10"/>
  <c r="Q774" i="10" s="1"/>
  <c r="V775" i="10"/>
  <c r="U351" i="13"/>
  <c r="U349" i="13"/>
  <c r="U350" i="13"/>
  <c r="J785" i="10" l="1"/>
  <c r="M785" i="10" s="1"/>
  <c r="N785" i="10" s="1"/>
  <c r="J784" i="10"/>
  <c r="M784" i="10" s="1"/>
  <c r="N784" i="10" s="1"/>
  <c r="H786" i="10" s="1"/>
  <c r="P787" i="10" s="1"/>
  <c r="B13" i="13"/>
  <c r="S13" i="13" s="1"/>
  <c r="F91" i="7" s="1"/>
  <c r="S91" i="7" s="1"/>
  <c r="J2" i="14"/>
  <c r="W774" i="10"/>
  <c r="X774" i="10" s="1"/>
  <c r="J774" i="10" s="1"/>
  <c r="M774" i="10" s="1"/>
  <c r="N774" i="10" s="1"/>
  <c r="W775" i="10"/>
  <c r="X775" i="10" s="1"/>
  <c r="J775" i="10" s="1"/>
  <c r="M775" i="10" s="1"/>
  <c r="H787" i="10" l="1"/>
  <c r="P357" i="13"/>
  <c r="P358" i="13"/>
  <c r="P786" i="10"/>
  <c r="Q786" i="10" s="1"/>
  <c r="V786" i="10"/>
  <c r="O357" i="13"/>
  <c r="R357" i="13"/>
  <c r="AI13" i="13"/>
  <c r="W13" i="13"/>
  <c r="P355" i="13"/>
  <c r="P356" i="13"/>
  <c r="P353" i="13"/>
  <c r="P354" i="13"/>
  <c r="N775" i="10"/>
  <c r="B7" i="14"/>
  <c r="P352" i="13"/>
  <c r="B12" i="14"/>
  <c r="U352" i="13"/>
  <c r="W786" i="10" l="1"/>
  <c r="X786" i="10" s="1"/>
  <c r="W787" i="10"/>
  <c r="X787" i="10" s="1"/>
  <c r="V787" i="10"/>
  <c r="Q787" i="10"/>
  <c r="U357" i="13"/>
  <c r="U358" i="13"/>
  <c r="U355" i="13"/>
  <c r="U356" i="13"/>
  <c r="U353" i="13"/>
  <c r="U354" i="13"/>
  <c r="B12" i="13"/>
  <c r="S12" i="13" s="1"/>
  <c r="I2" i="14"/>
  <c r="B17" i="13"/>
  <c r="N2" i="14"/>
  <c r="J787" i="10" l="1"/>
  <c r="M787" i="10" s="1"/>
  <c r="N787" i="10" s="1"/>
  <c r="J786" i="10"/>
  <c r="M786" i="10" s="1"/>
  <c r="AI12" i="13"/>
  <c r="W12" i="13"/>
  <c r="F95" i="7"/>
  <c r="S95" i="7" s="1"/>
  <c r="S17" i="13"/>
  <c r="B18" i="8" l="1"/>
  <c r="N786" i="10"/>
  <c r="B19" i="8"/>
  <c r="H19" i="8"/>
  <c r="H18" i="8"/>
  <c r="R358" i="13"/>
  <c r="B9" i="14"/>
  <c r="F92" i="7"/>
  <c r="S92" i="7" s="1"/>
  <c r="AI17" i="13"/>
  <c r="W17" i="13"/>
  <c r="B14" i="13" l="1"/>
  <c r="K2" i="14"/>
  <c r="F19" i="8"/>
  <c r="E19" i="8"/>
  <c r="D19" i="8"/>
  <c r="C19" i="8"/>
  <c r="D18" i="8"/>
  <c r="F18" i="8"/>
  <c r="E18" i="8"/>
  <c r="C18" i="8"/>
  <c r="O358" i="13"/>
  <c r="B6" i="14"/>
  <c r="H17" i="8"/>
  <c r="B17" i="8"/>
  <c r="C17" i="8" l="1"/>
  <c r="F17" i="8" s="1"/>
  <c r="D17" i="8"/>
  <c r="E17" i="8"/>
  <c r="B11" i="13"/>
  <c r="H2" i="14"/>
  <c r="S14" i="13"/>
  <c r="D14" i="13"/>
  <c r="AI14" i="13" l="1"/>
  <c r="W14" i="13"/>
  <c r="F93" i="7"/>
  <c r="S93" i="7" s="1"/>
  <c r="C5" i="14"/>
  <c r="C10" i="13" s="1"/>
  <c r="AA10" i="13" s="1"/>
  <c r="C3" i="14"/>
  <c r="C8" i="13" s="1"/>
  <c r="AA8" i="13" s="1"/>
  <c r="C4" i="14"/>
  <c r="C9" i="13" s="1"/>
  <c r="AA9" i="13" s="1"/>
  <c r="C6" i="14"/>
  <c r="C11" i="13" s="1"/>
  <c r="C2" i="14"/>
  <c r="C7" i="13" s="1"/>
  <c r="AA7" i="13" s="1"/>
  <c r="C13" i="14"/>
  <c r="C18" i="13" s="1"/>
  <c r="AA18" i="13" s="1"/>
  <c r="C12" i="14"/>
  <c r="C17" i="13" s="1"/>
  <c r="AA17" i="13" s="1"/>
  <c r="C14" i="14"/>
  <c r="C19" i="13" s="1"/>
  <c r="AA19" i="13" s="1"/>
  <c r="C7" i="14"/>
  <c r="C12" i="13" s="1"/>
  <c r="AA12" i="13" s="1"/>
  <c r="C15" i="14"/>
  <c r="C20" i="13" s="1"/>
  <c r="AA20" i="13" s="1"/>
  <c r="C8" i="14"/>
  <c r="C13" i="13" s="1"/>
  <c r="AA13" i="13" s="1"/>
  <c r="C10" i="14"/>
  <c r="C15" i="13" s="1"/>
  <c r="AA15" i="13" s="1"/>
  <c r="C11" i="14"/>
  <c r="C16" i="13" s="1"/>
  <c r="AA16" i="13" s="1"/>
  <c r="C9" i="14"/>
  <c r="C14" i="13" s="1"/>
  <c r="AA14" i="13" s="1"/>
  <c r="S11" i="13"/>
  <c r="D10" i="13"/>
  <c r="D16" i="13"/>
  <c r="E18" i="13"/>
  <c r="D11" i="13"/>
  <c r="E16" i="13"/>
  <c r="D12" i="13"/>
  <c r="D20" i="13"/>
  <c r="D8" i="13"/>
  <c r="E8" i="13"/>
  <c r="D19" i="13"/>
  <c r="E14" i="13"/>
  <c r="D9" i="13"/>
  <c r="E15" i="13"/>
  <c r="D18" i="13"/>
  <c r="E20" i="13"/>
  <c r="E9" i="13"/>
  <c r="D15" i="13"/>
  <c r="E7" i="13"/>
  <c r="E13" i="13"/>
  <c r="E11" i="13"/>
  <c r="E17" i="13"/>
  <c r="E10" i="13"/>
  <c r="E19" i="13"/>
  <c r="D13" i="13"/>
  <c r="D7" i="13"/>
  <c r="E12" i="13"/>
  <c r="D17" i="13"/>
  <c r="AA11" i="13" l="1"/>
  <c r="B28" i="5" s="1"/>
  <c r="B12" i="5"/>
  <c r="F90" i="7"/>
  <c r="S90" i="7" s="1"/>
  <c r="C4" i="7" s="1"/>
  <c r="AI11" i="13"/>
  <c r="W11" i="13"/>
  <c r="B24" i="5" s="1"/>
  <c r="L14" i="13"/>
  <c r="L16" i="13" l="1"/>
  <c r="B13" i="4"/>
  <c r="L12" i="13"/>
  <c r="L10" i="13"/>
  <c r="L15" i="13"/>
  <c r="L11" i="13"/>
  <c r="B12" i="4"/>
  <c r="B16" i="4"/>
  <c r="B5" i="4"/>
  <c r="B8" i="4"/>
  <c r="B10" i="4"/>
  <c r="B14" i="4"/>
  <c r="B18" i="4"/>
  <c r="B15" i="4"/>
  <c r="L13" i="13"/>
  <c r="B6" i="4"/>
  <c r="L19" i="13"/>
  <c r="B7" i="4"/>
  <c r="L7" i="13"/>
  <c r="L17" i="13"/>
  <c r="B9" i="4"/>
  <c r="L20" i="13"/>
  <c r="L8" i="13"/>
  <c r="B11" i="4"/>
  <c r="B17" i="4"/>
  <c r="L9" i="13"/>
  <c r="L18" i="13"/>
  <c r="A6" i="3"/>
  <c r="A5" i="3"/>
  <c r="B28" i="8" s="1"/>
  <c r="J6" i="4" l="1"/>
  <c r="M6" i="4"/>
  <c r="R6" i="4"/>
  <c r="U6" i="4"/>
  <c r="T6" i="4"/>
  <c r="C6" i="4"/>
  <c r="C18" i="9" s="1"/>
  <c r="P6" i="4"/>
  <c r="K6" i="4"/>
  <c r="Y7" i="13" s="1"/>
  <c r="V6" i="4"/>
  <c r="X6" i="4"/>
  <c r="E6" i="4"/>
  <c r="O6" i="4"/>
  <c r="H6" i="4"/>
  <c r="S6" i="4"/>
  <c r="B18" i="9"/>
  <c r="I6" i="4"/>
  <c r="Q6" i="4"/>
  <c r="D6" i="4"/>
  <c r="Q12" i="4"/>
  <c r="H12" i="4"/>
  <c r="M12" i="4"/>
  <c r="P12" i="4"/>
  <c r="E12" i="4"/>
  <c r="T12" i="4"/>
  <c r="V12" i="4"/>
  <c r="K12" i="4"/>
  <c r="Y18" i="13" s="1"/>
  <c r="D12" i="4"/>
  <c r="U12" i="4"/>
  <c r="X12" i="4"/>
  <c r="S12" i="4"/>
  <c r="C12" i="4"/>
  <c r="R12" i="4"/>
  <c r="J12" i="4"/>
  <c r="O12" i="4"/>
  <c r="I12" i="4"/>
  <c r="J8" i="4"/>
  <c r="E8" i="4"/>
  <c r="S8" i="4"/>
  <c r="P8" i="4"/>
  <c r="U8" i="4"/>
  <c r="X8" i="4"/>
  <c r="V8" i="4"/>
  <c r="Q8" i="4"/>
  <c r="M8" i="4"/>
  <c r="D8" i="4"/>
  <c r="T8" i="4"/>
  <c r="C8" i="4"/>
  <c r="K8" i="4"/>
  <c r="Y15" i="13" s="1"/>
  <c r="H8" i="4"/>
  <c r="O8" i="4"/>
  <c r="R8" i="4"/>
  <c r="I8" i="4"/>
  <c r="B5" i="5"/>
  <c r="C5" i="4"/>
  <c r="V5" i="4"/>
  <c r="T5" i="4"/>
  <c r="I5" i="4"/>
  <c r="X5" i="4"/>
  <c r="U5" i="4"/>
  <c r="B17" i="9"/>
  <c r="K5" i="4"/>
  <c r="R5" i="4"/>
  <c r="D5" i="4"/>
  <c r="S5" i="4"/>
  <c r="E5" i="4"/>
  <c r="O5" i="4"/>
  <c r="P5" i="4"/>
  <c r="H5" i="4"/>
  <c r="J5" i="4"/>
  <c r="M5" i="4"/>
  <c r="Q5" i="4"/>
  <c r="AD10" i="13"/>
  <c r="A5" i="9"/>
  <c r="C9" i="4"/>
  <c r="T9" i="4"/>
  <c r="J9" i="4"/>
  <c r="M9" i="4"/>
  <c r="O9" i="4"/>
  <c r="E9" i="4"/>
  <c r="V9" i="4"/>
  <c r="U9" i="4"/>
  <c r="Q9" i="4"/>
  <c r="H9" i="4"/>
  <c r="K9" i="4"/>
  <c r="Y13" i="13" s="1"/>
  <c r="X9" i="4"/>
  <c r="D9" i="4"/>
  <c r="P9" i="4"/>
  <c r="I9" i="4"/>
  <c r="S9" i="4"/>
  <c r="R9" i="4"/>
  <c r="V14" i="4"/>
  <c r="M14" i="4"/>
  <c r="C14" i="4"/>
  <c r="D14" i="4"/>
  <c r="U14" i="4"/>
  <c r="P14" i="4"/>
  <c r="J14" i="4"/>
  <c r="H14" i="4"/>
  <c r="R14" i="4"/>
  <c r="K14" i="4"/>
  <c r="AE20" i="13" s="1"/>
  <c r="E14" i="4"/>
  <c r="O14" i="4"/>
  <c r="I14" i="4"/>
  <c r="S14" i="4"/>
  <c r="Q14" i="4"/>
  <c r="X14" i="4"/>
  <c r="T14" i="4"/>
  <c r="X16" i="4"/>
  <c r="M16" i="4"/>
  <c r="D16" i="4"/>
  <c r="R16" i="4"/>
  <c r="P16" i="4"/>
  <c r="Q16" i="4"/>
  <c r="E16" i="4"/>
  <c r="O16" i="4"/>
  <c r="V16" i="4"/>
  <c r="U16" i="4"/>
  <c r="H16" i="4"/>
  <c r="K16" i="4"/>
  <c r="AE8" i="13" s="1"/>
  <c r="I16" i="4"/>
  <c r="T16" i="4"/>
  <c r="J16" i="4"/>
  <c r="C16" i="4"/>
  <c r="S16" i="4"/>
  <c r="A8" i="9"/>
  <c r="S15" i="4"/>
  <c r="O15" i="4"/>
  <c r="J15" i="4"/>
  <c r="T15" i="4"/>
  <c r="U15" i="4"/>
  <c r="Q15" i="4"/>
  <c r="P15" i="4"/>
  <c r="M15" i="4"/>
  <c r="H15" i="4"/>
  <c r="R15" i="4"/>
  <c r="E15" i="4"/>
  <c r="D15" i="4"/>
  <c r="C15" i="4"/>
  <c r="I15" i="4"/>
  <c r="X15" i="4"/>
  <c r="K15" i="4"/>
  <c r="Y19" i="13" s="1"/>
  <c r="V15" i="4"/>
  <c r="O10" i="4"/>
  <c r="R10" i="4"/>
  <c r="I10" i="4"/>
  <c r="H10" i="4"/>
  <c r="V10" i="4"/>
  <c r="M10" i="4"/>
  <c r="J10" i="4"/>
  <c r="Q10" i="4"/>
  <c r="K10" i="4"/>
  <c r="Y14" i="13" s="1"/>
  <c r="C10" i="4"/>
  <c r="P10" i="4"/>
  <c r="D10" i="4"/>
  <c r="T10" i="4"/>
  <c r="E10" i="4"/>
  <c r="X10" i="4"/>
  <c r="U10" i="4"/>
  <c r="S10" i="4"/>
  <c r="X11" i="4"/>
  <c r="H11" i="4"/>
  <c r="D11" i="4"/>
  <c r="AD9" i="13" s="1"/>
  <c r="K11" i="4"/>
  <c r="Y9" i="13" s="1"/>
  <c r="I11" i="4"/>
  <c r="O11" i="4"/>
  <c r="P11" i="4"/>
  <c r="E11" i="4"/>
  <c r="J11" i="4"/>
  <c r="V11" i="4"/>
  <c r="U11" i="4"/>
  <c r="M11" i="4"/>
  <c r="Q11" i="4"/>
  <c r="C11" i="4"/>
  <c r="S11" i="4"/>
  <c r="T11" i="4"/>
  <c r="R11" i="4"/>
  <c r="H13" i="4"/>
  <c r="P13" i="4"/>
  <c r="T13" i="4"/>
  <c r="C13" i="4"/>
  <c r="U13" i="4"/>
  <c r="K13" i="4"/>
  <c r="Y17" i="13" s="1"/>
  <c r="X13" i="4"/>
  <c r="V13" i="4"/>
  <c r="R13" i="4"/>
  <c r="O13" i="4"/>
  <c r="Q13" i="4"/>
  <c r="E13" i="4"/>
  <c r="J13" i="4"/>
  <c r="D13" i="4"/>
  <c r="I13" i="4"/>
  <c r="S13" i="4"/>
  <c r="M13" i="4"/>
  <c r="X18" i="4"/>
  <c r="S18" i="4"/>
  <c r="M18" i="4"/>
  <c r="U18" i="4"/>
  <c r="K18" i="4"/>
  <c r="Y16" i="13" s="1"/>
  <c r="O18" i="4"/>
  <c r="E18" i="4"/>
  <c r="J18" i="4"/>
  <c r="T18" i="4"/>
  <c r="P18" i="4"/>
  <c r="D18" i="4"/>
  <c r="AD16" i="13" s="1"/>
  <c r="Q18" i="4"/>
  <c r="R18" i="4"/>
  <c r="C18" i="4"/>
  <c r="V18" i="4"/>
  <c r="H18" i="4"/>
  <c r="I18" i="4"/>
  <c r="X17" i="4"/>
  <c r="C17" i="4"/>
  <c r="Q17" i="4"/>
  <c r="I17" i="4"/>
  <c r="E17" i="4"/>
  <c r="U17" i="4"/>
  <c r="S17" i="4"/>
  <c r="M17" i="4"/>
  <c r="J17" i="4"/>
  <c r="K17" i="4"/>
  <c r="AE10" i="13" s="1"/>
  <c r="O17" i="4"/>
  <c r="P17" i="4"/>
  <c r="R17" i="4"/>
  <c r="T17" i="4"/>
  <c r="H17" i="4"/>
  <c r="V17" i="4"/>
  <c r="D17" i="4"/>
  <c r="H7" i="4"/>
  <c r="X7" i="4"/>
  <c r="V7" i="4"/>
  <c r="D7" i="4"/>
  <c r="AD12" i="13" s="1"/>
  <c r="R7" i="4"/>
  <c r="C7" i="4"/>
  <c r="C19" i="9" s="1"/>
  <c r="I7" i="4"/>
  <c r="U7" i="4"/>
  <c r="J7" i="4"/>
  <c r="T7" i="4"/>
  <c r="K7" i="4"/>
  <c r="Y12" i="13" s="1"/>
  <c r="S7" i="4"/>
  <c r="Q7" i="4"/>
  <c r="O7" i="4"/>
  <c r="M7" i="4"/>
  <c r="P7" i="4"/>
  <c r="B19" i="9"/>
  <c r="E7" i="4"/>
  <c r="F13" i="4" l="1"/>
  <c r="L13" i="4"/>
  <c r="G13" i="4"/>
  <c r="X17" i="13" s="1"/>
  <c r="AB17" i="13" s="1"/>
  <c r="F16" i="4"/>
  <c r="L16" i="4"/>
  <c r="G16" i="4"/>
  <c r="X8" i="13" s="1"/>
  <c r="G14" i="4"/>
  <c r="X20" i="13" s="1"/>
  <c r="F14" i="4"/>
  <c r="L14" i="4"/>
  <c r="Y8" i="13"/>
  <c r="B10" i="5"/>
  <c r="A10" i="9"/>
  <c r="L5" i="4"/>
  <c r="F5" i="4"/>
  <c r="B8" i="5" s="1"/>
  <c r="C21" i="8"/>
  <c r="F21" i="8" s="1"/>
  <c r="B30" i="8"/>
  <c r="G5" i="4"/>
  <c r="B21" i="8"/>
  <c r="AE16" i="13"/>
  <c r="AF16" i="13" s="1"/>
  <c r="W18" i="4" s="1"/>
  <c r="AD11" i="13"/>
  <c r="Y11" i="13"/>
  <c r="B26" i="5" s="1"/>
  <c r="B22" i="8"/>
  <c r="B31" i="8"/>
  <c r="C22" i="8"/>
  <c r="AD15" i="13"/>
  <c r="F8" i="4"/>
  <c r="L8" i="4"/>
  <c r="G8" i="4"/>
  <c r="X15" i="13" s="1"/>
  <c r="AB15" i="13" s="1"/>
  <c r="AD20" i="13"/>
  <c r="AF20" i="13" s="1"/>
  <c r="AE7" i="13"/>
  <c r="F18" i="4"/>
  <c r="L18" i="4"/>
  <c r="G18" i="4"/>
  <c r="X16" i="13" s="1"/>
  <c r="AB16" i="13" s="1"/>
  <c r="AE17" i="13"/>
  <c r="AE19" i="13"/>
  <c r="AE9" i="13"/>
  <c r="AF9" i="13" s="1"/>
  <c r="W11" i="4" s="1"/>
  <c r="AD14" i="13"/>
  <c r="AF14" i="13" s="1"/>
  <c r="W10" i="4" s="1"/>
  <c r="F10" i="4"/>
  <c r="L10" i="4"/>
  <c r="G10" i="4"/>
  <c r="X14" i="13" s="1"/>
  <c r="AB14" i="13" s="1"/>
  <c r="AE15" i="13"/>
  <c r="F12" i="4"/>
  <c r="G12" i="4"/>
  <c r="X18" i="13" s="1"/>
  <c r="AB18" i="13" s="1"/>
  <c r="L12" i="4"/>
  <c r="F15" i="4"/>
  <c r="G15" i="4"/>
  <c r="X19" i="13" s="1"/>
  <c r="AB19" i="13" s="1"/>
  <c r="L15" i="4"/>
  <c r="AE11" i="13"/>
  <c r="AD18" i="13"/>
  <c r="AD13" i="13"/>
  <c r="G9" i="4"/>
  <c r="X13" i="13" s="1"/>
  <c r="AB13" i="13" s="1"/>
  <c r="L9" i="4"/>
  <c r="F9" i="4"/>
  <c r="AE12" i="13"/>
  <c r="AF12" i="13" s="1"/>
  <c r="W7" i="4" s="1"/>
  <c r="B6" i="5"/>
  <c r="N14" i="4"/>
  <c r="N6" i="4"/>
  <c r="N11" i="4"/>
  <c r="B33" i="8"/>
  <c r="N9" i="4"/>
  <c r="N10" i="4"/>
  <c r="N5" i="4"/>
  <c r="B15" i="5" s="1"/>
  <c r="N12" i="4"/>
  <c r="C17" i="9"/>
  <c r="D18" i="9"/>
  <c r="N17" i="4"/>
  <c r="N13" i="4"/>
  <c r="N8" i="4"/>
  <c r="N18" i="4"/>
  <c r="N16" i="4"/>
  <c r="N15" i="4"/>
  <c r="N7" i="4"/>
  <c r="D19" i="9"/>
  <c r="AE14" i="13"/>
  <c r="Y20" i="13"/>
  <c r="Y10" i="13"/>
  <c r="F17" i="4"/>
  <c r="L17" i="4"/>
  <c r="G17" i="4"/>
  <c r="X10" i="13" s="1"/>
  <c r="F11" i="4"/>
  <c r="L11" i="4"/>
  <c r="G11" i="4"/>
  <c r="X9" i="13" s="1"/>
  <c r="AB9" i="13" s="1"/>
  <c r="AE18" i="13"/>
  <c r="B11" i="5"/>
  <c r="T2" i="4"/>
  <c r="AD8" i="13"/>
  <c r="AD19" i="13"/>
  <c r="AD7" i="13"/>
  <c r="L6" i="4"/>
  <c r="F6" i="4"/>
  <c r="G6" i="4"/>
  <c r="X7" i="13" s="1"/>
  <c r="AB7" i="13" s="1"/>
  <c r="L7" i="4"/>
  <c r="F7" i="4"/>
  <c r="G7" i="4"/>
  <c r="X12" i="13" s="1"/>
  <c r="AB12" i="13" s="1"/>
  <c r="AD17" i="13"/>
  <c r="AE13" i="13"/>
  <c r="A3" i="4" l="1"/>
  <c r="B16" i="5"/>
  <c r="AF15" i="13"/>
  <c r="W8" i="4" s="1"/>
  <c r="AB20" i="13"/>
  <c r="AB8" i="13"/>
  <c r="AF8" i="13" s="1"/>
  <c r="W16" i="4" s="1"/>
  <c r="AF7" i="13"/>
  <c r="W6" i="4" s="1"/>
  <c r="AF13" i="13"/>
  <c r="W9" i="4" s="1"/>
  <c r="AF18" i="13"/>
  <c r="W12" i="4" s="1"/>
  <c r="X11" i="13"/>
  <c r="B9" i="5"/>
  <c r="AF17" i="13"/>
  <c r="W13" i="4" s="1"/>
  <c r="AB10" i="13"/>
  <c r="AF10" i="13" s="1"/>
  <c r="W17" i="4" s="1"/>
  <c r="AF19" i="13"/>
  <c r="W14" i="4" l="1"/>
  <c r="W15" i="4"/>
  <c r="B25" i="5"/>
  <c r="AB11" i="13"/>
  <c r="B23" i="5" l="1"/>
  <c r="AF11" i="13"/>
  <c r="B7" i="5" l="1"/>
  <c r="W5" i="4"/>
</calcChain>
</file>

<file path=xl/sharedStrings.xml><?xml version="1.0" encoding="utf-8"?>
<sst xmlns="http://schemas.openxmlformats.org/spreadsheetml/2006/main" count="3345" uniqueCount="466">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</sst>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4" fillId="0" borderId="0" xfId="0" applyFont="1" applyAlignment="1">
      <alignment horizontal="left" vertical="top" wrapText="1"/>
    </xf>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2"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8" t="s">
        <v>187</v>
      </c>
      <c r="B3" s="146"/>
      <c r="C3" s="146"/>
      <c r="D3" s="146"/>
      <c r="E3" s="146"/>
      <c r="F3" s="146"/>
      <c r="G3" s="146"/>
      <c r="H3" s="146"/>
    </row>
    <row r="6" spans="1:8" ht="21.75" customHeight="1" x14ac:dyDescent="0.2">
      <c r="A6" s="151" t="s">
        <v>188</v>
      </c>
      <c r="B6" s="146"/>
      <c r="C6" s="146"/>
      <c r="D6" s="146"/>
      <c r="E6" s="146"/>
      <c r="F6" s="146"/>
      <c r="G6" s="146"/>
      <c r="H6" s="146"/>
    </row>
    <row r="7" spans="1:8" ht="51" customHeight="1" x14ac:dyDescent="0.2">
      <c r="A7" s="25" t="s">
        <v>189</v>
      </c>
      <c r="B7" s="149" t="s">
        <v>190</v>
      </c>
      <c r="C7" s="146"/>
      <c r="D7" s="146"/>
      <c r="E7" s="146"/>
      <c r="F7" s="146"/>
      <c r="G7" s="146"/>
      <c r="H7" s="146"/>
    </row>
    <row r="8" spans="1:8" ht="36" customHeight="1" x14ac:dyDescent="0.2">
      <c r="A8" s="26" t="s">
        <v>191</v>
      </c>
      <c r="B8" s="149" t="s">
        <v>192</v>
      </c>
      <c r="C8" s="146"/>
      <c r="D8" s="146"/>
      <c r="E8" s="146"/>
      <c r="F8" s="146"/>
      <c r="G8" s="146"/>
      <c r="H8" s="146"/>
    </row>
    <row r="9" spans="1:8" ht="21" customHeight="1" x14ac:dyDescent="0.2">
      <c r="A9" s="25" t="s">
        <v>189</v>
      </c>
      <c r="B9" s="149" t="s">
        <v>193</v>
      </c>
      <c r="C9" s="146"/>
      <c r="D9" s="146"/>
      <c r="E9" s="146"/>
      <c r="F9" s="146"/>
      <c r="G9" s="146"/>
      <c r="H9" s="146"/>
    </row>
    <row r="10" spans="1:8" ht="36" customHeight="1" x14ac:dyDescent="0.2">
      <c r="A10" s="26" t="s">
        <v>191</v>
      </c>
      <c r="B10" s="149" t="s">
        <v>194</v>
      </c>
      <c r="C10" s="146"/>
      <c r="D10" s="146"/>
      <c r="E10" s="146"/>
      <c r="F10" s="146"/>
      <c r="G10" s="146"/>
      <c r="H10" s="146"/>
    </row>
    <row r="12" spans="1:8" ht="21.75" customHeight="1" x14ac:dyDescent="0.2">
      <c r="A12" s="151" t="s">
        <v>195</v>
      </c>
      <c r="B12" s="146"/>
      <c r="C12" s="146"/>
      <c r="D12" s="146"/>
      <c r="E12" s="146"/>
      <c r="F12" s="146"/>
      <c r="G12" s="146"/>
      <c r="H12" s="146"/>
    </row>
    <row r="13" spans="1:8" ht="36" customHeight="1" x14ac:dyDescent="0.2">
      <c r="A13" s="25" t="s">
        <v>189</v>
      </c>
      <c r="B13" s="149" t="s">
        <v>196</v>
      </c>
      <c r="C13" s="146"/>
      <c r="D13" s="146"/>
      <c r="E13" s="146"/>
      <c r="F13" s="146"/>
      <c r="G13" s="146"/>
      <c r="H13" s="146"/>
    </row>
    <row r="14" spans="1:8" ht="36" customHeight="1" x14ac:dyDescent="0.2">
      <c r="A14" s="26" t="s">
        <v>191</v>
      </c>
      <c r="B14" s="149" t="s">
        <v>197</v>
      </c>
      <c r="C14" s="146"/>
      <c r="D14" s="146"/>
      <c r="E14" s="146"/>
      <c r="F14" s="146"/>
      <c r="G14" s="146"/>
      <c r="H14" s="146"/>
    </row>
    <row r="15" spans="1:8" ht="21" customHeight="1" x14ac:dyDescent="0.2">
      <c r="A15" s="25" t="s">
        <v>189</v>
      </c>
      <c r="B15" s="149" t="s">
        <v>198</v>
      </c>
      <c r="C15" s="146"/>
      <c r="D15" s="146"/>
      <c r="E15" s="146"/>
      <c r="F15" s="146"/>
      <c r="G15" s="146"/>
      <c r="H15" s="146"/>
    </row>
    <row r="16" spans="1:8" ht="36" customHeight="1" x14ac:dyDescent="0.2">
      <c r="A16" s="26" t="s">
        <v>191</v>
      </c>
      <c r="B16" s="149" t="s">
        <v>199</v>
      </c>
      <c r="C16" s="146"/>
      <c r="D16" s="146"/>
      <c r="E16" s="146"/>
      <c r="F16" s="146"/>
      <c r="G16" s="146"/>
      <c r="H16" s="146"/>
    </row>
    <row r="18" spans="1:8" ht="21.75" customHeight="1" x14ac:dyDescent="0.2">
      <c r="A18" s="151" t="s">
        <v>200</v>
      </c>
      <c r="B18" s="146"/>
      <c r="C18" s="146"/>
      <c r="D18" s="146"/>
      <c r="E18" s="146"/>
      <c r="F18" s="146"/>
      <c r="G18" s="146"/>
      <c r="H18" s="146"/>
    </row>
    <row r="19" spans="1:8" ht="21" customHeight="1" x14ac:dyDescent="0.2">
      <c r="A19" s="25" t="s">
        <v>189</v>
      </c>
      <c r="B19" s="149" t="s">
        <v>201</v>
      </c>
      <c r="C19" s="146"/>
      <c r="D19" s="146"/>
      <c r="E19" s="146"/>
      <c r="F19" s="146"/>
      <c r="G19" s="146"/>
      <c r="H19" s="146"/>
    </row>
    <row r="20" spans="1:8" ht="51" customHeight="1" x14ac:dyDescent="0.2">
      <c r="A20" s="26" t="s">
        <v>191</v>
      </c>
      <c r="B20" s="149" t="s">
        <v>202</v>
      </c>
      <c r="C20" s="146"/>
      <c r="D20" s="146"/>
      <c r="E20" s="146"/>
      <c r="F20" s="146"/>
      <c r="G20" s="146"/>
      <c r="H20" s="146"/>
    </row>
    <row r="21" spans="1:8" ht="21" customHeight="1" x14ac:dyDescent="0.2">
      <c r="A21" s="25" t="s">
        <v>189</v>
      </c>
      <c r="B21" s="149" t="s">
        <v>203</v>
      </c>
      <c r="C21" s="146"/>
      <c r="D21" s="146"/>
      <c r="E21" s="146"/>
      <c r="F21" s="146"/>
      <c r="G21" s="146"/>
      <c r="H21" s="146"/>
    </row>
    <row r="22" spans="1:8" ht="51" customHeight="1" x14ac:dyDescent="0.2">
      <c r="A22" s="26" t="s">
        <v>191</v>
      </c>
      <c r="B22" s="149" t="s">
        <v>204</v>
      </c>
      <c r="C22" s="146"/>
      <c r="D22" s="146"/>
      <c r="E22" s="146"/>
      <c r="F22" s="146"/>
      <c r="G22" s="146"/>
      <c r="H22" s="146"/>
    </row>
    <row r="24" spans="1:8" ht="21.75" customHeight="1" x14ac:dyDescent="0.2">
      <c r="A24" s="151" t="s">
        <v>205</v>
      </c>
      <c r="B24" s="146"/>
      <c r="C24" s="146"/>
      <c r="D24" s="146"/>
      <c r="E24" s="146"/>
      <c r="F24" s="146"/>
      <c r="G24" s="146"/>
      <c r="H24" s="146"/>
    </row>
    <row r="25" spans="1:8" ht="21" customHeight="1" x14ac:dyDescent="0.2">
      <c r="A25" s="25" t="s">
        <v>189</v>
      </c>
      <c r="B25" s="149" t="s">
        <v>206</v>
      </c>
      <c r="C25" s="146"/>
      <c r="D25" s="146"/>
      <c r="E25" s="146"/>
      <c r="F25" s="146"/>
      <c r="G25" s="146"/>
      <c r="H25" s="146"/>
    </row>
    <row r="26" spans="1:8" ht="51" customHeight="1" x14ac:dyDescent="0.2">
      <c r="A26" s="26" t="s">
        <v>191</v>
      </c>
      <c r="B26" s="149" t="s">
        <v>207</v>
      </c>
      <c r="C26" s="146"/>
      <c r="D26" s="146"/>
      <c r="E26" s="146"/>
      <c r="F26" s="146"/>
      <c r="G26" s="146"/>
      <c r="H26" s="146"/>
    </row>
    <row r="27" spans="1:8" ht="21" customHeight="1" x14ac:dyDescent="0.2">
      <c r="A27" s="25" t="s">
        <v>189</v>
      </c>
      <c r="B27" s="149" t="s">
        <v>208</v>
      </c>
      <c r="C27" s="146"/>
      <c r="D27" s="146"/>
      <c r="E27" s="146"/>
      <c r="F27" s="146"/>
      <c r="G27" s="146"/>
      <c r="H27" s="146"/>
    </row>
    <row r="28" spans="1:8" ht="51" customHeight="1" x14ac:dyDescent="0.2">
      <c r="A28" s="26" t="s">
        <v>191</v>
      </c>
      <c r="B28" s="149" t="s">
        <v>209</v>
      </c>
      <c r="C28" s="146"/>
      <c r="D28" s="146"/>
      <c r="E28" s="146"/>
      <c r="F28" s="146"/>
      <c r="G28" s="146"/>
      <c r="H28" s="146"/>
    </row>
    <row r="29" spans="1:8" ht="21" customHeight="1" x14ac:dyDescent="0.2">
      <c r="A29" s="25" t="s">
        <v>189</v>
      </c>
      <c r="B29" s="149" t="s">
        <v>210</v>
      </c>
      <c r="C29" s="146"/>
      <c r="D29" s="146"/>
      <c r="E29" s="146"/>
      <c r="F29" s="146"/>
      <c r="G29" s="146"/>
      <c r="H29" s="146"/>
    </row>
    <row r="30" spans="1:8" ht="36" customHeight="1" x14ac:dyDescent="0.2">
      <c r="A30" s="26" t="s">
        <v>191</v>
      </c>
      <c r="B30" s="149" t="s">
        <v>211</v>
      </c>
      <c r="C30" s="146"/>
      <c r="D30" s="146"/>
      <c r="E30" s="146"/>
      <c r="F30" s="146"/>
      <c r="G30" s="146"/>
      <c r="H30" s="146"/>
    </row>
    <row r="32" spans="1:8" ht="21.75" customHeight="1" x14ac:dyDescent="0.2">
      <c r="A32" s="151" t="s">
        <v>212</v>
      </c>
      <c r="B32" s="146"/>
      <c r="C32" s="146"/>
      <c r="D32" s="146"/>
      <c r="E32" s="146"/>
      <c r="F32" s="146"/>
      <c r="G32" s="146"/>
      <c r="H32" s="146"/>
    </row>
    <row r="33" spans="1:8" ht="21" customHeight="1" x14ac:dyDescent="0.2">
      <c r="A33" s="25" t="s">
        <v>189</v>
      </c>
      <c r="B33" s="149" t="s">
        <v>213</v>
      </c>
      <c r="C33" s="146"/>
      <c r="D33" s="146"/>
      <c r="E33" s="146"/>
      <c r="F33" s="146"/>
      <c r="G33" s="146"/>
      <c r="H33" s="146"/>
    </row>
    <row r="34" spans="1:8" ht="51" customHeight="1" x14ac:dyDescent="0.2">
      <c r="A34" s="26" t="s">
        <v>191</v>
      </c>
      <c r="B34" s="149" t="s">
        <v>214</v>
      </c>
      <c r="C34" s="146"/>
      <c r="D34" s="146"/>
      <c r="E34" s="146"/>
      <c r="F34" s="146"/>
      <c r="G34" s="146"/>
      <c r="H34" s="146"/>
    </row>
    <row r="35" spans="1:8" ht="21" customHeight="1" x14ac:dyDescent="0.2">
      <c r="A35" s="25" t="s">
        <v>189</v>
      </c>
      <c r="B35" s="149" t="s">
        <v>215</v>
      </c>
      <c r="C35" s="146"/>
      <c r="D35" s="146"/>
      <c r="E35" s="146"/>
      <c r="F35" s="146"/>
      <c r="G35" s="146"/>
      <c r="H35" s="146"/>
    </row>
    <row r="36" spans="1:8" ht="36" customHeight="1" x14ac:dyDescent="0.2">
      <c r="A36" s="26" t="s">
        <v>191</v>
      </c>
      <c r="B36" s="149" t="s">
        <v>216</v>
      </c>
      <c r="C36" s="146"/>
      <c r="D36" s="146"/>
      <c r="E36" s="146"/>
      <c r="F36" s="146"/>
      <c r="G36" s="146"/>
      <c r="H36" s="146"/>
    </row>
    <row r="37" spans="1:8" ht="21" customHeight="1" x14ac:dyDescent="0.2">
      <c r="A37" s="25" t="s">
        <v>189</v>
      </c>
      <c r="B37" s="149" t="s">
        <v>217</v>
      </c>
      <c r="C37" s="146"/>
      <c r="D37" s="146"/>
      <c r="E37" s="146"/>
      <c r="F37" s="146"/>
      <c r="G37" s="146"/>
      <c r="H37" s="146"/>
    </row>
    <row r="38" spans="1:8" ht="51" customHeight="1" x14ac:dyDescent="0.2">
      <c r="A38" s="26" t="s">
        <v>191</v>
      </c>
      <c r="B38" s="149" t="s">
        <v>218</v>
      </c>
      <c r="C38" s="146"/>
      <c r="D38" s="146"/>
      <c r="E38" s="146"/>
      <c r="F38" s="146"/>
      <c r="G38" s="146"/>
      <c r="H38" s="146"/>
    </row>
    <row r="39" spans="1:8" ht="21" customHeight="1" x14ac:dyDescent="0.2">
      <c r="A39" s="25" t="s">
        <v>189</v>
      </c>
      <c r="B39" s="149" t="s">
        <v>219</v>
      </c>
      <c r="C39" s="146"/>
      <c r="D39" s="146"/>
      <c r="E39" s="146"/>
      <c r="F39" s="146"/>
      <c r="G39" s="146"/>
      <c r="H39" s="146"/>
    </row>
    <row r="41" spans="1:8" ht="21.75" customHeight="1" x14ac:dyDescent="0.2">
      <c r="A41" s="151" t="s">
        <v>220</v>
      </c>
      <c r="B41" s="146"/>
      <c r="C41" s="146"/>
      <c r="D41" s="146"/>
      <c r="E41" s="146"/>
      <c r="F41" s="146"/>
      <c r="G41" s="146"/>
      <c r="H41" s="146"/>
    </row>
    <row r="42" spans="1:8" ht="21" customHeight="1" x14ac:dyDescent="0.2">
      <c r="A42" s="25" t="s">
        <v>189</v>
      </c>
      <c r="B42" s="149" t="s">
        <v>221</v>
      </c>
      <c r="C42" s="146"/>
      <c r="D42" s="146"/>
      <c r="E42" s="146"/>
      <c r="F42" s="146"/>
      <c r="G42" s="146"/>
      <c r="H42" s="146"/>
    </row>
    <row r="43" spans="1:8" ht="51" customHeight="1" x14ac:dyDescent="0.2">
      <c r="A43" s="26" t="s">
        <v>191</v>
      </c>
      <c r="B43" s="149" t="s">
        <v>222</v>
      </c>
      <c r="C43" s="146"/>
      <c r="D43" s="146"/>
      <c r="E43" s="146"/>
      <c r="F43" s="146"/>
      <c r="G43" s="146"/>
      <c r="H43" s="146"/>
    </row>
    <row r="44" spans="1:8" ht="21" customHeight="1" x14ac:dyDescent="0.2">
      <c r="A44" s="25" t="s">
        <v>189</v>
      </c>
      <c r="B44" s="149" t="s">
        <v>223</v>
      </c>
      <c r="C44" s="146"/>
      <c r="D44" s="146"/>
      <c r="E44" s="146"/>
      <c r="F44" s="146"/>
      <c r="G44" s="146"/>
      <c r="H44" s="146"/>
    </row>
    <row r="45" spans="1:8" ht="36" customHeight="1" x14ac:dyDescent="0.2">
      <c r="A45" s="26" t="s">
        <v>191</v>
      </c>
      <c r="B45" s="149" t="s">
        <v>224</v>
      </c>
      <c r="C45" s="146"/>
      <c r="D45" s="146"/>
      <c r="E45" s="146"/>
      <c r="F45" s="146"/>
      <c r="G45" s="146"/>
      <c r="H45" s="146"/>
    </row>
    <row r="46" spans="1:8" ht="21" customHeight="1" x14ac:dyDescent="0.2">
      <c r="A46" s="25" t="s">
        <v>189</v>
      </c>
      <c r="B46" s="149" t="s">
        <v>225</v>
      </c>
      <c r="C46" s="146"/>
      <c r="D46" s="146"/>
      <c r="E46" s="146"/>
      <c r="F46" s="146"/>
      <c r="G46" s="146"/>
      <c r="H46" s="146"/>
    </row>
    <row r="47" spans="1:8" ht="21" customHeight="1" x14ac:dyDescent="0.2">
      <c r="A47" s="26" t="s">
        <v>191</v>
      </c>
      <c r="B47" s="149" t="s">
        <v>226</v>
      </c>
      <c r="C47" s="146"/>
      <c r="D47" s="146"/>
      <c r="E47" s="146"/>
      <c r="F47" s="146"/>
      <c r="G47" s="146"/>
      <c r="H47" s="146"/>
    </row>
    <row r="49" spans="1:8" ht="21.75" customHeight="1" x14ac:dyDescent="0.2">
      <c r="A49" s="151" t="s">
        <v>227</v>
      </c>
      <c r="B49" s="146"/>
      <c r="C49" s="146"/>
      <c r="D49" s="146"/>
      <c r="E49" s="146"/>
      <c r="F49" s="146"/>
      <c r="G49" s="146"/>
      <c r="H49" s="146"/>
    </row>
    <row r="50" spans="1:8" ht="36" customHeight="1" x14ac:dyDescent="0.2">
      <c r="A50" s="25" t="s">
        <v>189</v>
      </c>
      <c r="B50" s="149" t="s">
        <v>228</v>
      </c>
      <c r="C50" s="146"/>
      <c r="D50" s="146"/>
      <c r="E50" s="146"/>
      <c r="F50" s="146"/>
      <c r="G50" s="146"/>
      <c r="H50" s="146"/>
    </row>
    <row r="51" spans="1:8" ht="21" customHeight="1" x14ac:dyDescent="0.2">
      <c r="A51" s="26" t="s">
        <v>191</v>
      </c>
      <c r="B51" s="149" t="s">
        <v>229</v>
      </c>
      <c r="C51" s="146"/>
      <c r="D51" s="146"/>
      <c r="E51" s="146"/>
      <c r="F51" s="146"/>
      <c r="G51" s="146"/>
      <c r="H51" s="146"/>
    </row>
    <row r="52" spans="1:8" ht="21" customHeight="1" x14ac:dyDescent="0.2">
      <c r="A52" s="25" t="s">
        <v>189</v>
      </c>
      <c r="B52" s="149"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1309   |   45 wins, 26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20</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28</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Josh</v>
      </c>
      <c r="C21" s="31">
        <f>IF(OR($B21="—",$B21=""),"",ROUND(MAX('Sport Records'!$B$117:$O$117),0))</f>
        <v>1130</v>
      </c>
      <c r="D21" s="31" t="str">
        <f>IF(OR($B21="—",$B21=""),"—",COUNTIFS('Match Log'!$D$4:$D$1510,$B21,'Match Log'!$C$4:$C$1510,$A21,'Match Log'!$E$4:$E$1510,"Win")&amp;"–"&amp;(COUNTIFS('Match Log'!$D$4:$D$1510,$B21,'Match Log'!$C$4:$C$1510,$A21)-COUNTIFS('Match Log'!$D$4:$D$1510,$B21,'Match Log'!$C$4:$C$1510,$A21,'Match Log'!$E$4:$E$1510,"Win")))</f>
        <v>16–2</v>
      </c>
      <c r="E21" s="31">
        <f>IFERROR('Sport Records'!$P$19,0)</f>
        <v>59</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1055</v>
      </c>
      <c r="D23" s="31" t="str">
        <f>IF(OR($B23="—",$B23=""),"—",COUNTIFS('Match Log'!$D$4:$D$1510,$B23,'Match Log'!$C$4:$C$1510,$A23,'Match Log'!$E$4:$E$1510,"Win")&amp;"–"&amp;(COUNTIFS('Match Log'!$D$4:$D$1510,$B23,'Match Log'!$C$4:$C$1510,$A23)-COUNTIFS('Match Log'!$D$4:$D$1510,$B23,'Match Log'!$C$4:$C$1510,$A23,'Match Log'!$E$4:$E$1510,"Win")))</f>
        <v>6–1</v>
      </c>
      <c r="E23" s="31">
        <f>IFERROR('Sport Records'!$P$21,0)</f>
        <v>23</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1029</v>
      </c>
      <c r="D33" s="31" t="str">
        <f>IF(OR($B33="—",$B33=""),"—",COUNTIFS('Match Log'!$D$4:$D$1510,$B33,'Match Log'!$C$4:$C$1510,$A33,'Match Log'!$E$4:$E$1510,"Win")&amp;"–"&amp;(COUNTIFS('Match Log'!$D$4:$D$1510,$B33,'Match Log'!$C$4:$C$1510,$A33)-COUNTIFS('Match Log'!$D$4:$D$1510,$B33,'Match Log'!$C$4:$C$1510,$A33,'Match Log'!$E$4:$E$1510,"Win")))</f>
        <v>3–1</v>
      </c>
      <c r="E33" s="31">
        <f>IFERROR('Sport Records'!$P$31,0)</f>
        <v>4</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334  ·  27 Oct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1308.5546827609496</v>
      </c>
      <c r="D5" s="55">
        <f ca="1">COUNTIF('Match Log'!$D$4:$D$1510,$B5)</f>
        <v>71</v>
      </c>
      <c r="E5" s="55">
        <f ca="1">COUNTIFS('Match Log'!$D$4:$D$1510,$B5,'Match Log'!$E$4:$E$1510,"Win")</f>
        <v>45</v>
      </c>
      <c r="F5" s="55">
        <f t="shared" ref="F5:F18" ca="1" si="1">$D5-$E5</f>
        <v>26</v>
      </c>
      <c r="G5" s="56">
        <f t="shared" ref="G5:G18" ca="1" si="2">IF($D5=0,"",$E5/$D5)</f>
        <v>0.63380281690140849</v>
      </c>
      <c r="H5" s="57">
        <f ca="1">SUMIF('Match Log'!$D$4:$D$1510,$B5,'Match Log'!$J$4:$J$1510)</f>
        <v>154.77954356076231</v>
      </c>
      <c r="I5" s="57">
        <f ca="1">SUMIF('Match Log'!$D$4:$D$1510,$B5,'Match Log'!$K$4:$K$1510)</f>
        <v>82.0251392001868</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1119.7007786931761</v>
      </c>
      <c r="N5" s="54">
        <f t="shared" ref="N5:N18" ca="1" si="3">MAX($C$5:$C$18)-$C5</f>
        <v>0</v>
      </c>
      <c r="O5" s="55" t="str">
        <f ca="1">IFERROR(INDEX(Calcs!$H$7:$H$20,MATCH($B5,Calcs!$A$7:$A$20,0)),"")</f>
        <v>W4</v>
      </c>
      <c r="P5" s="55" t="str">
        <f ca="1">IFERROR(INDEX(Calcs!$I$7:$I$20,MATCH($B5,Calcs!$A$7:$A$20,0)),"")</f>
        <v>LWWWW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Oct</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1309</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1223.1911759451084</v>
      </c>
      <c r="D6" s="55">
        <f ca="1">COUNTIF('Match Log'!$D$4:$D$1510,$B6)</f>
        <v>94</v>
      </c>
      <c r="E6" s="55">
        <f ca="1">COUNTIFS('Match Log'!$D$4:$D$1510,$B6,'Match Log'!$E$4:$E$1510,"Win")</f>
        <v>44</v>
      </c>
      <c r="F6" s="55">
        <f t="shared" ca="1" si="1"/>
        <v>50</v>
      </c>
      <c r="G6" s="56">
        <f t="shared" ca="1" si="2"/>
        <v>0.46808510638297873</v>
      </c>
      <c r="H6" s="57">
        <f ca="1">SUMIF('Match Log'!$D$4:$D$1510,$B6,'Match Log'!$J$4:$J$1510)</f>
        <v>59.277239136802152</v>
      </c>
      <c r="I6" s="57">
        <f ca="1">SUMIF('Match Log'!$D$4:$D$1510,$B6,'Match Log'!$K$4:$K$1510)</f>
        <v>74.01393680830607</v>
      </c>
      <c r="J6" s="57">
        <f ca="1">SUMIF('Match Log'!$D$4:$D$1510,$B6,'Match Log'!$L$4:$L$1510)</f>
        <v>111</v>
      </c>
      <c r="K6" s="55">
        <f ca="1">SUMPRODUCT(--(COUNTIFS('Match Log'!$D$4:$D$1510,$B6,'Match Log'!$C$4:$C$1510,Lists!$C$2:$C$26)&gt;0))</f>
        <v>14</v>
      </c>
      <c r="L6" s="55" t="str">
        <f ca="1">IF($D6=0,"No games",IF(AND($D6&gt;='Guide &amp; Settings'!$C$45,$K6&gt;='Guide &amp; Settings'!$C$46),"Eligible","Provisional"))</f>
        <v>Eligible</v>
      </c>
      <c r="M6" s="54">
        <f ca="1">IFERROR(INDEX(Calcs!$C$7:$C$20,MATCH($B6,Calcs!$A$7:$A$20,0)),"")</f>
        <v>1137.7927848449101</v>
      </c>
      <c r="N6" s="54">
        <f t="shared" ca="1" si="3"/>
        <v>85.36350681584122</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24 Oct</v>
      </c>
      <c r="S6" s="55">
        <f ca="1">IFERROR(ROUND(INDEX(Calcs!$Q$7:$Q$20,MATCH($B6,Calcs!$A$7:$A$20,0)),1),"")</f>
        <v>0.4</v>
      </c>
      <c r="T6" s="55" t="str">
        <f ca="1">IFERROR(INDEX(Calcs!$T$7:$T$20,MATCH($B6,Calcs!$A$7:$A$20,0)),"")</f>
        <v>Active</v>
      </c>
      <c r="U6">
        <f ca="1">IFERROR(ROUND(INDEX(Calcs!$R$7:$R$20,MATCH($B6,Calcs!$A$7:$A$20,0))+INDEX(Calcs!$U$7:$U$20,MATCH($B6,Calcs!$A$7:$A$20,0)),0),0)</f>
        <v>10</v>
      </c>
      <c r="V6" s="57">
        <f ca="1">IFERROR(ROUND(INDEX(Calcs!$S$7:$S$20,MATCH($B6,Calcs!$A$7:$A$20,0)),0),"")</f>
        <v>1223</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1196.1680814643371</v>
      </c>
      <c r="D7" s="55">
        <f ca="1">COUNTIF('Match Log'!$D$4:$D$1510,$B7)</f>
        <v>172</v>
      </c>
      <c r="E7" s="55">
        <f ca="1">COUNTIFS('Match Log'!$D$4:$D$1510,$B7,'Match Log'!$E$4:$E$1510,"Win")</f>
        <v>80</v>
      </c>
      <c r="F7" s="55">
        <f t="shared" ca="1" si="1"/>
        <v>92</v>
      </c>
      <c r="G7" s="56">
        <f t="shared" ca="1" si="2"/>
        <v>0.46511627906976744</v>
      </c>
      <c r="H7" s="57">
        <f ca="1">SUMIF('Match Log'!$D$4:$D$1510,$B7,'Match Log'!$J$4:$J$1510)</f>
        <v>-12.768184673500254</v>
      </c>
      <c r="I7" s="57">
        <f ca="1">SUMIF('Match Log'!$D$4:$D$1510,$B7,'Match Log'!$K$4:$K$1510)</f>
        <v>16.686266137837748</v>
      </c>
      <c r="J7" s="57">
        <f ca="1">SUMIF('Match Log'!$D$4:$D$1510,$B7,'Match Log'!$L$4:$L$1510)</f>
        <v>196</v>
      </c>
      <c r="K7" s="55">
        <f ca="1">SUMPRODUCT(--(COUNTIFS('Match Log'!$D$4:$D$1510,$B7,'Match Log'!$C$4:$C$1510,Lists!$C$2:$C$26)&gt;0))</f>
        <v>19</v>
      </c>
      <c r="L7" s="55" t="str">
        <f ca="1">IF($D7=0,"No games",IF(AND($D7&gt;='Guide &amp; Settings'!$C$45,$K7&gt;='Guide &amp; Settings'!$C$46),"Eligible","Provisional"))</f>
        <v>Eligible</v>
      </c>
      <c r="M7" s="54">
        <f ca="1">IFERROR(INDEX(Calcs!$C$7:$C$20,MATCH($B7,Calcs!$A$7:$A$20,0)),"")</f>
        <v>1139.9827631122678</v>
      </c>
      <c r="N7" s="54">
        <f t="shared" ca="1" si="3"/>
        <v>112.38660129661253</v>
      </c>
      <c r="O7" s="55" t="str">
        <f ca="1">IFERROR(INDEX(Calcs!$H$7:$H$20,MATCH($B7,Calcs!$A$7:$A$20,0)),"")</f>
        <v>L2</v>
      </c>
      <c r="P7" s="55" t="str">
        <f ca="1">IFERROR(INDEX(Calcs!$I$7:$I$20,MATCH($B7,Calcs!$A$7:$A$20,0)),"")</f>
        <v>WLWLL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25 Oct</v>
      </c>
      <c r="S7" s="55">
        <f ca="1">IFERROR(ROUND(INDEX(Calcs!$Q$7:$Q$20,MATCH($B7,Calcs!$A$7:$A$20,0)),1),"")</f>
        <v>0.3</v>
      </c>
      <c r="T7" s="55" t="str">
        <f ca="1">IFERROR(INDEX(Calcs!$T$7:$T$20,MATCH($B7,Calcs!$A$7:$A$20,0)),"")</f>
        <v>Active</v>
      </c>
      <c r="U7">
        <f ca="1">IFERROR(ROUND(INDEX(Calcs!$R$7:$R$20,MATCH($B7,Calcs!$A$7:$A$20,0))+INDEX(Calcs!$U$7:$U$20,MATCH($B7,Calcs!$A$7:$A$20,0)),0),0)</f>
        <v>0</v>
      </c>
      <c r="V7" s="57">
        <f ca="1">IFERROR(ROUND(INDEX(Calcs!$S$7:$S$20,MATCH($B7,Calcs!$A$7:$A$20,0)),0),"")</f>
        <v>1196</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1177.9015417269482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1126.4610228083336</v>
      </c>
      <c r="N8" s="54">
        <f t="shared" ca="1" si="3"/>
        <v>130.65314103400146</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4.5999999999999996</v>
      </c>
      <c r="T8" s="55" t="str">
        <f ca="1">IFERROR(INDEX(Calcs!$T$7:$T$20,MATCH($B8,Calcs!$A$7:$A$20,0)),"")</f>
        <v>Inactive</v>
      </c>
      <c r="U8">
        <f ca="1">IFERROR(ROUND(INDEX(Calcs!$R$7:$R$20,MATCH($B8,Calcs!$A$7:$A$20,0))+INDEX(Calcs!$U$7:$U$20,MATCH($B8,Calcs!$A$7:$A$20,0)),0),0)</f>
        <v>40</v>
      </c>
      <c r="V8" s="57">
        <f ca="1">IFERROR(ROUND(INDEX(Calcs!$S$7:$S$20,MATCH($B8,Calcs!$A$7:$A$20,0)),0),"")</f>
        <v>1178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Simon</v>
      </c>
      <c r="C9" s="54">
        <f ca="1">IFERROR(INDEX(Calcs!$S$7:$S$20,MATCH($B9,Calcs!$A$7:$A$20,0)),"")</f>
        <v>1174.9945492849279</v>
      </c>
      <c r="D9" s="55">
        <f ca="1">COUNTIF('Match Log'!$D$4:$D$1510,$B9)</f>
        <v>44</v>
      </c>
      <c r="E9" s="55">
        <f ca="1">COUNTIFS('Match Log'!$D$4:$D$1510,$B9,'Match Log'!$E$4:$E$1510,"Win")</f>
        <v>23</v>
      </c>
      <c r="F9" s="55">
        <f t="shared" ca="1" si="1"/>
        <v>21</v>
      </c>
      <c r="G9" s="56">
        <f t="shared" ca="1" si="2"/>
        <v>0.52272727272727271</v>
      </c>
      <c r="H9" s="57">
        <f ca="1">SUMIF('Match Log'!$D$4:$D$1510,$B9,'Match Log'!$J$4:$J$1510)</f>
        <v>56.42783844566047</v>
      </c>
      <c r="I9" s="57">
        <f ca="1">SUMIF('Match Log'!$D$4:$D$1510,$B9,'Match Log'!$K$4:$K$1510)</f>
        <v>65.116710839267427</v>
      </c>
      <c r="J9" s="57">
        <f ca="1">SUMIF('Match Log'!$D$4:$D$1510,$B9,'Match Log'!$L$4:$L$1510)</f>
        <v>89</v>
      </c>
      <c r="K9" s="55">
        <f ca="1">SUMPRODUCT(--(COUNTIFS('Match Log'!$D$4:$D$1510,$B9,'Match Log'!$C$4:$C$1510,Lists!$C$2:$C$26)&gt;0))</f>
        <v>12</v>
      </c>
      <c r="L9" s="55" t="str">
        <f ca="1">IF($D9=0,"No games",IF(AND($D9&gt;='Guide &amp; Settings'!$C$45,$K9&gt;='Guide &amp; Settings'!$C$46),"Eligible","Provisional"))</f>
        <v>Eligible</v>
      </c>
      <c r="M9" s="54">
        <f ca="1">IFERROR(INDEX(Calcs!$C$7:$C$20,MATCH($B9,Calcs!$A$7:$A$20,0)),"")</f>
        <v>1093.9144021018315</v>
      </c>
      <c r="N9" s="54">
        <f t="shared" ca="1" si="3"/>
        <v>133.56013347602175</v>
      </c>
      <c r="O9" s="55" t="str">
        <f ca="1">IFERROR(INDEX(Calcs!$H$7:$H$20,MATCH($B9,Calcs!$A$7:$A$20,0)),"")</f>
        <v>W1</v>
      </c>
      <c r="P9" s="55" t="str">
        <f ca="1">IFERROR(INDEX(Calcs!$I$7:$I$20,MATCH($B9,Calcs!$A$7:$A$20,0)),"")</f>
        <v>WLWLW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24 Oct</v>
      </c>
      <c r="S9" s="55">
        <f ca="1">IFERROR(ROUND(INDEX(Calcs!$Q$7:$Q$20,MATCH($B9,Calcs!$A$7:$A$20,0)),1),"")</f>
        <v>0.4</v>
      </c>
      <c r="T9" s="55" t="str">
        <f ca="1">IFERROR(INDEX(Calcs!$T$7:$T$20,MATCH($B9,Calcs!$A$7:$A$20,0)),"")</f>
        <v>Active</v>
      </c>
      <c r="U9">
        <f ca="1">IFERROR(ROUND(INDEX(Calcs!$R$7:$R$20,MATCH($B9,Calcs!$A$7:$A$20,0))+INDEX(Calcs!$U$7:$U$20,MATCH($B9,Calcs!$A$7:$A$20,0)),0),0)</f>
        <v>30</v>
      </c>
      <c r="V9" s="57">
        <f ca="1">IFERROR(ROUND(INDEX(Calcs!$S$7:$S$20,MATCH($B9,Calcs!$A$7:$A$20,0)),0),"")</f>
        <v>1175</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Daniel (Ferret)</v>
      </c>
      <c r="C10" s="54">
        <f ca="1">IFERROR(INDEX(Calcs!$S$7:$S$20,MATCH($B10,Calcs!$A$7:$A$20,0)),"")</f>
        <v>1120.0804966817298</v>
      </c>
      <c r="D10" s="55">
        <f ca="1">COUNTIF('Match Log'!$D$4:$D$1510,$B10)</f>
        <v>168</v>
      </c>
      <c r="E10" s="55">
        <f ca="1">COUNTIFS('Match Log'!$D$4:$D$1510,$B10,'Match Log'!$E$4:$E$1510,"Win")</f>
        <v>70</v>
      </c>
      <c r="F10" s="55">
        <f t="shared" ca="1" si="1"/>
        <v>98</v>
      </c>
      <c r="G10" s="56">
        <f t="shared" ca="1" si="2"/>
        <v>0.41666666666666669</v>
      </c>
      <c r="H10" s="57">
        <f ca="1">SUMIF('Match Log'!$D$4:$D$1510,$B10,'Match Log'!$J$4:$J$1510)</f>
        <v>-78.9068923076061</v>
      </c>
      <c r="I10" s="57">
        <f ca="1">SUMIF('Match Log'!$D$4:$D$1510,$B10,'Match Log'!$K$4:$K$1510)</f>
        <v>29.337388989336258</v>
      </c>
      <c r="J10" s="57">
        <f ca="1">SUMIF('Match Log'!$D$4:$D$1510,$B10,'Match Log'!$L$4:$L$1510)</f>
        <v>171</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1181.0016841877109</v>
      </c>
      <c r="N10" s="54">
        <f t="shared" ca="1" si="3"/>
        <v>188.47418607921986</v>
      </c>
      <c r="O10" s="55" t="str">
        <f ca="1">IFERROR(INDEX(Calcs!$H$7:$H$20,MATCH($B10,Calcs!$A$7:$A$20,0)),"")</f>
        <v>L4</v>
      </c>
      <c r="P10" s="55" t="str">
        <f ca="1">IFERROR(INDEX(Calcs!$I$7:$I$20,MATCH($B10,Calcs!$A$7:$A$20,0)),"")</f>
        <v>WLLLL</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27 Oct</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1120</v>
      </c>
      <c r="W10" s="55" t="str">
        <f ca="1">IFERROR(INDEX(Calcs!$AF$7:$AF$20,MATCH($B10,Calcs!$A$7:$A$20,0)),"")</f>
        <v>Strong</v>
      </c>
      <c r="X10" s="57">
        <f ca="1">IFERROR(ROUND(SUMIF('Poker Stake Ledger'!$C$18:$C$137,$B10,'Poker Stake Ledger'!$K$18:$K$137),1),0)</f>
        <v>-1.4</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1146.4419004208635</v>
      </c>
      <c r="N11" s="54">
        <f t="shared" ca="1" si="3"/>
        <v>280.47857970111045</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3.6</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1017.5488947064855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1058.4347597357651</v>
      </c>
      <c r="N12" s="54">
        <f t="shared" ca="1" si="3"/>
        <v>291.00578805446412</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10.4</v>
      </c>
      <c r="T12" s="55" t="str">
        <f ca="1">IFERROR(INDEX(Calcs!$T$7:$T$20,MATCH($B12,Calcs!$A$7:$A$20,0)),"")</f>
        <v>Inactive</v>
      </c>
      <c r="U12">
        <f ca="1">IFERROR(ROUND(INDEX(Calcs!$R$7:$R$20,MATCH($B12,Calcs!$A$7:$A$20,0))+INDEX(Calcs!$U$7:$U$20,MATCH($B12,Calcs!$A$7:$A$20,0)),0),0)</f>
        <v>70</v>
      </c>
      <c r="V12" s="57">
        <f ca="1">IFERROR(ROUND(INDEX(Calcs!$S$7:$S$20,MATCH($B12,Calcs!$A$7:$A$20,0)),0),"")</f>
        <v>1018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Oscar</v>
      </c>
      <c r="C13" s="54">
        <f ca="1">IFERROR(INDEX(Calcs!$S$7:$S$20,MATCH($B13,Calcs!$A$7:$A$20,0)),"")</f>
        <v>1004.2053573760541</v>
      </c>
      <c r="D13" s="55">
        <f ca="1">COUNTIF('Match Log'!$D$4:$D$1510,$B13)</f>
        <v>90</v>
      </c>
      <c r="E13" s="55">
        <f ca="1">COUNTIFS('Match Log'!$D$4:$D$1510,$B13,'Match Log'!$E$4:$E$1510,"Win")</f>
        <v>33</v>
      </c>
      <c r="F13" s="55">
        <f t="shared" ca="1" si="1"/>
        <v>57</v>
      </c>
      <c r="G13" s="56">
        <f t="shared" ca="1" si="2"/>
        <v>0.36666666666666664</v>
      </c>
      <c r="H13" s="57">
        <f ca="1">SUMIF('Match Log'!$D$4:$D$1510,$B13,'Match Log'!$J$4:$J$1510)</f>
        <v>-72.435941609694353</v>
      </c>
      <c r="I13" s="57">
        <f ca="1">SUMIF('Match Log'!$D$4:$D$1510,$B13,'Match Log'!$K$4:$K$1510)</f>
        <v>-46.358701014251842</v>
      </c>
      <c r="J13" s="57">
        <f ca="1">SUMIF('Match Log'!$D$4:$D$1510,$B13,'Match Log'!$L$4:$L$1510)</f>
        <v>123</v>
      </c>
      <c r="K13" s="55">
        <f ca="1">SUMPRODUCT(--(COUNTIFS('Match Log'!$D$4:$D$1510,$B13,'Match Log'!$C$4:$C$1510,Lists!$C$2:$C$26)&gt;0))</f>
        <v>14</v>
      </c>
      <c r="L13" s="55" t="str">
        <f ca="1">IF($D13=0,"No games",IF(AND($D13&gt;='Guide &amp; Settings'!$C$45,$K13&gt;='Guide &amp; Settings'!$C$46),"Eligible","Provisional"))</f>
        <v>Eligible</v>
      </c>
      <c r="M13" s="54">
        <f ca="1">IFERROR(INDEX(Calcs!$C$7:$C$20,MATCH($B13,Calcs!$A$7:$A$20,0)),"")</f>
        <v>1171.4931823014049</v>
      </c>
      <c r="N13" s="54">
        <f t="shared" ca="1" si="3"/>
        <v>304.34932538489556</v>
      </c>
      <c r="O13" s="55" t="str">
        <f ca="1">IFERROR(INDEX(Calcs!$H$7:$H$20,MATCH($B13,Calcs!$A$7:$A$20,0)),"")</f>
        <v>W1</v>
      </c>
      <c r="P13" s="55" t="str">
        <f ca="1">IFERROR(INDEX(Calcs!$I$7:$I$20,MATCH($B13,Calcs!$A$7:$A$20,0)),"")</f>
        <v>WLWLW</v>
      </c>
      <c r="Q13" s="55" t="str">
        <f ca="1">IFERROR(IF(INDEX(Calcs!$L$7:$L$20,MATCH($B13,Calcs!$A$7:$A$20,0))&gt;0,"▲"&amp;INDEX(Calcs!$L$7:$L$20,MATCH($B13,Calcs!$A$7:$A$20,0)),IF(INDEX(Calcs!$L$7:$L$20,MATCH($B13,Calcs!$A$7:$A$20,0))&lt;0,"▼"&amp;ABS(INDEX(Calcs!$L$7:$L$20,MATCH($B13,Calcs!$A$7:$A$20,0))),"–")),"")</f>
        <v>▲2</v>
      </c>
      <c r="R13" s="55" t="str">
        <f ca="1">IFERROR(IF(INDEX(Calcs!$P$7:$P$20,MATCH($B13,Calcs!$A$7:$A$20,0))=0,"—",TEXT(INDEX(Calcs!$P$7:$P$20,MATCH($B13,Calcs!$A$7:$A$20,0)),"d mmm")),"")</f>
        <v>25 Oct</v>
      </c>
      <c r="S13" s="55">
        <f ca="1">IFERROR(ROUND(INDEX(Calcs!$Q$7:$Q$20,MATCH($B13,Calcs!$A$7:$A$20,0)),1),"")</f>
        <v>0.3</v>
      </c>
      <c r="T13" s="55" t="str">
        <f ca="1">IFERROR(INDEX(Calcs!$T$7:$T$20,MATCH($B13,Calcs!$A$7:$A$20,0)),"")</f>
        <v>Active</v>
      </c>
      <c r="U13">
        <f ca="1">IFERROR(ROUND(INDEX(Calcs!$R$7:$R$20,MATCH($B13,Calcs!$A$7:$A$20,0))+INDEX(Calcs!$U$7:$U$20,MATCH($B13,Calcs!$A$7:$A$20,0)),0),0)</f>
        <v>0</v>
      </c>
      <c r="V13" s="57">
        <f ca="1">IFERROR(ROUND(INDEX(Calcs!$S$7:$S$20,MATCH($B13,Calcs!$A$7:$A$20,0)),0),"")</f>
        <v>1004</v>
      </c>
      <c r="W13" s="55" t="str">
        <f ca="1">IFERROR(INDEX(Calcs!$AF$7:$AF$20,MATCH($B13,Calcs!$A$7:$A$20,0)),"")</f>
        <v>Strong</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308.55468276094962</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970.50724028215677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1106.0958792052386</v>
      </c>
      <c r="N15" s="54">
        <f t="shared" ca="1" si="3"/>
        <v>338.04744247879285</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3 Oct</v>
      </c>
      <c r="S15" s="55">
        <f ca="1">IFERROR(ROUND(INDEX(Calcs!$Q$7:$Q$20,MATCH($B15,Calcs!$A$7:$A$20,0)),1),"")</f>
        <v>3.4</v>
      </c>
      <c r="T15" s="55" t="str">
        <f ca="1">IFERROR(INDEX(Calcs!$T$7:$T$20,MATCH($B15,Calcs!$A$7:$A$20,0)),"")</f>
        <v>At risk</v>
      </c>
      <c r="U15">
        <f ca="1">IFERROR(ROUND(INDEX(Calcs!$R$7:$R$20,MATCH($B15,Calcs!$A$7:$A$20,0))+INDEX(Calcs!$U$7:$U$20,MATCH($B15,Calcs!$A$7:$A$20,0)),0),0)</f>
        <v>40</v>
      </c>
      <c r="V15" s="57">
        <f ca="1">IFERROR(ROUND(INDEX(Calcs!$S$7:$S$20,MATCH($B15,Calcs!$A$7:$A$20,0)),0),"")</f>
        <v>971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869.51759653351382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1102.0730391510867</v>
      </c>
      <c r="N16" s="54">
        <f t="shared" ca="1" si="3"/>
        <v>439.03708622743579</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19.100000000000001</v>
      </c>
      <c r="T16" s="55" t="str">
        <f ca="1">IFERROR(INDEX(Calcs!$T$7:$T$20,MATCH($B16,Calcs!$A$7:$A$20,0)),"")</f>
        <v>Inactive</v>
      </c>
      <c r="U16">
        <f ca="1">IFERROR(ROUND(INDEX(Calcs!$R$7:$R$20,MATCH($B16,Calcs!$A$7:$A$20,0))+INDEX(Calcs!$U$7:$U$20,MATCH($B16,Calcs!$A$7:$A$20,0)),0),0)</f>
        <v>160</v>
      </c>
      <c r="V16" s="57">
        <f ca="1">IFERROR(ROUND(INDEX(Calcs!$S$7:$S$20,MATCH($B16,Calcs!$A$7:$A$20,0)),0),"")</f>
        <v>870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827.03133644117429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1169.6302217328973</v>
      </c>
      <c r="N17" s="54">
        <f t="shared" ca="1" si="3"/>
        <v>481.52334631977533</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9.4</v>
      </c>
      <c r="T17" s="55" t="str">
        <f ca="1">IFERROR(INDEX(Calcs!$T$7:$T$20,MATCH($B17,Calcs!$A$7:$A$20,0)),"")</f>
        <v>Inactive</v>
      </c>
      <c r="U17">
        <f ca="1">IFERROR(ROUND(INDEX(Calcs!$R$7:$R$20,MATCH($B17,Calcs!$A$7:$A$20,0))+INDEX(Calcs!$U$7:$U$20,MATCH($B17,Calcs!$A$7:$A$20,0)),0),0)</f>
        <v>80</v>
      </c>
      <c r="V17" s="57">
        <f ca="1">IFERROR(ROUND(INDEX(Calcs!$S$7:$S$20,MATCH($B17,Calcs!$A$7:$A$20,0)),0),"")</f>
        <v>827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1137.5236820918742</v>
      </c>
      <c r="N18" s="54">
        <f t="shared" ca="1" si="3"/>
        <v>566.33173902417468</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14.3</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1308.5546827609496</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45–26</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0.63380281690140849</v>
      </c>
      <c r="D9" s="63" t="s">
        <v>37</v>
      </c>
      <c r="E9" s="37">
        <f>COUNTIFS('Match Log'!$D$4:$D$1510,$B$3,'Match Log'!$C$4:$C$1510,$D9)</f>
        <v>7</v>
      </c>
      <c r="F9" s="37">
        <f>COUNTIFS('Match Log'!$D$4:$D$1510,$B$3,'Match Log'!$C$4:$C$1510,$D9,'Match Log'!$E$4:$E$1510,"Win")</f>
        <v>4</v>
      </c>
      <c r="G9" s="64">
        <f t="shared" si="0"/>
        <v>0.5714285714285714</v>
      </c>
      <c r="H9" s="65">
        <f>IFERROR(IF($E9=0,"",INDEX('Sport Records'!$B$106:$O$130,MATCH($D9,'Sport Records'!$A$106:$A$130,0),MATCH($B$3,'Sport Records'!$B$105:$O$105,0))),"")</f>
        <v>1011.5691449895494</v>
      </c>
    </row>
    <row r="10" spans="1:8" ht="15" customHeight="1" x14ac:dyDescent="0.2">
      <c r="A10" s="61" t="s">
        <v>10</v>
      </c>
      <c r="B10" s="62">
        <f ca="1">IFERROR(INDEX(Dashboard!$D$5:$D$18,MATCH($B$3,Dashboard!$B$5:$B$18,0)),"")</f>
        <v>71</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1119.7007786931761</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W4</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LWWWW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18</v>
      </c>
      <c r="F16" s="40">
        <f>COUNTIFS('Match Log'!$D$4:$D$1510,$B$3,'Match Log'!$C$4:$C$1510,$D16,'Match Log'!$E$4:$E$1510,"Win")</f>
        <v>16</v>
      </c>
      <c r="G16" s="68">
        <f t="shared" si="0"/>
        <v>0.88888888888888884</v>
      </c>
      <c r="H16" s="69">
        <f>IFERROR(IF($E16=0,"",INDEX('Sport Records'!$B$106:$O$130,MATCH($D16,'Sport Records'!$A$106:$A$130,0),MATCH($B$3,'Sport Records'!$B$105:$O$105,0))),"")</f>
        <v>1129.9285906424818</v>
      </c>
    </row>
    <row r="17" spans="1:8" ht="15" customHeight="1" x14ac:dyDescent="0.2">
      <c r="A17" s="71" t="s">
        <v>278</v>
      </c>
      <c r="B17" s="72" t="str">
        <f ca="1">IFERROR(TEXT(INDEX(Calcs!$P$7:$P$20,MATCH($B$3,Calcs!$A$7:$A$20,0)),"d mmm")&amp;"  ·  "&amp;INDEX(Calcs!$T$7:$T$20,MATCH($B$3,Calcs!$A$7:$A$20,0)),"")</f>
        <v>27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88</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63</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80</v>
      </c>
      <c r="D28" s="63" t="s">
        <v>446</v>
      </c>
      <c r="E28" s="37">
        <f>COUNTIFS('Match Log'!$D$4:$D$1510,$B$3,'Match Log'!$C$4:$C$1510,$D28)</f>
        <v>4</v>
      </c>
      <c r="F28" s="37">
        <f>COUNTIFS('Match Log'!$D$4:$D$1510,$B$3,'Match Log'!$C$4:$C$1510,$D28,'Match Log'!$E$4:$E$1510,"Win")</f>
        <v>3</v>
      </c>
      <c r="G28" s="64">
        <f t="shared" si="0"/>
        <v>0.75</v>
      </c>
      <c r="H28" s="65">
        <f>IFERROR(IF($E28=0,"",INDEX('Sport Records'!$B$106:$O$130,MATCH($D28,'Sport Records'!$A$106:$A$130,0),MATCH($B$3,'Sport Records'!$B$105:$O$105,0))),"")</f>
        <v>1029.3182674333191</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53% of 30</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67% of 39</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53% of 36</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71% of 21</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47% of 30</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33% of 39</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47% of 36</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29% of 21</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41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40</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51</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33</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41</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40</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51</v>
      </c>
      <c r="H32" s="77">
        <f>IF($A32=H$21,0,SUMPRODUCT(('Match Log'!$D$4:$D$1510=$A32)*(COUNTIFS('Match Log'!$A$4:$A$1510,'Match Log'!$A$4:$A$1510,'Match Log'!$D$4:$D$1510,H$21)&gt;0)))</f>
        <v>33</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334</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11</v>
      </c>
      <c r="H9" s="83">
        <f>COUNTIFS('Match Log'!$D$4:$D$1510,H$7,'Match Log'!$C$4:$C$1510,$A9)</f>
        <v>7</v>
      </c>
      <c r="I9" s="83">
        <f>COUNTIFS('Match Log'!$D$4:$D$1510,I$7,'Match Log'!$C$4:$C$1510,$A9)</f>
        <v>10</v>
      </c>
      <c r="J9" s="83">
        <f>COUNTIFS('Match Log'!$D$4:$D$1510,J$7,'Match Log'!$C$4:$C$1510,$A9)</f>
        <v>4</v>
      </c>
      <c r="K9" s="83">
        <f>COUNTIFS('Match Log'!$D$4:$D$1510,K$7,'Match Log'!$C$4:$C$1510,$A9)</f>
        <v>0</v>
      </c>
      <c r="L9" s="83">
        <f>COUNTIFS('Match Log'!$D$4:$D$1510,L$7,'Match Log'!$C$4:$C$1510,$A9)</f>
        <v>7</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20</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7</v>
      </c>
      <c r="G12" s="83">
        <f>COUNTIFS('Match Log'!$D$4:$D$1510,G$7,'Match Log'!$C$4:$C$1510,$A12)</f>
        <v>1</v>
      </c>
      <c r="H12" s="83">
        <f>COUNTIFS('Match Log'!$D$4:$D$1510,H$7,'Match Log'!$C$4:$C$1510,$A12)</f>
        <v>2</v>
      </c>
      <c r="I12" s="83">
        <f>COUNTIFS('Match Log'!$D$4:$D$1510,I$7,'Match Log'!$C$4:$C$1510,$A12)</f>
        <v>14</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28</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18</v>
      </c>
      <c r="G19" s="83">
        <f>COUNTIFS('Match Log'!$D$4:$D$1510,G$7,'Match Log'!$C$4:$C$1510,$A19)</f>
        <v>15</v>
      </c>
      <c r="H19" s="83">
        <f>COUNTIFS('Match Log'!$D$4:$D$1510,H$7,'Match Log'!$C$4:$C$1510,$A19)</f>
        <v>10</v>
      </c>
      <c r="I19" s="83">
        <f>COUNTIFS('Match Log'!$D$4:$D$1510,I$7,'Match Log'!$C$4:$C$1510,$A19)</f>
        <v>19</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59</v>
      </c>
      <c r="Q19" s="85" t="str">
        <f t="shared" si="0"/>
        <v>Josh</v>
      </c>
      <c r="R19" s="84">
        <f t="shared" si="1"/>
        <v>16</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16</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23</v>
      </c>
      <c r="Q21" s="85" t="str">
        <f t="shared" si="0"/>
        <v>Oscar</v>
      </c>
      <c r="R21" s="84">
        <f t="shared" si="1"/>
        <v>9</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4</v>
      </c>
      <c r="G31" s="83">
        <f>COUNTIFS('Match Log'!$D$4:$D$1510,G$7,'Match Log'!$C$4:$C$1510,$A31)</f>
        <v>0</v>
      </c>
      <c r="H31" s="83">
        <f>COUNTIFS('Match Log'!$D$4:$D$1510,H$7,'Match Log'!$C$4:$C$1510,$A31)</f>
        <v>0</v>
      </c>
      <c r="I31" s="83">
        <f>COUNTIFS('Match Log'!$D$4:$D$1510,I$7,'Match Log'!$C$4:$C$1510,$A31)</f>
        <v>4</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4</v>
      </c>
      <c r="Q31" s="85" t="str">
        <f t="shared" si="0"/>
        <v>Josh</v>
      </c>
      <c r="R31" s="84">
        <f t="shared" si="1"/>
        <v>3</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2</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3</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4</v>
      </c>
      <c r="G39" s="83">
        <f>COUNTIFS('Match Log'!$D$4:$D$1510,G$34,'Match Log'!$C$4:$C$1510,$A39,'Match Log'!$E$4:$E$1510,"Win")</f>
        <v>1</v>
      </c>
      <c r="H39" s="83">
        <f>COUNTIFS('Match Log'!$D$4:$D$1510,H$34,'Match Log'!$C$4:$C$1510,$A39,'Match Log'!$E$4:$E$1510,"Win")</f>
        <v>2</v>
      </c>
      <c r="I39" s="83">
        <f>COUNTIFS('Match Log'!$D$4:$D$1510,I$34,'Match Log'!$C$4:$C$1510,$A39,'Match Log'!$E$4:$E$1510,"Win")</f>
        <v>6</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16</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1</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3</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0.27272727272727271</v>
      </c>
      <c r="H63" s="86">
        <f t="shared" si="3"/>
        <v>0.2857142857142857</v>
      </c>
      <c r="I63" s="86">
        <f t="shared" si="3"/>
        <v>0.3</v>
      </c>
      <c r="J63" s="86">
        <f t="shared" si="3"/>
        <v>0.25</v>
      </c>
      <c r="K63" s="86" t="str">
        <f t="shared" si="3"/>
        <v/>
      </c>
      <c r="L63" s="86">
        <f t="shared" si="3"/>
        <v>0.42857142857142855</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0.5714285714285714</v>
      </c>
      <c r="G66" s="86">
        <f t="shared" si="6"/>
        <v>1</v>
      </c>
      <c r="H66" s="86">
        <f t="shared" si="6"/>
        <v>1</v>
      </c>
      <c r="I66" s="86">
        <f t="shared" si="6"/>
        <v>0.42857142857142855</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0.88888888888888884</v>
      </c>
      <c r="G73" s="86">
        <f t="shared" si="13"/>
        <v>0.8666666666666667</v>
      </c>
      <c r="H73" s="86">
        <f t="shared" si="13"/>
        <v>0.5</v>
      </c>
      <c r="I73" s="86">
        <f t="shared" si="13"/>
        <v>0.15789473684210525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6.25E-2</v>
      </c>
      <c r="H75" s="86">
        <f t="shared" si="15"/>
        <v>0</v>
      </c>
      <c r="I75" s="86">
        <f t="shared" si="15"/>
        <v>0.42857142857142855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0.75</v>
      </c>
      <c r="G85" s="86" t="str">
        <f t="shared" si="25"/>
        <v/>
      </c>
      <c r="H85" s="86" t="str">
        <f t="shared" si="25"/>
        <v/>
      </c>
      <c r="I85" s="86">
        <f t="shared" si="25"/>
        <v>0.25</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1177.9015417269482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71</v>
      </c>
      <c r="C90" s="83">
        <f>SUMPRODUCT(--(COUNTIFS('Match Log'!$D$4:$D$1510,$A90,'Match Log'!$C$4:$C$1510,Lists!$C$2:$C$26)&gt;0))</f>
        <v>15</v>
      </c>
      <c r="D90" s="83">
        <f>COUNTIFS('Match Log'!$D$4:$D$1510,$A90,'Match Log'!$E$4:$E$1510,"Win")</f>
        <v>45</v>
      </c>
      <c r="E90" s="86">
        <f t="shared" si="27"/>
        <v>0.63380281690140849</v>
      </c>
      <c r="F90" s="88">
        <f ca="1">IFERROR(INDEX(Calcs!$S$7:$S$20,MATCH($A90,Calcs!$A$7:$A$20,0)),"")</f>
        <v>1308.5546827609496</v>
      </c>
      <c r="G90" s="83" t="str">
        <f>IF($B90=0,"No games",IF(AND($B90&gt;='Guide &amp; Settings'!$C$45,$C90&gt;='Guide &amp; Settings'!$C$46),"Eligible","Provisional"))</f>
        <v>Eligible</v>
      </c>
      <c r="S90" s="89">
        <f ca="1">IF($G90="Eligible",IF(IFERROR(INDEX(Calcs!$T$7:$T$20,MATCH($A90,Calcs!$A$7:$A$20,0)),"")="Inactive",-1,$F90),-1)</f>
        <v>1308.5546827609496</v>
      </c>
    </row>
    <row r="91" spans="1:19" ht="15" customHeight="1" x14ac:dyDescent="0.2">
      <c r="A91" s="82" t="s">
        <v>21</v>
      </c>
      <c r="B91" s="83">
        <f>COUNTIF('Match Log'!$D$4:$D$1510,$A91)</f>
        <v>44</v>
      </c>
      <c r="C91" s="83">
        <f>SUMPRODUCT(--(COUNTIFS('Match Log'!$D$4:$D$1510,$A91,'Match Log'!$C$4:$C$1510,Lists!$C$2:$C$26)&gt;0))</f>
        <v>12</v>
      </c>
      <c r="D91" s="83">
        <f>COUNTIFS('Match Log'!$D$4:$D$1510,$A91,'Match Log'!$E$4:$E$1510,"Win")</f>
        <v>23</v>
      </c>
      <c r="E91" s="86">
        <f t="shared" si="27"/>
        <v>0.52272727272727271</v>
      </c>
      <c r="F91" s="88">
        <f ca="1">IFERROR(INDEX(Calcs!$S$7:$S$20,MATCH($A91,Calcs!$A$7:$A$20,0)),"")</f>
        <v>1174.9945492849279</v>
      </c>
      <c r="G91" s="83" t="str">
        <f>IF($B91=0,"No games",IF(AND($B91&gt;='Guide &amp; Settings'!$C$45,$C91&gt;='Guide &amp; Settings'!$C$46),"Eligible","Provisional"))</f>
        <v>Eligible</v>
      </c>
      <c r="S91" s="89">
        <f ca="1">IF($G91="Eligible",IF(IFERROR(INDEX(Calcs!$T$7:$T$20,MATCH($A91,Calcs!$A$7:$A$20,0)),"")="Inactive",-1,$F91),-1)</f>
        <v>1174.9945492849279</v>
      </c>
    </row>
    <row r="92" spans="1:19" ht="15" customHeight="1" x14ac:dyDescent="0.2">
      <c r="A92" s="82" t="s">
        <v>25</v>
      </c>
      <c r="B92" s="83">
        <f>COUNTIF('Match Log'!$D$4:$D$1510,$A92)</f>
        <v>90</v>
      </c>
      <c r="C92" s="83">
        <f>SUMPRODUCT(--(COUNTIFS('Match Log'!$D$4:$D$1510,$A92,'Match Log'!$C$4:$C$1510,Lists!$C$2:$C$26)&gt;0))</f>
        <v>14</v>
      </c>
      <c r="D92" s="83">
        <f>COUNTIFS('Match Log'!$D$4:$D$1510,$A92,'Match Log'!$E$4:$E$1510,"Win")</f>
        <v>33</v>
      </c>
      <c r="E92" s="86">
        <f t="shared" si="27"/>
        <v>0.36666666666666664</v>
      </c>
      <c r="F92" s="88">
        <f ca="1">IFERROR(INDEX(Calcs!$S$7:$S$20,MATCH($A92,Calcs!$A$7:$A$20,0)),"")</f>
        <v>1004.2053573760541</v>
      </c>
      <c r="G92" s="83" t="str">
        <f>IF($B92=0,"No games",IF(AND($B92&gt;='Guide &amp; Settings'!$C$45,$C92&gt;='Guide &amp; Settings'!$C$46),"Eligible","Provisional"))</f>
        <v>Eligible</v>
      </c>
      <c r="S92" s="89">
        <f ca="1">IF($G92="Eligible",IF(IFERROR(INDEX(Calcs!$T$7:$T$20,MATCH($A92,Calcs!$A$7:$A$20,0)),"")="Inactive",-1,$F92),-1)</f>
        <v>1004.2053573760541</v>
      </c>
    </row>
    <row r="93" spans="1:19" ht="15" customHeight="1" x14ac:dyDescent="0.2">
      <c r="A93" s="82" t="s">
        <v>22</v>
      </c>
      <c r="B93" s="83">
        <f>COUNTIF('Match Log'!$D$4:$D$1510,$A93)</f>
        <v>168</v>
      </c>
      <c r="C93" s="83">
        <f>SUMPRODUCT(--(COUNTIFS('Match Log'!$D$4:$D$1510,$A93,'Match Log'!$C$4:$C$1510,Lists!$C$2:$C$26)&gt;0))</f>
        <v>20</v>
      </c>
      <c r="D93" s="83">
        <f>COUNTIFS('Match Log'!$D$4:$D$1510,$A93,'Match Log'!$E$4:$E$1510,"Win")</f>
        <v>70</v>
      </c>
      <c r="E93" s="86">
        <f t="shared" si="27"/>
        <v>0.41666666666666669</v>
      </c>
      <c r="F93" s="88">
        <f ca="1">IFERROR(INDEX(Calcs!$S$7:$S$20,MATCH($A93,Calcs!$A$7:$A$20,0)),"")</f>
        <v>1120.0804966817298</v>
      </c>
      <c r="G93" s="83" t="str">
        <f>IF($B93=0,"No games",IF(AND($B93&gt;='Guide &amp; Settings'!$C$45,$C93&gt;='Guide &amp; Settings'!$C$46),"Eligible","Provisional"))</f>
        <v>Eligible</v>
      </c>
      <c r="S93" s="89">
        <f ca="1">IF($G93="Eligible",IF(IFERROR(INDEX(Calcs!$T$7:$T$20,MATCH($A93,Calcs!$A$7:$A$20,0)),"")="Inactive",-1,$F93),-1)</f>
        <v>1120.0804966817298</v>
      </c>
    </row>
    <row r="94" spans="1:19" ht="15" customHeight="1" x14ac:dyDescent="0.2">
      <c r="A94" s="82" t="s">
        <v>15</v>
      </c>
      <c r="B94" s="83">
        <f>COUNTIF('Match Log'!$D$4:$D$1510,$A94)</f>
        <v>94</v>
      </c>
      <c r="C94" s="83">
        <f>SUMPRODUCT(--(COUNTIFS('Match Log'!$D$4:$D$1510,$A94,'Match Log'!$C$4:$C$1510,Lists!$C$2:$C$26)&gt;0))</f>
        <v>14</v>
      </c>
      <c r="D94" s="83">
        <f>COUNTIFS('Match Log'!$D$4:$D$1510,$A94,'Match Log'!$E$4:$E$1510,"Win")</f>
        <v>44</v>
      </c>
      <c r="E94" s="86">
        <f t="shared" si="27"/>
        <v>0.46808510638297873</v>
      </c>
      <c r="F94" s="88">
        <f ca="1">IFERROR(INDEX(Calcs!$S$7:$S$20,MATCH($A94,Calcs!$A$7:$A$20,0)),"")</f>
        <v>1223.1911759451084</v>
      </c>
      <c r="G94" s="83" t="str">
        <f>IF($B94=0,"No games",IF(AND($B94&gt;='Guide &amp; Settings'!$C$45,$C94&gt;='Guide &amp; Settings'!$C$46),"Eligible","Provisional"))</f>
        <v>Eligible</v>
      </c>
      <c r="S94" s="89">
        <f ca="1">IF($G94="Eligible",IF(IFERROR(INDEX(Calcs!$T$7:$T$20,MATCH($A94,Calcs!$A$7:$A$20,0)),"")="Inactive",-1,$F94),-1)</f>
        <v>1223.1911759451084</v>
      </c>
    </row>
    <row r="95" spans="1:19" ht="15" customHeight="1" x14ac:dyDescent="0.2">
      <c r="A95" s="82" t="s">
        <v>20</v>
      </c>
      <c r="B95" s="83">
        <f>COUNTIF('Match Log'!$D$4:$D$1510,$A95)</f>
        <v>172</v>
      </c>
      <c r="C95" s="83">
        <f>SUMPRODUCT(--(COUNTIFS('Match Log'!$D$4:$D$1510,$A95,'Match Log'!$C$4:$C$1510,Lists!$C$2:$C$26)&gt;0))</f>
        <v>19</v>
      </c>
      <c r="D95" s="83">
        <f>COUNTIFS('Match Log'!$D$4:$D$1510,$A95,'Match Log'!$E$4:$E$1510,"Win")</f>
        <v>80</v>
      </c>
      <c r="E95" s="86">
        <f t="shared" si="27"/>
        <v>0.46511627906976744</v>
      </c>
      <c r="F95" s="88">
        <f ca="1">IFERROR(INDEX(Calcs!$S$7:$S$20,MATCH($A95,Calcs!$A$7:$A$20,0)),"")</f>
        <v>1196.1680814643371</v>
      </c>
      <c r="G95" s="83" t="str">
        <f>IF($B95=0,"No games",IF(AND($B95&gt;='Guide &amp; Settings'!$C$45,$C95&gt;='Guide &amp; Settings'!$C$46),"Eligible","Provisional"))</f>
        <v>Eligible</v>
      </c>
      <c r="S95" s="89">
        <f ca="1">IF($G95="Eligible",IF(IFERROR(INDEX(Calcs!$T$7:$T$20,MATCH($A95,Calcs!$A$7:$A$20,0)),"")="Inactive",-1,$F95),-1)</f>
        <v>1196.1680814643371</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1017.5488947064855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827.03133644117429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973.73504678032145</v>
      </c>
      <c r="H107" s="88">
        <f>IFERROR(LOOKUP(2,1/(('Match Log'!$D$4:$D$1510=H$105)*('Match Log'!$C$4:$C$1510=$A107)),'Match Log'!$AB$4:$AB$1510),"")</f>
        <v>989.73668858730241</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1010.2362294568643</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1011.5691449895494</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977.96068592683184</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1129.9285906424818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880.30460091655812</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Josh</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1029.3182674333191</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970.68173256668092</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172</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59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4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85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4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172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59 contests.</v>
      </c>
      <c r="B11" s="97"/>
      <c r="C11" s="97"/>
      <c r="D11" s="102"/>
      <c r="E11" s="103"/>
      <c r="F11" s="97"/>
    </row>
    <row r="12" spans="1:6" ht="15" customHeight="1" x14ac:dyDescent="0.2">
      <c r="A12" s="98" t="str">
        <f>"🎲  "&amp;MAX('Match Log'!$A$4:$A$1510)&amp;" games played across "&amp;COUNTIF('Sport Records'!$P$8:$P$32,"&gt;0")&amp;" different sports — and counting."</f>
        <v>🎲  334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1309</v>
      </c>
      <c r="D17" s="109" t="str">
        <f>"leader"</f>
        <v>leader</v>
      </c>
      <c r="E17" s="105"/>
      <c r="F17" s="27"/>
    </row>
    <row r="18" spans="1:6" ht="15" customHeight="1" x14ac:dyDescent="0.2">
      <c r="A18" s="110">
        <v>2</v>
      </c>
      <c r="B18" s="62" t="str">
        <f ca="1">Dashboard!$B$6</f>
        <v>Aaron</v>
      </c>
      <c r="C18" s="144">
        <f ca="1">ROUND(Dashboard!$C$6,0)</f>
        <v>1223</v>
      </c>
      <c r="D18" s="111" t="str">
        <f ca="1">ROUND(Dashboard!$C$5-Dashboard!$C$6,0)&amp;" behind"</f>
        <v>85 behind</v>
      </c>
      <c r="E18" s="105"/>
      <c r="F18" s="27"/>
    </row>
    <row r="19" spans="1:6" ht="15" customHeight="1" x14ac:dyDescent="0.2">
      <c r="A19" s="110">
        <v>3</v>
      </c>
      <c r="B19" s="62" t="str">
        <f ca="1">Dashboard!$B$7</f>
        <v>Shawn</v>
      </c>
      <c r="C19" s="144">
        <f ca="1">ROUND(Dashboard!$C$7,0)</f>
        <v>1196</v>
      </c>
      <c r="D19" s="111" t="str">
        <f ca="1">ROUND(Dashboard!$C$5-Dashboard!$C$7,0)&amp;" behind"</f>
        <v>112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W</v>
      </c>
      <c r="E44" s="113" t="str">
        <f>IFERROR(IF(INDEX('Match Log'!$E$1:$E$1510,_xlfn.AGGREGATE(14,6,ROW('Match Log'!$A$4:$A$1510)/('Match Log'!$D$4:$D$1510=$A44),7))="Win","W","L"),"")</f>
        <v>W</v>
      </c>
      <c r="F44" s="113" t="str">
        <f>IFERROR(IF(INDEX('Match Log'!$E$1:$E$1510,_xlfn.AGGREGATE(14,6,ROW('Match Log'!$A$4:$A$1510)/('Match Log'!$D$4:$D$1510=$A44),6))="Win","W","L"),"")</f>
        <v>W</v>
      </c>
      <c r="G44" s="113" t="str">
        <f>IFERROR(IF(INDEX('Match Log'!$E$1:$E$1510,_xlfn.AGGREGATE(14,6,ROW('Match Log'!$A$4:$A$1510)/('Match Log'!$D$4:$D$1510=$A44),5))="Win","W","L"),"")</f>
        <v>L</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W</v>
      </c>
      <c r="G45" s="113" t="str">
        <f>IFERROR(IF(INDEX('Match Log'!$E$1:$E$1510,_xlfn.AGGREGATE(14,6,ROW('Match Log'!$A$4:$A$1510)/('Match Log'!$D$4:$D$1510=$A45),5))="Win","W","L"),"")</f>
        <v>W</v>
      </c>
      <c r="H45" s="113" t="str">
        <f>IFERROR(IF(INDEX('Match Log'!$E$1:$E$1510,_xlfn.AGGREGATE(14,6,ROW('Match Log'!$A$4:$A$1510)/('Match Log'!$D$4:$D$1510=$A45),4))="Win","W","L"),"")</f>
        <v>L</v>
      </c>
      <c r="I45" s="113" t="str">
        <f>IFERROR(IF(INDEX('Match Log'!$E$1:$E$1510,_xlfn.AGGREGATE(14,6,ROW('Match Log'!$A$4:$A$1510)/('Match Log'!$D$4:$D$1510=$A45),3))="Win","W","L"),"")</f>
        <v>W</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L</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W</v>
      </c>
      <c r="F46" s="113" t="str">
        <f>IFERROR(IF(INDEX('Match Log'!$E$1:$E$1510,_xlfn.AGGREGATE(14,6,ROW('Match Log'!$A$4:$A$1510)/('Match Log'!$D$4:$D$1510=$A46),6))="Win","W","L"),"")</f>
        <v>W</v>
      </c>
      <c r="G46" s="113" t="str">
        <f>IFERROR(IF(INDEX('Match Log'!$E$1:$E$1510,_xlfn.AGGREGATE(14,6,ROW('Match Log'!$A$4:$A$1510)/('Match Log'!$D$4:$D$1510=$A46),5))="Win","W","L"),"")</f>
        <v>W</v>
      </c>
      <c r="H46" s="113" t="str">
        <f>IFERROR(IF(INDEX('Match Log'!$E$1:$E$1510,_xlfn.AGGREGATE(14,6,ROW('Match Log'!$A$4:$A$1510)/('Match Log'!$D$4:$D$1510=$A46),4))="Win","W","L"),"")</f>
        <v>L</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W</v>
      </c>
      <c r="D47" s="113" t="str">
        <f>IFERROR(IF(INDEX('Match Log'!$E$1:$E$1510,_xlfn.AGGREGATE(14,6,ROW('Match Log'!$A$4:$A$1510)/('Match Log'!$D$4:$D$1510=$A47),8))="Win","W","L"),"")</f>
        <v>L</v>
      </c>
      <c r="E47" s="113" t="str">
        <f>IFERROR(IF(INDEX('Match Log'!$E$1:$E$1510,_xlfn.AGGREGATE(14,6,ROW('Match Log'!$A$4:$A$1510)/('Match Log'!$D$4:$D$1510=$A47),7))="Win","W","L"),"")</f>
        <v>L</v>
      </c>
      <c r="F47" s="113" t="str">
        <f>IFERROR(IF(INDEX('Match Log'!$E$1:$E$1510,_xlfn.AGGREGATE(14,6,ROW('Match Log'!$A$4:$A$1510)/('Match Log'!$D$4:$D$1510=$A47),6))="Win","W","L"),"")</f>
        <v>L</v>
      </c>
      <c r="G47" s="113" t="str">
        <f>IFERROR(IF(INDEX('Match Log'!$E$1:$E$1510,_xlfn.AGGREGATE(14,6,ROW('Match Log'!$A$4:$A$1510)/('Match Log'!$D$4:$D$1510=$A47),5))="Win","W","L"),"")</f>
        <v>W</v>
      </c>
      <c r="H47" s="113" t="str">
        <f>IFERROR(IF(INDEX('Match Log'!$E$1:$E$1510,_xlfn.AGGREGATE(14,6,ROW('Match Log'!$A$4:$A$1510)/('Match Log'!$D$4:$D$1510=$A47),4))="Win","W","L"),"")</f>
        <v>L</v>
      </c>
      <c r="I47" s="113" t="str">
        <f>IFERROR(IF(INDEX('Match Log'!$E$1:$E$1510,_xlfn.AGGREGATE(14,6,ROW('Match Log'!$A$4:$A$1510)/('Match Log'!$D$4:$D$1510=$A47),3))="Win","W","L"),"")</f>
        <v>L</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L</v>
      </c>
      <c r="D50" s="113" t="str">
        <f>IFERROR(IF(INDEX('Match Log'!$E$1:$E$1510,_xlfn.AGGREGATE(14,6,ROW('Match Log'!$A$4:$A$1510)/('Match Log'!$D$4:$D$1510=$A50),8))="Win","W","L"),"")</f>
        <v>W</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W</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0.5714285714285714</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0.88888888888888884</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0.75</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0.27272727272727271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0.2857142857142857</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0.42857142857142855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0.15789473684210525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0.25</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0.42857142857142855</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v>329</v>
      </c>
      <c r="B776" s="118">
        <v>46322</v>
      </c>
      <c r="C776" s="119" t="s">
        <v>37</v>
      </c>
      <c r="D776" s="119" t="s">
        <v>19</v>
      </c>
      <c r="E776" s="117" t="s">
        <v>370</v>
      </c>
      <c r="F776" s="120">
        <f t="shared" si="240"/>
        <v>2</v>
      </c>
      <c r="G776" s="121" t="str">
        <f t="shared" si="241"/>
        <v>Josh</v>
      </c>
      <c r="H776" s="122">
        <f>IF($D776="",0,IFERROR(LOOKUP(2,1/(($D$3:D775=$D776)*($A$3:A775&lt;$A776)),$N$3:N775),'Guide &amp; Settings'!$C$41))</f>
        <v>1251.9358369946654</v>
      </c>
      <c r="I776" s="123">
        <f t="shared" si="242"/>
        <v>0.5714285714285714</v>
      </c>
      <c r="J776" s="124">
        <f>IF($D776="",0,IF($F776&lt;2,0,IF($E776="Win",('Guide &amp; Settings'!$C$42/(($F776-1)*COUNTIFS($A$4:$A$1510,$A776,$E$4:$E$1510,"Win")))*SUMIFS($X$4:$X$1510,$A$4:$A$1510,$A776,$E$4:$E$1510,"Loss"),-('Guide &amp; Settings'!$C$42/($F776-1))*$X776)))</f>
        <v>11.191880457662304</v>
      </c>
      <c r="K776" s="124">
        <f>IF($D776="",0,'Guide &amp; Settings'!$C$43*(IF($E776="Win",1,0)-$I776))</f>
        <v>5.1428571428571432</v>
      </c>
      <c r="L776" s="125">
        <f>IF($D776="",0,'Guide &amp; Settings'!$C$44*IF($F776&gt;=3,$F776,0))</f>
        <v>0</v>
      </c>
      <c r="M776" s="124">
        <f t="shared" si="243"/>
        <v>16.334737600519446</v>
      </c>
      <c r="N776" s="122">
        <f t="shared" si="244"/>
        <v>1268.2705745951848</v>
      </c>
      <c r="O776" s="121" t="str">
        <f t="shared" si="245"/>
        <v>OK</v>
      </c>
      <c r="P776">
        <f t="shared" si="246"/>
        <v>1251.9358369946654</v>
      </c>
      <c r="Q776">
        <f t="shared" si="247"/>
        <v>0.5</v>
      </c>
      <c r="R776">
        <f t="shared" si="248"/>
        <v>0.5714285714285714</v>
      </c>
      <c r="S776">
        <f t="shared" si="249"/>
        <v>1</v>
      </c>
      <c r="T776" s="89">
        <f t="shared" si="250"/>
        <v>5</v>
      </c>
      <c r="U776" s="126">
        <f>IF($D776="",0,IFERROR(LOOKUP(2,1/(($D$3:D775=$D776)*($C$3:C775=$C776)*($A$3:A775&lt;$A776)),$AB$3:AB775),1000))</f>
        <v>1016.8703665756711</v>
      </c>
      <c r="V776" s="126">
        <f t="shared" si="251"/>
        <v>1134.4031017851682</v>
      </c>
      <c r="W776">
        <f t="shared" si="252"/>
        <v>1134.4031017851682</v>
      </c>
      <c r="X776">
        <f t="shared" si="253"/>
        <v>0.5</v>
      </c>
      <c r="Y776">
        <f t="shared" si="254"/>
        <v>1016.8703665756711</v>
      </c>
      <c r="Z776">
        <f t="shared" si="255"/>
        <v>0.5</v>
      </c>
      <c r="AA776">
        <f>IF($D776="",0,IF($F776&lt;2,0,IF($E776="Win",('Guide &amp; Settings'!$C$42/(($F776-1)*COUNTIFS($A$4:$A$1510,$A776,$E$4:$E$1510,"Win")))*SUMIFS($Z$4:$Z$1510,$A$4:$A$1510,$A776,$E$4:$E$1510,"Loss"),-('Guide &amp; Settings'!$C$42/($F776-1))*$Z776)))</f>
        <v>13.974931145270624</v>
      </c>
      <c r="AB776" s="126">
        <f t="shared" si="256"/>
        <v>1030.8452977209417</v>
      </c>
      <c r="AC776" s="126">
        <f>IF($D776="","",IF($AD776=0,0,IF(COUNTIFS($D$4:$D776,$D776,$B$4:$B776,$B776)&gt;1,0,IF($B776&lt;'Guide &amp; Settings'!$C$50,0,IF(($B776-$AD776)/7-'Guide &amp; Settings'!$C$48&gt;=0,(INT(($B776-$AD776)/7-'Guide &amp; Settings'!$C$48)+1)*'Guide &amp; Settings'!$C$49,0)))))</f>
        <v>0</v>
      </c>
      <c r="AD776" s="142">
        <f t="shared" si="257"/>
        <v>46303</v>
      </c>
      <c r="AE776">
        <f t="shared" si="258"/>
        <v>1</v>
      </c>
      <c r="AF776">
        <f t="shared" si="259"/>
        <v>0</v>
      </c>
    </row>
    <row r="777" spans="1:32" x14ac:dyDescent="0.2">
      <c r="A777" s="117">
        <v>329</v>
      </c>
      <c r="B777" s="118">
        <v>46322</v>
      </c>
      <c r="C777" s="119" t="s">
        <v>37</v>
      </c>
      <c r="D777" s="119" t="s">
        <v>22</v>
      </c>
      <c r="E777" s="117" t="s">
        <v>371</v>
      </c>
      <c r="F777" s="120">
        <f t="shared" si="240"/>
        <v>2</v>
      </c>
      <c r="G777" s="121" t="str">
        <f t="shared" si="241"/>
        <v>Josh</v>
      </c>
      <c r="H777" s="122">
        <f>IF($D777="",0,IFERROR(LOOKUP(2,1/(($D$3:D776=$D777)*($A$3:A776&lt;$A777)),$N$3:N776),'Guide &amp; Settings'!$C$41))</f>
        <v>1156.2993424480139</v>
      </c>
      <c r="I777" s="123">
        <f t="shared" si="242"/>
        <v>0.42857142857142855</v>
      </c>
      <c r="J777" s="124">
        <f>IF($D777="",0,IF($F777&lt;2,0,IF($E777="Win",('Guide &amp; Settings'!$C$42/(($F777-1)*COUNTIFS($A$4:$A$1510,$A777,$E$4:$E$1510,"Win")))*SUMIFS($X$4:$X$1510,$A$4:$A$1510,$A777,$E$4:$E$1510,"Loss"),-('Guide &amp; Settings'!$C$42/($F777-1))*$X777)))</f>
        <v>-11.191880457662304</v>
      </c>
      <c r="K777" s="124">
        <f>IF($D777="",0,'Guide &amp; Settings'!$C$43*(IF($E777="Win",1,0)-$I777))</f>
        <v>-5.1428571428571423</v>
      </c>
      <c r="L777" s="125">
        <f>IF($D777="",0,'Guide &amp; Settings'!$C$44*IF($F777&gt;=3,$F777,0))</f>
        <v>0</v>
      </c>
      <c r="M777" s="124">
        <f t="shared" si="243"/>
        <v>-16.334737600519446</v>
      </c>
      <c r="N777" s="122">
        <f t="shared" si="244"/>
        <v>1139.9646048474945</v>
      </c>
      <c r="O777" s="121" t="str">
        <f t="shared" si="245"/>
        <v>OK</v>
      </c>
      <c r="P777">
        <f t="shared" si="246"/>
        <v>1251.9358369946654</v>
      </c>
      <c r="Q777">
        <f t="shared" si="247"/>
        <v>0.36574193694979046</v>
      </c>
      <c r="R777">
        <f t="shared" si="248"/>
        <v>0.42857142857142855</v>
      </c>
      <c r="S777">
        <f t="shared" si="249"/>
        <v>1</v>
      </c>
      <c r="T777" s="89">
        <f t="shared" si="250"/>
        <v>12</v>
      </c>
      <c r="U777" s="126">
        <f>IF($D777="",0,IFERROR(LOOKUP(2,1/(($D$3:D776=$D777)*($C$3:C776=$C777)*($A$3:A776&lt;$A777)),$AB$3:AB776),1000))</f>
        <v>972.65946434071009</v>
      </c>
      <c r="V777" s="126">
        <f t="shared" si="251"/>
        <v>1026.6711931957996</v>
      </c>
      <c r="W777">
        <f t="shared" si="252"/>
        <v>1134.4031017851682</v>
      </c>
      <c r="X777">
        <f t="shared" si="253"/>
        <v>0.349746264301947</v>
      </c>
      <c r="Y777">
        <f t="shared" si="254"/>
        <v>1016.8703665756711</v>
      </c>
      <c r="Z777">
        <f t="shared" si="255"/>
        <v>0.43671659828970699</v>
      </c>
      <c r="AA777">
        <f>IF($D777="",0,IF($F777&lt;2,0,IF($E777="Win",('Guide &amp; Settings'!$C$42/(($F777-1)*COUNTIFS($A$4:$A$1510,$A777,$E$4:$E$1510,"Win")))*SUMIFS($Z$4:$Z$1510,$A$4:$A$1510,$A777,$E$4:$E$1510,"Loss"),-('Guide &amp; Settings'!$C$42/($F777-1))*$Z777)))</f>
        <v>-13.974931145270624</v>
      </c>
      <c r="AB777" s="126">
        <f t="shared" si="256"/>
        <v>958.68453319543949</v>
      </c>
      <c r="AC777" s="126">
        <f>IF($D777="","",IF($AD777=0,0,IF(COUNTIFS($D$4:$D777,$D777,$B$4:$B777,$B777)&gt;1,0,IF($B777&lt;'Guide &amp; Settings'!$C$50,0,IF(($B777-$AD777)/7-'Guide &amp; Settings'!$C$48&gt;=0,(INT(($B777-$AD777)/7-'Guide &amp; Settings'!$C$48)+1)*'Guide &amp; Settings'!$C$49,0)))))</f>
        <v>0</v>
      </c>
      <c r="AD777" s="142">
        <f t="shared" si="257"/>
        <v>46319</v>
      </c>
      <c r="AE777">
        <f t="shared" si="258"/>
        <v>1</v>
      </c>
      <c r="AF777">
        <f t="shared" si="259"/>
        <v>0</v>
      </c>
    </row>
    <row r="778" spans="1:32" x14ac:dyDescent="0.2">
      <c r="A778" s="117">
        <v>330</v>
      </c>
      <c r="B778" s="118">
        <v>46322</v>
      </c>
      <c r="C778" s="119" t="s">
        <v>37</v>
      </c>
      <c r="D778" s="119" t="s">
        <v>22</v>
      </c>
      <c r="E778" s="117" t="s">
        <v>370</v>
      </c>
      <c r="F778" s="120">
        <f t="shared" si="240"/>
        <v>2</v>
      </c>
      <c r="G778" s="121" t="str">
        <f t="shared" si="241"/>
        <v>Daniel (Ferret)</v>
      </c>
      <c r="H778" s="122">
        <f>IF($D778="",0,IFERROR(LOOKUP(2,1/(($D$3:D777=$D778)*($A$3:A777&lt;$A778)),$N$3:N777),'Guide &amp; Settings'!$C$41))</f>
        <v>1139.9646048474945</v>
      </c>
      <c r="I778" s="123">
        <f t="shared" si="242"/>
        <v>0.39024390243902446</v>
      </c>
      <c r="J778" s="124">
        <f>IF($D778="",0,IF($F778&lt;2,0,IF($E778="Win",('Guide &amp; Settings'!$C$42/(($F778-1)*COUNTIFS($A$4:$A$1510,$A778,$E$4:$E$1510,"Win")))*SUMIFS($X$4:$X$1510,$A$4:$A$1510,$A778,$E$4:$E$1510,"Loss"),-('Guide &amp; Settings'!$C$42/($F778-1))*$X778)))</f>
        <v>21.711124789180094</v>
      </c>
      <c r="K778" s="124">
        <f>IF($D778="",0,'Guide &amp; Settings'!$C$43*(IF($E778="Win",1,0)-$I778))</f>
        <v>7.3170731707317058</v>
      </c>
      <c r="L778" s="125">
        <f>IF($D778="",0,'Guide &amp; Settings'!$C$44*IF($F778&gt;=3,$F778,0))</f>
        <v>0</v>
      </c>
      <c r="M778" s="124">
        <f t="shared" si="243"/>
        <v>29.0281979599118</v>
      </c>
      <c r="N778" s="122">
        <f t="shared" si="244"/>
        <v>1168.9928028074062</v>
      </c>
      <c r="O778" s="121" t="str">
        <f t="shared" si="245"/>
        <v>OK</v>
      </c>
      <c r="P778">
        <f t="shared" si="246"/>
        <v>1139.9646048474945</v>
      </c>
      <c r="Q778">
        <f t="shared" si="247"/>
        <v>0.5</v>
      </c>
      <c r="R778">
        <f t="shared" si="248"/>
        <v>0.4</v>
      </c>
      <c r="S778">
        <f t="shared" si="249"/>
        <v>1.0249999999999999</v>
      </c>
      <c r="T778" s="89">
        <f t="shared" si="250"/>
        <v>13</v>
      </c>
      <c r="U778" s="126">
        <f>IF($D778="",0,IFERROR(LOOKUP(2,1/(($D$3:D777=$D778)*($C$3:C777=$C778)*($A$3:A777&lt;$A778)),$AB$3:AB777),1000))</f>
        <v>958.68453319543949</v>
      </c>
      <c r="V778" s="126">
        <f t="shared" si="251"/>
        <v>1009.0401086543436</v>
      </c>
      <c r="W778">
        <f t="shared" si="252"/>
        <v>1009.0401086543436</v>
      </c>
      <c r="X778">
        <f t="shared" si="253"/>
        <v>0.5</v>
      </c>
      <c r="Y778">
        <f t="shared" si="254"/>
        <v>958.68453319543949</v>
      </c>
      <c r="Z778">
        <f t="shared" si="255"/>
        <v>0.5</v>
      </c>
      <c r="AA778">
        <f>IF($D778="",0,IF($F778&lt;2,0,IF($E778="Win",('Guide &amp; Settings'!$C$42/(($F778-1)*COUNTIFS($A$4:$A$1510,$A778,$E$4:$E$1510,"Win")))*SUMIFS($Z$4:$Z$1510,$A$4:$A$1510,$A778,$E$4:$E$1510,"Loss"),-('Guide &amp; Settings'!$C$42/($F778-1))*$Z778)))</f>
        <v>19.276152731392337</v>
      </c>
      <c r="AB778" s="126">
        <f t="shared" si="256"/>
        <v>977.96068592683184</v>
      </c>
      <c r="AC778" s="126">
        <f>IF($D778="","",IF($AD778=0,0,IF(COUNTIFS($D$4:$D778,$D778,$B$4:$B778,$B778)&gt;1,0,IF($B778&lt;'Guide &amp; Settings'!$C$50,0,IF(($B778-$AD778)/7-'Guide &amp; Settings'!$C$48&gt;=0,(INT(($B778-$AD778)/7-'Guide &amp; Settings'!$C$48)+1)*'Guide &amp; Settings'!$C$49,0)))))</f>
        <v>0</v>
      </c>
      <c r="AD778" s="142">
        <f t="shared" si="257"/>
        <v>46319</v>
      </c>
      <c r="AE778">
        <f t="shared" si="258"/>
        <v>1</v>
      </c>
      <c r="AF778">
        <f t="shared" si="259"/>
        <v>0</v>
      </c>
    </row>
    <row r="779" spans="1:32" x14ac:dyDescent="0.2">
      <c r="A779" s="117">
        <v>330</v>
      </c>
      <c r="B779" s="118">
        <v>46322</v>
      </c>
      <c r="C779" s="119" t="s">
        <v>37</v>
      </c>
      <c r="D779" s="119" t="s">
        <v>19</v>
      </c>
      <c r="E779" s="117" t="s">
        <v>371</v>
      </c>
      <c r="F779" s="120">
        <f t="shared" si="240"/>
        <v>2</v>
      </c>
      <c r="G779" s="121" t="str">
        <f t="shared" si="241"/>
        <v>Daniel (Ferret)</v>
      </c>
      <c r="H779" s="122">
        <f>IF($D779="",0,IFERROR(LOOKUP(2,1/(($D$3:D778=$D779)*($A$3:A778&lt;$A779)),$N$3:N778),'Guide &amp; Settings'!$C$41))</f>
        <v>1268.2705745951848</v>
      </c>
      <c r="I779" s="123">
        <f t="shared" si="242"/>
        <v>0.60975609756097571</v>
      </c>
      <c r="J779" s="124">
        <f>IF($D779="",0,IF($F779&lt;2,0,IF($E779="Win",('Guide &amp; Settings'!$C$42/(($F779-1)*COUNTIFS($A$4:$A$1510,$A779,$E$4:$E$1510,"Win")))*SUMIFS($X$4:$X$1510,$A$4:$A$1510,$A779,$E$4:$E$1510,"Loss"),-('Guide &amp; Settings'!$C$42/($F779-1))*$X779)))</f>
        <v>-21.711124789180094</v>
      </c>
      <c r="K779" s="124">
        <f>IF($D779="",0,'Guide &amp; Settings'!$C$43*(IF($E779="Win",1,0)-$I779))</f>
        <v>-7.3170731707317085</v>
      </c>
      <c r="L779" s="125">
        <f>IF($D779="",0,'Guide &amp; Settings'!$C$44*IF($F779&gt;=3,$F779,0))</f>
        <v>0</v>
      </c>
      <c r="M779" s="124">
        <f t="shared" si="243"/>
        <v>-29.0281979599118</v>
      </c>
      <c r="N779" s="122">
        <f t="shared" si="244"/>
        <v>1239.2423766352731</v>
      </c>
      <c r="O779" s="121" t="str">
        <f t="shared" si="245"/>
        <v>OK</v>
      </c>
      <c r="P779">
        <f t="shared" si="246"/>
        <v>1139.9646048474945</v>
      </c>
      <c r="Q779">
        <f t="shared" si="247"/>
        <v>0.6766871302373525</v>
      </c>
      <c r="R779">
        <f t="shared" si="248"/>
        <v>0.625</v>
      </c>
      <c r="S779">
        <f t="shared" si="249"/>
        <v>1.0249999999999999</v>
      </c>
      <c r="T779" s="89">
        <f t="shared" si="250"/>
        <v>6</v>
      </c>
      <c r="U779" s="126">
        <f>IF($D779="",0,IFERROR(LOOKUP(2,1/(($D$3:D778=$D779)*($C$3:C778=$C779)*($A$3:A778&lt;$A779)),$AB$3:AB778),1000))</f>
        <v>1030.8452977209417</v>
      </c>
      <c r="V779" s="126">
        <f t="shared" si="251"/>
        <v>1138.765878118325</v>
      </c>
      <c r="W779">
        <f t="shared" si="252"/>
        <v>1009.0401086543436</v>
      </c>
      <c r="X779">
        <f t="shared" si="253"/>
        <v>0.67847264966187792</v>
      </c>
      <c r="Y779">
        <f t="shared" si="254"/>
        <v>958.68453319543949</v>
      </c>
      <c r="Z779">
        <f t="shared" si="255"/>
        <v>0.60237977285601052</v>
      </c>
      <c r="AA779">
        <f>IF($D779="",0,IF($F779&lt;2,0,IF($E779="Win",('Guide &amp; Settings'!$C$42/(($F779-1)*COUNTIFS($A$4:$A$1510,$A779,$E$4:$E$1510,"Win")))*SUMIFS($Z$4:$Z$1510,$A$4:$A$1510,$A779,$E$4:$E$1510,"Loss"),-('Guide &amp; Settings'!$C$42/($F779-1))*$Z779)))</f>
        <v>-19.276152731392337</v>
      </c>
      <c r="AB779" s="126">
        <f t="shared" si="256"/>
        <v>1011.5691449895494</v>
      </c>
      <c r="AC779" s="126">
        <f>IF($D779="","",IF($AD779=0,0,IF(COUNTIFS($D$4:$D779,$D779,$B$4:$B779,$B779)&gt;1,0,IF($B779&lt;'Guide &amp; Settings'!$C$50,0,IF(($B779-$AD779)/7-'Guide &amp; Settings'!$C$48&gt;=0,(INT(($B779-$AD779)/7-'Guide &amp; Settings'!$C$48)+1)*'Guide &amp; Settings'!$C$49,0)))))</f>
        <v>0</v>
      </c>
      <c r="AD779" s="142">
        <f t="shared" si="257"/>
        <v>46303</v>
      </c>
      <c r="AE779">
        <f t="shared" si="258"/>
        <v>1</v>
      </c>
      <c r="AF779">
        <f t="shared" si="259"/>
        <v>0</v>
      </c>
    </row>
    <row r="780" spans="1:32" x14ac:dyDescent="0.2">
      <c r="A780" s="117">
        <v>331</v>
      </c>
      <c r="B780" s="118">
        <v>46322</v>
      </c>
      <c r="C780" s="119" t="s">
        <v>44</v>
      </c>
      <c r="D780" s="119" t="s">
        <v>19</v>
      </c>
      <c r="E780" s="117" t="s">
        <v>370</v>
      </c>
      <c r="F780" s="120">
        <f t="shared" si="240"/>
        <v>2</v>
      </c>
      <c r="G780" s="121" t="str">
        <f t="shared" si="241"/>
        <v>Josh</v>
      </c>
      <c r="H780" s="122">
        <f>IF($D780="",0,IFERROR(LOOKUP(2,1/(($D$3:D779=$D780)*($A$3:A779&lt;$A780)),$N$3:N779),'Guide &amp; Settings'!$C$41))</f>
        <v>1239.2423766352731</v>
      </c>
      <c r="I780" s="123">
        <f t="shared" si="242"/>
        <v>0.78750000000000009</v>
      </c>
      <c r="J780" s="124">
        <f>IF($D780="",0,IF($F780&lt;2,0,IF($E780="Win",('Guide &amp; Settings'!$C$42/(($F780-1)*COUNTIFS($A$4:$A$1510,$A780,$E$4:$E$1510,"Win")))*SUMIFS($X$4:$X$1510,$A$4:$A$1510,$A780,$E$4:$E$1510,"Loss"),-('Guide &amp; Settings'!$C$42/($F780-1))*$X780)))</f>
        <v>8.501847928398476</v>
      </c>
      <c r="K780" s="124">
        <f>IF($D780="",0,'Guide &amp; Settings'!$C$43*(IF($E780="Win",1,0)-$I780))</f>
        <v>2.5499999999999989</v>
      </c>
      <c r="L780" s="125">
        <f>IF($D780="",0,'Guide &amp; Settings'!$C$44*IF($F780&gt;=3,$F780,0))</f>
        <v>0</v>
      </c>
      <c r="M780" s="124">
        <f t="shared" si="243"/>
        <v>11.051847928398475</v>
      </c>
      <c r="N780" s="122">
        <f t="shared" si="244"/>
        <v>1250.2942245636716</v>
      </c>
      <c r="O780" s="121" t="str">
        <f t="shared" si="245"/>
        <v>OK</v>
      </c>
      <c r="P780">
        <f t="shared" si="246"/>
        <v>1239.2423766352731</v>
      </c>
      <c r="Q780">
        <f t="shared" si="247"/>
        <v>0.5</v>
      </c>
      <c r="R780">
        <f t="shared" si="248"/>
        <v>0.82352941176470584</v>
      </c>
      <c r="S780">
        <f t="shared" si="249"/>
        <v>1.0457516339869279</v>
      </c>
      <c r="T780" s="89">
        <f t="shared" si="250"/>
        <v>15</v>
      </c>
      <c r="U780" s="126">
        <f>IF($D780="",0,IFERROR(LOOKUP(2,1/(($D$3:D779=$D780)*($C$3:C779=$C780)*($A$3:A779&lt;$A780)),$AB$3:AB779),1000))</f>
        <v>1109.0218511200758</v>
      </c>
      <c r="V780" s="126">
        <f t="shared" si="251"/>
        <v>1141.5769824988752</v>
      </c>
      <c r="W780">
        <f t="shared" si="252"/>
        <v>1141.5769824988752</v>
      </c>
      <c r="X780">
        <f t="shared" si="253"/>
        <v>0.5</v>
      </c>
      <c r="Y780">
        <f t="shared" si="254"/>
        <v>1109.0218511200758</v>
      </c>
      <c r="Z780">
        <f t="shared" si="255"/>
        <v>0.5</v>
      </c>
      <c r="AA780">
        <f>IF($D780="",0,IF($F780&lt;2,0,IF($E780="Win",('Guide &amp; Settings'!$C$42/(($F780-1)*COUNTIFS($A$4:$A$1510,$A780,$E$4:$E$1510,"Win")))*SUMIFS($Z$4:$Z$1510,$A$4:$A$1510,$A780,$E$4:$E$1510,"Loss"),-('Guide &amp; Settings'!$C$42/($F780-1))*$Z780)))</f>
        <v>7.4285560165961204</v>
      </c>
      <c r="AB780" s="126">
        <f t="shared" si="256"/>
        <v>1116.4504071366719</v>
      </c>
      <c r="AC780" s="126">
        <f>IF($D780="","",IF($AD780=0,0,IF(COUNTIFS($D$4:$D780,$D780,$B$4:$B780,$B780)&gt;1,0,IF($B780&lt;'Guide &amp; Settings'!$C$50,0,IF(($B780-$AD780)/7-'Guide &amp; Settings'!$C$48&gt;=0,(INT(($B780-$AD780)/7-'Guide &amp; Settings'!$C$48)+1)*'Guide &amp; Settings'!$C$49,0)))))</f>
        <v>0</v>
      </c>
      <c r="AD780" s="142">
        <f t="shared" si="257"/>
        <v>46303</v>
      </c>
      <c r="AE780">
        <f t="shared" si="258"/>
        <v>1</v>
      </c>
      <c r="AF780">
        <f t="shared" si="259"/>
        <v>0</v>
      </c>
    </row>
    <row r="781" spans="1:32" x14ac:dyDescent="0.2">
      <c r="A781" s="117">
        <v>331</v>
      </c>
      <c r="B781" s="118">
        <v>46322</v>
      </c>
      <c r="C781" s="119" t="s">
        <v>44</v>
      </c>
      <c r="D781" s="119" t="s">
        <v>22</v>
      </c>
      <c r="E781" s="117" t="s">
        <v>371</v>
      </c>
      <c r="F781" s="120">
        <f t="shared" si="240"/>
        <v>2</v>
      </c>
      <c r="G781" s="121" t="str">
        <f t="shared" si="241"/>
        <v>Josh</v>
      </c>
      <c r="H781" s="122">
        <f>IF($D781="",0,IFERROR(LOOKUP(2,1/(($D$3:D780=$D781)*($A$3:A780&lt;$A781)),$N$3:N780),'Guide &amp; Settings'!$C$41))</f>
        <v>1168.9928028074062</v>
      </c>
      <c r="I781" s="123">
        <f t="shared" si="242"/>
        <v>0.21250000000000002</v>
      </c>
      <c r="J781" s="124">
        <f>IF($D781="",0,IF($F781&lt;2,0,IF($E781="Win",('Guide &amp; Settings'!$C$42/(($F781-1)*COUNTIFS($A$4:$A$1510,$A781,$E$4:$E$1510,"Win")))*SUMIFS($X$4:$X$1510,$A$4:$A$1510,$A781,$E$4:$E$1510,"Loss"),-('Guide &amp; Settings'!$C$42/($F781-1))*$X781)))</f>
        <v>-8.501847928398476</v>
      </c>
      <c r="K781" s="124">
        <f>IF($D781="",0,'Guide &amp; Settings'!$C$43*(IF($E781="Win",1,0)-$I781))</f>
        <v>-2.5500000000000003</v>
      </c>
      <c r="L781" s="125">
        <f>IF($D781="",0,'Guide &amp; Settings'!$C$44*IF($F781&gt;=3,$F781,0))</f>
        <v>0</v>
      </c>
      <c r="M781" s="124">
        <f t="shared" si="243"/>
        <v>-11.051847928398477</v>
      </c>
      <c r="N781" s="122">
        <f t="shared" si="244"/>
        <v>1157.9409548790077</v>
      </c>
      <c r="O781" s="121" t="str">
        <f t="shared" si="245"/>
        <v>OK</v>
      </c>
      <c r="P781">
        <f t="shared" si="246"/>
        <v>1239.2423766352731</v>
      </c>
      <c r="Q781">
        <f t="shared" si="247"/>
        <v>0.40025828082232046</v>
      </c>
      <c r="R781">
        <f t="shared" si="248"/>
        <v>0.22222222222222221</v>
      </c>
      <c r="S781">
        <f t="shared" si="249"/>
        <v>1.0457516339869279</v>
      </c>
      <c r="T781" s="89">
        <f t="shared" si="250"/>
        <v>16</v>
      </c>
      <c r="U781" s="126">
        <f>IF($D781="",0,IFERROR(LOOKUP(2,1/(($D$3:D780=$D781)*($C$3:C780=$C781)*($A$3:A780&lt;$A781)),$AB$3:AB780),1000))</f>
        <v>901.21134043896427</v>
      </c>
      <c r="V781" s="126">
        <f t="shared" si="251"/>
        <v>964.96883147906942</v>
      </c>
      <c r="W781">
        <f t="shared" si="252"/>
        <v>1141.5769824988752</v>
      </c>
      <c r="X781">
        <f t="shared" si="253"/>
        <v>0.26568274776245238</v>
      </c>
      <c r="Y781">
        <f t="shared" si="254"/>
        <v>1109.0218511200758</v>
      </c>
      <c r="Z781">
        <f t="shared" si="255"/>
        <v>0.23214237551862876</v>
      </c>
      <c r="AA781">
        <f>IF($D781="",0,IF($F781&lt;2,0,IF($E781="Win",('Guide &amp; Settings'!$C$42/(($F781-1)*COUNTIFS($A$4:$A$1510,$A781,$E$4:$E$1510,"Win")))*SUMIFS($Z$4:$Z$1510,$A$4:$A$1510,$A781,$E$4:$E$1510,"Loss"),-('Guide &amp; Settings'!$C$42/($F781-1))*$Z781)))</f>
        <v>-7.4285560165961204</v>
      </c>
      <c r="AB781" s="126">
        <f t="shared" si="256"/>
        <v>893.7827844223682</v>
      </c>
      <c r="AC781" s="126">
        <f>IF($D781="","",IF($AD781=0,0,IF(COUNTIFS($D$4:$D781,$D781,$B$4:$B781,$B781)&gt;1,0,IF($B781&lt;'Guide &amp; Settings'!$C$50,0,IF(($B781-$AD781)/7-'Guide &amp; Settings'!$C$48&gt;=0,(INT(($B781-$AD781)/7-'Guide &amp; Settings'!$C$48)+1)*'Guide &amp; Settings'!$C$49,0)))))</f>
        <v>0</v>
      </c>
      <c r="AD781" s="142">
        <f t="shared" si="257"/>
        <v>46319</v>
      </c>
      <c r="AE781">
        <f t="shared" si="258"/>
        <v>1</v>
      </c>
      <c r="AF781">
        <f t="shared" si="259"/>
        <v>0</v>
      </c>
    </row>
    <row r="782" spans="1:32" x14ac:dyDescent="0.2">
      <c r="A782" s="117">
        <v>332</v>
      </c>
      <c r="B782" s="118">
        <v>46322</v>
      </c>
      <c r="C782" s="119" t="s">
        <v>44</v>
      </c>
      <c r="D782" s="119" t="s">
        <v>19</v>
      </c>
      <c r="E782" s="117" t="s">
        <v>370</v>
      </c>
      <c r="F782" s="120">
        <f t="shared" si="240"/>
        <v>2</v>
      </c>
      <c r="G782" s="121" t="str">
        <f t="shared" si="241"/>
        <v>Josh</v>
      </c>
      <c r="H782" s="122">
        <f>IF($D782="",0,IFERROR(LOOKUP(2,1/(($D$3:D781=$D782)*($A$3:A781&lt;$A782)),$N$3:N781),'Guide &amp; Settings'!$C$41))</f>
        <v>1250.2942245636716</v>
      </c>
      <c r="I782" s="123">
        <f t="shared" si="242"/>
        <v>0.79831932773109249</v>
      </c>
      <c r="J782" s="124">
        <f>IF($D782="",0,IF($F782&lt;2,0,IF($E782="Win",('Guide &amp; Settings'!$C$42/(($F782-1)*COUNTIFS($A$4:$A$1510,$A782,$E$4:$E$1510,"Win")))*SUMIFS($X$4:$X$1510,$A$4:$A$1510,$A782,$E$4:$E$1510,"Loss"),-('Guide &amp; Settings'!$C$42/($F782-1))*$X782)))</f>
        <v>7.8745712115717792</v>
      </c>
      <c r="K782" s="124">
        <f>IF($D782="",0,'Guide &amp; Settings'!$C$43*(IF($E782="Win",1,0)-$I782))</f>
        <v>2.4201680672268902</v>
      </c>
      <c r="L782" s="125">
        <f>IF($D782="",0,'Guide &amp; Settings'!$C$44*IF($F782&gt;=3,$F782,0))</f>
        <v>0</v>
      </c>
      <c r="M782" s="124">
        <f t="shared" si="243"/>
        <v>10.294739278798669</v>
      </c>
      <c r="N782" s="122">
        <f t="shared" si="244"/>
        <v>1260.5889638424703</v>
      </c>
      <c r="O782" s="121" t="str">
        <f t="shared" si="245"/>
        <v>OK</v>
      </c>
      <c r="P782">
        <f t="shared" si="246"/>
        <v>1250.2942245636716</v>
      </c>
      <c r="Q782">
        <f t="shared" si="247"/>
        <v>0.5</v>
      </c>
      <c r="R782">
        <f t="shared" si="248"/>
        <v>0.83333333333333337</v>
      </c>
      <c r="S782">
        <f t="shared" si="249"/>
        <v>1.0438596491228069</v>
      </c>
      <c r="T782" s="89">
        <f t="shared" si="250"/>
        <v>16</v>
      </c>
      <c r="U782" s="126">
        <f>IF($D782="",0,IFERROR(LOOKUP(2,1/(($D$3:D781=$D782)*($C$3:C781=$C782)*($A$3:A781&lt;$A782)),$AB$3:AB781),1000))</f>
        <v>1116.4504071366719</v>
      </c>
      <c r="V782" s="126">
        <f t="shared" si="251"/>
        <v>1148.3179827145289</v>
      </c>
      <c r="W782">
        <f t="shared" si="252"/>
        <v>1148.3179827145289</v>
      </c>
      <c r="X782">
        <f t="shared" si="253"/>
        <v>0.5</v>
      </c>
      <c r="Y782">
        <f t="shared" si="254"/>
        <v>1116.4504071366719</v>
      </c>
      <c r="Z782">
        <f t="shared" si="255"/>
        <v>0.5</v>
      </c>
      <c r="AA782">
        <f>IF($D782="",0,IF($F782&lt;2,0,IF($E782="Win",('Guide &amp; Settings'!$C$42/(($F782-1)*COUNTIFS($A$4:$A$1510,$A782,$E$4:$E$1510,"Win")))*SUMIFS($Z$4:$Z$1510,$A$4:$A$1510,$A782,$E$4:$E$1510,"Loss"),-('Guide &amp; Settings'!$C$42/($F782-1))*$Z782)))</f>
        <v>6.9519277575067191</v>
      </c>
      <c r="AB782" s="126">
        <f t="shared" si="256"/>
        <v>1123.4023348941785</v>
      </c>
      <c r="AC782" s="126">
        <f>IF($D782="","",IF($AD782=0,0,IF(COUNTIFS($D$4:$D782,$D782,$B$4:$B782,$B782)&gt;1,0,IF($B782&lt;'Guide &amp; Settings'!$C$50,0,IF(($B782-$AD782)/7-'Guide &amp; Settings'!$C$48&gt;=0,(INT(($B782-$AD782)/7-'Guide &amp; Settings'!$C$48)+1)*'Guide &amp; Settings'!$C$49,0)))))</f>
        <v>0</v>
      </c>
      <c r="AD782" s="142">
        <f t="shared" si="257"/>
        <v>46303</v>
      </c>
      <c r="AE782">
        <f t="shared" si="258"/>
        <v>1</v>
      </c>
      <c r="AF782">
        <f t="shared" si="259"/>
        <v>0</v>
      </c>
    </row>
    <row r="783" spans="1:32" x14ac:dyDescent="0.2">
      <c r="A783" s="117">
        <v>332</v>
      </c>
      <c r="B783" s="118">
        <v>46322</v>
      </c>
      <c r="C783" s="119" t="s">
        <v>44</v>
      </c>
      <c r="D783" s="119" t="s">
        <v>22</v>
      </c>
      <c r="E783" s="117" t="s">
        <v>371</v>
      </c>
      <c r="F783" s="120">
        <f t="shared" si="240"/>
        <v>2</v>
      </c>
      <c r="G783" s="121" t="str">
        <f t="shared" si="241"/>
        <v>Josh</v>
      </c>
      <c r="H783" s="122">
        <f>IF($D783="",0,IFERROR(LOOKUP(2,1/(($D$3:D782=$D783)*($A$3:A782&lt;$A783)),$N$3:N782),'Guide &amp; Settings'!$C$41))</f>
        <v>1157.9409548790077</v>
      </c>
      <c r="I783" s="123">
        <f t="shared" si="242"/>
        <v>0.20168067226890757</v>
      </c>
      <c r="J783" s="124">
        <f>IF($D783="",0,IF($F783&lt;2,0,IF($E783="Win",('Guide &amp; Settings'!$C$42/(($F783-1)*COUNTIFS($A$4:$A$1510,$A783,$E$4:$E$1510,"Win")))*SUMIFS($X$4:$X$1510,$A$4:$A$1510,$A783,$E$4:$E$1510,"Loss"),-('Guide &amp; Settings'!$C$42/($F783-1))*$X783)))</f>
        <v>-7.8745712115717792</v>
      </c>
      <c r="K783" s="124">
        <f>IF($D783="",0,'Guide &amp; Settings'!$C$43*(IF($E783="Win",1,0)-$I783))</f>
        <v>-2.420168067226891</v>
      </c>
      <c r="L783" s="125">
        <f>IF($D783="",0,'Guide &amp; Settings'!$C$44*IF($F783&gt;=3,$F783,0))</f>
        <v>0</v>
      </c>
      <c r="M783" s="124">
        <f t="shared" si="243"/>
        <v>-10.294739278798669</v>
      </c>
      <c r="N783" s="122">
        <f t="shared" si="244"/>
        <v>1147.646215600209</v>
      </c>
      <c r="O783" s="121" t="str">
        <f t="shared" si="245"/>
        <v>OK</v>
      </c>
      <c r="P783">
        <f t="shared" si="246"/>
        <v>1250.2942245636716</v>
      </c>
      <c r="Q783">
        <f t="shared" si="247"/>
        <v>0.37013722681342576</v>
      </c>
      <c r="R783">
        <f t="shared" si="248"/>
        <v>0.21052631578947367</v>
      </c>
      <c r="S783">
        <f t="shared" si="249"/>
        <v>1.0438596491228069</v>
      </c>
      <c r="T783" s="89">
        <f t="shared" si="250"/>
        <v>17</v>
      </c>
      <c r="U783" s="126">
        <f>IF($D783="",0,IFERROR(LOOKUP(2,1/(($D$3:D782=$D783)*($C$3:C782=$C783)*($A$3:A782&lt;$A783)),$AB$3:AB782),1000))</f>
        <v>893.7827844223682</v>
      </c>
      <c r="V783" s="126">
        <f t="shared" si="251"/>
        <v>953.8187322534227</v>
      </c>
      <c r="W783">
        <f t="shared" si="252"/>
        <v>1148.3179827145289</v>
      </c>
      <c r="X783">
        <f t="shared" si="253"/>
        <v>0.2460803503616181</v>
      </c>
      <c r="Y783">
        <f t="shared" si="254"/>
        <v>1116.4504071366719</v>
      </c>
      <c r="Z783">
        <f t="shared" si="255"/>
        <v>0.21724774242208497</v>
      </c>
      <c r="AA783">
        <f>IF($D783="",0,IF($F783&lt;2,0,IF($E783="Win",('Guide &amp; Settings'!$C$42/(($F783-1)*COUNTIFS($A$4:$A$1510,$A783,$E$4:$E$1510,"Win")))*SUMIFS($Z$4:$Z$1510,$A$4:$A$1510,$A783,$E$4:$E$1510,"Loss"),-('Guide &amp; Settings'!$C$42/($F783-1))*$Z783)))</f>
        <v>-6.9519277575067191</v>
      </c>
      <c r="AB783" s="126">
        <f t="shared" si="256"/>
        <v>886.83085666486147</v>
      </c>
      <c r="AC783" s="126">
        <f>IF($D783="","",IF($AD783=0,0,IF(COUNTIFS($D$4:$D783,$D783,$B$4:$B783,$B783)&gt;1,0,IF($B783&lt;'Guide &amp; Settings'!$C$50,0,IF(($B783-$AD783)/7-'Guide &amp; Settings'!$C$48&gt;=0,(INT(($B783-$AD783)/7-'Guide &amp; Settings'!$C$48)+1)*'Guide &amp; Settings'!$C$49,0)))))</f>
        <v>0</v>
      </c>
      <c r="AD783" s="142">
        <f t="shared" si="257"/>
        <v>46319</v>
      </c>
      <c r="AE783">
        <f t="shared" si="258"/>
        <v>1</v>
      </c>
      <c r="AF783">
        <f t="shared" si="259"/>
        <v>0</v>
      </c>
    </row>
    <row r="784" spans="1:32" x14ac:dyDescent="0.2">
      <c r="A784" s="117">
        <v>333</v>
      </c>
      <c r="B784" s="118">
        <v>46322</v>
      </c>
      <c r="C784" s="119" t="s">
        <v>44</v>
      </c>
      <c r="D784" s="119" t="s">
        <v>19</v>
      </c>
      <c r="E784" s="117" t="s">
        <v>370</v>
      </c>
      <c r="F784" s="120">
        <f t="shared" si="240"/>
        <v>2</v>
      </c>
      <c r="G784" s="121" t="str">
        <f t="shared" si="241"/>
        <v>Josh</v>
      </c>
      <c r="H784" s="122">
        <f>IF($D784="",0,IFERROR(LOOKUP(2,1/(($D$3:D783=$D784)*($A$3:A783&lt;$A784)),$N$3:N783),'Guide &amp; Settings'!$C$41))</f>
        <v>1260.5889638424703</v>
      </c>
      <c r="I784" s="123">
        <f t="shared" si="242"/>
        <v>0.80808080808080807</v>
      </c>
      <c r="J784" s="124">
        <f>IF($D784="",0,IF($F784&lt;2,0,IF($E784="Win",('Guide &amp; Settings'!$C$42/(($F784-1)*COUNTIFS($A$4:$A$1510,$A784,$E$4:$E$1510,"Win")))*SUMIFS($X$4:$X$1510,$A$4:$A$1510,$A784,$E$4:$E$1510,"Loss"),-('Guide &amp; Settings'!$C$42/($F784-1))*$X784)))</f>
        <v>7.3226770181915724</v>
      </c>
      <c r="K784" s="124">
        <f>IF($D784="",0,'Guide &amp; Settings'!$C$43*(IF($E784="Win",1,0)-$I784))</f>
        <v>2.3030303030303032</v>
      </c>
      <c r="L784" s="125">
        <f>IF($D784="",0,'Guide &amp; Settings'!$C$44*IF($F784&gt;=3,$F784,0))</f>
        <v>0</v>
      </c>
      <c r="M784" s="124">
        <f t="shared" si="243"/>
        <v>9.625707321221876</v>
      </c>
      <c r="N784" s="122">
        <f t="shared" si="244"/>
        <v>1270.2146711636922</v>
      </c>
      <c r="O784" s="121" t="str">
        <f t="shared" si="245"/>
        <v>OK</v>
      </c>
      <c r="P784">
        <f t="shared" si="246"/>
        <v>1260.5889638424703</v>
      </c>
      <c r="Q784">
        <f t="shared" si="247"/>
        <v>0.5</v>
      </c>
      <c r="R784">
        <f t="shared" si="248"/>
        <v>0.84210526315789469</v>
      </c>
      <c r="S784">
        <f t="shared" si="249"/>
        <v>1.0421052631578946</v>
      </c>
      <c r="T784" s="89">
        <f t="shared" si="250"/>
        <v>17</v>
      </c>
      <c r="U784" s="126">
        <f>IF($D784="",0,IFERROR(LOOKUP(2,1/(($D$3:D783=$D784)*($C$3:C783=$C784)*($A$3:A783&lt;$A784)),$AB$3:AB783),1000))</f>
        <v>1123.4023348941785</v>
      </c>
      <c r="V784" s="126">
        <f t="shared" si="251"/>
        <v>1154.5811142006085</v>
      </c>
      <c r="W784">
        <f t="shared" si="252"/>
        <v>1154.5811142006085</v>
      </c>
      <c r="X784">
        <f t="shared" si="253"/>
        <v>0.5</v>
      </c>
      <c r="Y784">
        <f t="shared" si="254"/>
        <v>1123.4023348941785</v>
      </c>
      <c r="Z784">
        <f t="shared" si="255"/>
        <v>0.5</v>
      </c>
      <c r="AA784">
        <f>IF($D784="",0,IF($F784&lt;2,0,IF($E784="Win",('Guide &amp; Settings'!$C$42/(($F784-1)*COUNTIFS($A$4:$A$1510,$A784,$E$4:$E$1510,"Win")))*SUMIFS($Z$4:$Z$1510,$A$4:$A$1510,$A784,$E$4:$E$1510,"Loss"),-('Guide &amp; Settings'!$C$42/($F784-1))*$Z784)))</f>
        <v>6.5262557483033277</v>
      </c>
      <c r="AB784" s="126">
        <f t="shared" si="256"/>
        <v>1129.9285906424818</v>
      </c>
      <c r="AC784" s="126">
        <f>IF($D784="","",IF($AD784=0,0,IF(COUNTIFS($D$4:$D784,$D784,$B$4:$B784,$B784)&gt;1,0,IF($B784&lt;'Guide &amp; Settings'!$C$50,0,IF(($B784-$AD784)/7-'Guide &amp; Settings'!$C$48&gt;=0,(INT(($B784-$AD784)/7-'Guide &amp; Settings'!$C$48)+1)*'Guide &amp; Settings'!$C$49,0)))))</f>
        <v>0</v>
      </c>
      <c r="AD784" s="142">
        <f t="shared" si="257"/>
        <v>46303</v>
      </c>
      <c r="AE784">
        <f t="shared" si="258"/>
        <v>1</v>
      </c>
      <c r="AF784">
        <f t="shared" si="259"/>
        <v>0</v>
      </c>
    </row>
    <row r="785" spans="1:32" x14ac:dyDescent="0.2">
      <c r="A785" s="117">
        <v>333</v>
      </c>
      <c r="B785" s="118">
        <v>46322</v>
      </c>
      <c r="C785" s="119" t="s">
        <v>44</v>
      </c>
      <c r="D785" s="119" t="s">
        <v>22</v>
      </c>
      <c r="E785" s="117" t="s">
        <v>371</v>
      </c>
      <c r="F785" s="120">
        <f t="shared" si="240"/>
        <v>2</v>
      </c>
      <c r="G785" s="121" t="str">
        <f t="shared" si="241"/>
        <v>Josh</v>
      </c>
      <c r="H785" s="122">
        <f>IF($D785="",0,IFERROR(LOOKUP(2,1/(($D$3:D784=$D785)*($A$3:A784&lt;$A785)),$N$3:N784),'Guide &amp; Settings'!$C$41))</f>
        <v>1147.646215600209</v>
      </c>
      <c r="I785" s="123">
        <f t="shared" si="242"/>
        <v>0.19191919191919193</v>
      </c>
      <c r="J785" s="124">
        <f>IF($D785="",0,IF($F785&lt;2,0,IF($E785="Win",('Guide &amp; Settings'!$C$42/(($F785-1)*COUNTIFS($A$4:$A$1510,$A785,$E$4:$E$1510,"Win")))*SUMIFS($X$4:$X$1510,$A$4:$A$1510,$A785,$E$4:$E$1510,"Loss"),-('Guide &amp; Settings'!$C$42/($F785-1))*$X785)))</f>
        <v>-7.3226770181915724</v>
      </c>
      <c r="K785" s="124">
        <f>IF($D785="",0,'Guide &amp; Settings'!$C$43*(IF($E785="Win",1,0)-$I785))</f>
        <v>-2.3030303030303032</v>
      </c>
      <c r="L785" s="125">
        <f>IF($D785="",0,'Guide &amp; Settings'!$C$44*IF($F785&gt;=3,$F785,0))</f>
        <v>0</v>
      </c>
      <c r="M785" s="124">
        <f t="shared" si="243"/>
        <v>-9.625707321221876</v>
      </c>
      <c r="N785" s="122">
        <f t="shared" si="244"/>
        <v>1138.0205082789871</v>
      </c>
      <c r="O785" s="121" t="str">
        <f t="shared" si="245"/>
        <v>OK</v>
      </c>
      <c r="P785">
        <f t="shared" si="246"/>
        <v>1260.5889638424703</v>
      </c>
      <c r="Q785">
        <f t="shared" si="247"/>
        <v>0.34295557346113276</v>
      </c>
      <c r="R785">
        <f t="shared" si="248"/>
        <v>0.2</v>
      </c>
      <c r="S785">
        <f t="shared" si="249"/>
        <v>1.0421052631578946</v>
      </c>
      <c r="T785" s="89">
        <f t="shared" si="250"/>
        <v>18</v>
      </c>
      <c r="U785" s="126">
        <f>IF($D785="",0,IFERROR(LOOKUP(2,1/(($D$3:D784=$D785)*($C$3:C784=$C785)*($A$3:A784&lt;$A785)),$AB$3:AB784),1000))</f>
        <v>886.83085666486147</v>
      </c>
      <c r="V785" s="126">
        <f t="shared" si="251"/>
        <v>943.52984773776302</v>
      </c>
      <c r="W785">
        <f t="shared" si="252"/>
        <v>1154.5811142006085</v>
      </c>
      <c r="X785">
        <f t="shared" si="253"/>
        <v>0.22883365681848664</v>
      </c>
      <c r="Y785">
        <f t="shared" si="254"/>
        <v>1123.4023348941785</v>
      </c>
      <c r="Z785">
        <f t="shared" si="255"/>
        <v>0.20394549213447899</v>
      </c>
      <c r="AA785">
        <f>IF($D785="",0,IF($F785&lt;2,0,IF($E785="Win",('Guide &amp; Settings'!$C$42/(($F785-1)*COUNTIFS($A$4:$A$1510,$A785,$E$4:$E$1510,"Win")))*SUMIFS($Z$4:$Z$1510,$A$4:$A$1510,$A785,$E$4:$E$1510,"Loss"),-('Guide &amp; Settings'!$C$42/($F785-1))*$Z785)))</f>
        <v>-6.5262557483033277</v>
      </c>
      <c r="AB785" s="126">
        <f t="shared" si="256"/>
        <v>880.30460091655812</v>
      </c>
      <c r="AC785" s="126">
        <f>IF($D785="","",IF($AD785=0,0,IF(COUNTIFS($D$4:$D785,$D785,$B$4:$B785,$B785)&gt;1,0,IF($B785&lt;'Guide &amp; Settings'!$C$50,0,IF(($B785-$AD785)/7-'Guide &amp; Settings'!$C$48&gt;=0,(INT(($B785-$AD785)/7-'Guide &amp; Settings'!$C$48)+1)*'Guide &amp; Settings'!$C$49,0)))))</f>
        <v>0</v>
      </c>
      <c r="AD785" s="142">
        <f t="shared" si="257"/>
        <v>46319</v>
      </c>
      <c r="AE785">
        <f t="shared" si="258"/>
        <v>1</v>
      </c>
      <c r="AF785">
        <f t="shared" si="259"/>
        <v>0</v>
      </c>
    </row>
    <row r="786" spans="1:32" x14ac:dyDescent="0.2">
      <c r="A786" s="117">
        <v>334</v>
      </c>
      <c r="B786" s="118">
        <v>46322</v>
      </c>
      <c r="C786" s="119" t="s">
        <v>446</v>
      </c>
      <c r="D786" s="119" t="s">
        <v>19</v>
      </c>
      <c r="E786" s="117" t="s">
        <v>370</v>
      </c>
      <c r="F786" s="120">
        <f t="shared" si="240"/>
        <v>2</v>
      </c>
      <c r="G786" s="121" t="str">
        <f t="shared" si="241"/>
        <v>Josh</v>
      </c>
      <c r="H786" s="122">
        <f>IF($D786="",0,IFERROR(LOOKUP(2,1/(($D$3:D785=$D786)*($A$3:A785&lt;$A786)),$N$3:N785),'Guide &amp; Settings'!$C$41))</f>
        <v>1270.2146711636922</v>
      </c>
      <c r="I786" s="123">
        <f t="shared" si="242"/>
        <v>0.6</v>
      </c>
      <c r="J786" s="124">
        <f>IF($D786="",0,IF($F786&lt;2,0,IF($E786="Win",('Guide &amp; Settings'!$C$42/(($F786-1)*COUNTIFS($A$4:$A$1510,$A786,$E$4:$E$1510,"Win")))*SUMIFS($X$4:$X$1510,$A$4:$A$1510,$A786,$E$4:$E$1510,"Loss"),-('Guide &amp; Settings'!$C$42/($F786-1))*$X786)))</f>
        <v>11.790011597257434</v>
      </c>
      <c r="K786" s="124">
        <f>IF($D786="",0,'Guide &amp; Settings'!$C$43*(IF($E786="Win",1,0)-$I786))</f>
        <v>4.8000000000000007</v>
      </c>
      <c r="L786" s="125">
        <f>IF($D786="",0,'Guide &amp; Settings'!$C$44*IF($F786&gt;=3,$F786,0))</f>
        <v>0</v>
      </c>
      <c r="M786" s="124">
        <f t="shared" si="243"/>
        <v>16.590011597257437</v>
      </c>
      <c r="N786" s="122">
        <f t="shared" si="244"/>
        <v>1286.8046827609496</v>
      </c>
      <c r="O786" s="121" t="str">
        <f t="shared" si="245"/>
        <v>OK</v>
      </c>
      <c r="P786">
        <f t="shared" si="246"/>
        <v>1270.2146711636922</v>
      </c>
      <c r="Q786">
        <f t="shared" si="247"/>
        <v>0.5</v>
      </c>
      <c r="R786">
        <f t="shared" si="248"/>
        <v>0.6</v>
      </c>
      <c r="S786">
        <f t="shared" si="249"/>
        <v>1</v>
      </c>
      <c r="T786" s="89">
        <f t="shared" si="250"/>
        <v>3</v>
      </c>
      <c r="U786" s="126">
        <f>IF($D786="",0,IFERROR(LOOKUP(2,1/(($D$3:D785=$D786)*($C$3:C785=$C786)*($A$3:A785&lt;$A786)),$AB$3:AB785),1000))</f>
        <v>1014.6658413353916</v>
      </c>
      <c r="V786" s="126">
        <f t="shared" si="251"/>
        <v>1174.3838599780795</v>
      </c>
      <c r="W786">
        <f t="shared" si="252"/>
        <v>1174.3838599780795</v>
      </c>
      <c r="X786">
        <f t="shared" si="253"/>
        <v>0.5</v>
      </c>
      <c r="Y786">
        <f t="shared" si="254"/>
        <v>1014.6658413353916</v>
      </c>
      <c r="Z786">
        <f t="shared" si="255"/>
        <v>0.5</v>
      </c>
      <c r="AA786">
        <f>IF($D786="",0,IF($F786&lt;2,0,IF($E786="Win",('Guide &amp; Settings'!$C$42/(($F786-1)*COUNTIFS($A$4:$A$1510,$A786,$E$4:$E$1510,"Win")))*SUMIFS($Z$4:$Z$1510,$A$4:$A$1510,$A786,$E$4:$E$1510,"Loss"),-('Guide &amp; Settings'!$C$42/($F786-1))*$Z786)))</f>
        <v>14.652426097927441</v>
      </c>
      <c r="AB786" s="126">
        <f t="shared" si="256"/>
        <v>1029.3182674333191</v>
      </c>
      <c r="AC786" s="126">
        <f>IF($D786="","",IF($AD786=0,0,IF(COUNTIFS($D$4:$D786,$D786,$B$4:$B786,$B786)&gt;1,0,IF($B786&lt;'Guide &amp; Settings'!$C$50,0,IF(($B786-$AD786)/7-'Guide &amp; Settings'!$C$48&gt;=0,(INT(($B786-$AD786)/7-'Guide &amp; Settings'!$C$48)+1)*'Guide &amp; Settings'!$C$49,0)))))</f>
        <v>0</v>
      </c>
      <c r="AD786" s="142">
        <f t="shared" si="257"/>
        <v>46303</v>
      </c>
      <c r="AE786">
        <f t="shared" si="258"/>
        <v>1</v>
      </c>
      <c r="AF786">
        <f t="shared" si="259"/>
        <v>0</v>
      </c>
    </row>
    <row r="787" spans="1:32" x14ac:dyDescent="0.2">
      <c r="A787" s="117">
        <v>334</v>
      </c>
      <c r="B787" s="118">
        <v>46322</v>
      </c>
      <c r="C787" s="119" t="s">
        <v>446</v>
      </c>
      <c r="D787" s="119" t="s">
        <v>22</v>
      </c>
      <c r="E787" s="117" t="s">
        <v>371</v>
      </c>
      <c r="F787" s="120">
        <f t="shared" si="240"/>
        <v>2</v>
      </c>
      <c r="G787" s="121" t="str">
        <f t="shared" si="241"/>
        <v>Josh</v>
      </c>
      <c r="H787" s="122">
        <f>IF($D787="",0,IFERROR(LOOKUP(2,1/(($D$3:D786=$D787)*($A$3:A786&lt;$A787)),$N$3:N786),'Guide &amp; Settings'!$C$41))</f>
        <v>1138.0205082789871</v>
      </c>
      <c r="I787" s="123">
        <f t="shared" si="242"/>
        <v>0.4</v>
      </c>
      <c r="J787" s="124">
        <f>IF($D787="",0,IF($F787&lt;2,0,IF($E787="Win",('Guide &amp; Settings'!$C$42/(($F787-1)*COUNTIFS($A$4:$A$1510,$A787,$E$4:$E$1510,"Win")))*SUMIFS($X$4:$X$1510,$A$4:$A$1510,$A787,$E$4:$E$1510,"Loss"),-('Guide &amp; Settings'!$C$42/($F787-1))*$X787)))</f>
        <v>-11.790011597257434</v>
      </c>
      <c r="K787" s="124">
        <f>IF($D787="",0,'Guide &amp; Settings'!$C$43*(IF($E787="Win",1,0)-$I787))</f>
        <v>-4.8000000000000007</v>
      </c>
      <c r="L787" s="125">
        <f>IF($D787="",0,'Guide &amp; Settings'!$C$44*IF($F787&gt;=3,$F787,0))</f>
        <v>0</v>
      </c>
      <c r="M787" s="124">
        <f t="shared" si="243"/>
        <v>-16.590011597257437</v>
      </c>
      <c r="N787" s="122">
        <f t="shared" si="244"/>
        <v>1121.4304966817297</v>
      </c>
      <c r="O787" s="121" t="str">
        <f t="shared" si="245"/>
        <v>OK</v>
      </c>
      <c r="P787">
        <f t="shared" si="246"/>
        <v>1270.2146711636922</v>
      </c>
      <c r="Q787">
        <f t="shared" si="247"/>
        <v>0.31843553819750492</v>
      </c>
      <c r="R787">
        <f t="shared" si="248"/>
        <v>0.4</v>
      </c>
      <c r="S787">
        <f t="shared" si="249"/>
        <v>1</v>
      </c>
      <c r="T787" s="89">
        <f t="shared" si="250"/>
        <v>3</v>
      </c>
      <c r="U787" s="126">
        <f>IF($D787="",0,IFERROR(LOOKUP(2,1/(($D$3:D786=$D787)*($C$3:C786=$C787)*($A$3:A786&lt;$A787)),$AB$3:AB786),1000))</f>
        <v>985.33415866460837</v>
      </c>
      <c r="V787" s="126">
        <f t="shared" si="251"/>
        <v>1080.763127173595</v>
      </c>
      <c r="W787">
        <f t="shared" si="252"/>
        <v>1174.3838599780795</v>
      </c>
      <c r="X787">
        <f t="shared" si="253"/>
        <v>0.36843786241429483</v>
      </c>
      <c r="Y787">
        <f t="shared" si="254"/>
        <v>1014.6658413353916</v>
      </c>
      <c r="Z787">
        <f t="shared" si="255"/>
        <v>0.45788831556023252</v>
      </c>
      <c r="AA787">
        <f>IF($D787="",0,IF($F787&lt;2,0,IF($E787="Win",('Guide &amp; Settings'!$C$42/(($F787-1)*COUNTIFS($A$4:$A$1510,$A787,$E$4:$E$1510,"Win")))*SUMIFS($Z$4:$Z$1510,$A$4:$A$1510,$A787,$E$4:$E$1510,"Loss"),-('Guide &amp; Settings'!$C$42/($F787-1))*$Z787)))</f>
        <v>-14.652426097927441</v>
      </c>
      <c r="AB787" s="126">
        <f t="shared" si="256"/>
        <v>970.68173256668092</v>
      </c>
      <c r="AC787" s="126">
        <f>IF($D787="","",IF($AD787=0,0,IF(COUNTIFS($D$4:$D787,$D787,$B$4:$B787,$B787)&gt;1,0,IF($B787&lt;'Guide &amp; Settings'!$C$50,0,IF(($B787-$AD787)/7-'Guide &amp; Settings'!$C$48&gt;=0,(INT(($B787-$AD787)/7-'Guide &amp; Settings'!$C$48)+1)*'Guide &amp; Settings'!$C$49,0)))))</f>
        <v>0</v>
      </c>
      <c r="AD787" s="142">
        <f t="shared" si="257"/>
        <v>46319</v>
      </c>
      <c r="AE787">
        <f t="shared" si="258"/>
        <v>1</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46315</v>
      </c>
    </row>
    <row r="4" spans="1:41" ht="15" customHeight="1" x14ac:dyDescent="0.2">
      <c r="A4" t="s">
        <v>416</v>
      </c>
      <c r="B4" s="138">
        <f>MAX('Match Log'!$B$4:$B$1510)</f>
        <v>46322</v>
      </c>
      <c r="C4" t="s">
        <v>417</v>
      </c>
      <c r="D4" s="138">
        <f ca="1">MAX($B$4,TODAY())</f>
        <v>46322</v>
      </c>
    </row>
    <row r="5" spans="1:41" x14ac:dyDescent="0.2">
      <c r="B5" s="137">
        <f ca="1">TODAY()-7</f>
        <v>46315</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1244.2911759451083</v>
      </c>
      <c r="C7">
        <f>IFERROR(INDEX(Engine!$C$2:$C$15,MATCH($A7,Engine!$A$2:$A$15,0)),"")</f>
        <v>1137.7927848449101</v>
      </c>
      <c r="D7">
        <f t="shared" ref="D7:D20" si="0">RANK($B7,$B$7:$B$20)</f>
        <v>2</v>
      </c>
      <c r="E7">
        <f t="shared" ref="E7:E20" si="1">MAX($B$7:$B$20)-$B7</f>
        <v>42.513506815841311</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LLLWW</v>
      </c>
      <c r="J7">
        <f t="shared" ref="J7:J20" ca="1" si="3">$AL7-$AM7+$AN7-$AO7+ROW()/10000000</f>
        <v>1188.5766163390554</v>
      </c>
      <c r="K7">
        <f t="shared" ref="K7:K20" ca="1" si="4">RANK($J7,$J$7:$J$20)</f>
        <v>4</v>
      </c>
      <c r="L7">
        <f t="shared" ref="L7:L20" ca="1" si="5">$K7-RANK($AI7,$AI$7:$AI$20)</f>
        <v>2</v>
      </c>
      <c r="M7">
        <f t="shared" ref="M7:M20" si="6">SUMPRODUCT(($D$25:$D$724=$A7)*($G$25:$G$724&gt;0.25)*($D$25:$D$724&lt;&gt;""))</f>
        <v>9</v>
      </c>
      <c r="N7">
        <f t="shared" ref="N7:N20" si="7">LEN($I7)-LEN(SUBSTITUTE($I7,"W",""))</f>
        <v>2</v>
      </c>
      <c r="O7">
        <f t="shared" ref="O7:O20" si="8">IF($F7="Win",$G7,0)</f>
        <v>2</v>
      </c>
      <c r="P7">
        <f>IFERROR(SUMPRODUCT(MAX(('Match Log'!$D$4:$D$1510=$A7)*'Match Log'!$B$4:$B$1510)),0)</f>
        <v>46319</v>
      </c>
      <c r="Q7">
        <f t="shared" ref="Q7:Q20" ca="1" si="9">IF($P7=0,"",($D$4-$P7)/7)</f>
        <v>0.42857142857142855</v>
      </c>
      <c r="R7">
        <f ca="1">IF($P7=0,0,IF($Q7&gt;='Guide &amp; Settings'!$C$48,(INT($Q7-'Guide &amp; Settings'!$C$48)+1)*'Guide &amp; Settings'!$C$49,0))</f>
        <v>0</v>
      </c>
      <c r="S7">
        <f ca="1">$B7-$R7-$U7+SUMIF('Poker Stake Ledger'!$C$18:$C$137,$A7,'Poker Stake Ledger'!$K$18:$K$137)</f>
        <v>1223.1911759451084</v>
      </c>
      <c r="T7" t="str">
        <f ca="1">IF($P7=0,"No games",IF($Q7&gt;='Guide &amp; Settings'!$C$48,"Inactive",IF($Q7&gt;='Guide &amp; Settings'!$C$47,"At risk","Active")))</f>
        <v>Active</v>
      </c>
      <c r="U7">
        <f>SUMIF('Match Log'!$D$4:$D$1510,$A7,'Match Log'!$AC$4:$AC$1510)</f>
        <v>10</v>
      </c>
      <c r="V7">
        <f t="shared" ref="V7:V20" si="10">IF($F7="Loss",$G7,0)</f>
        <v>0</v>
      </c>
      <c r="W7">
        <f t="shared" ref="W7:W20" ca="1" si="11">MAX(0,MIN(100,50+($S7-1000)/4))</f>
        <v>100</v>
      </c>
      <c r="X7">
        <f ca="1">IFERROR(INDEX(Dashboard!$G$5:$G$18,MATCH($A7,Dashboard!$B$5:$B$18,0))*100,0)</f>
        <v>46.808510638297875</v>
      </c>
      <c r="Y7">
        <f ca="1">MIN(100,IFERROR(INDEX(Dashboard!$K$5:$K$18,MATCH($A7,Dashboard!$B$5:$B$18,0)),0)/5*50+$AC7/4*50)</f>
        <v>100</v>
      </c>
      <c r="Z7">
        <f t="shared" ref="Z7:Z20" si="12">IFERROR($N7/LEN($I7)*100,0)</f>
        <v>40</v>
      </c>
      <c r="AA7">
        <f t="shared" ref="AA7:AA20" si="13">IF($C7="",0,MAX(0,MIN(100,50+($C7-1000)/4)))</f>
        <v>84.448196211227526</v>
      </c>
      <c r="AB7">
        <f t="shared" ref="AB7:AB20" ca="1" si="14">0.35*$W7+0.2*$X7+0.2*$Y7+0.15*$Z7+0.1*$AA7</f>
        <v>78.80652174878233</v>
      </c>
      <c r="AC7">
        <f>IFERROR(SUMPRODUCT((INDEX('Sport Records'!$B$8:$O$32,0,MATCH($A7,'Sport Records'!$B$7:$O$7,0))&gt;=2)*(INDEX('Sport Records'!$B$62:$O$86,0,MATCH($A7,'Sport Records'!$B$61:$O$61,0))&gt;=0.5)),0)</f>
        <v>4</v>
      </c>
      <c r="AD7">
        <f ca="1">IFERROR(INDEX(Dashboard!$D$5:$D$18,MATCH($A7,Dashboard!$B$5:$B$18,0)),0)</f>
        <v>94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2</v>
      </c>
      <c r="AI7">
        <f t="shared" ref="AI7:AI20" ca="1" si="16">IF(ISNUMBER($S7),$S7,-1000000)+ROW()/10000000</f>
        <v>1223.1911766451085</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1102.0730391510867</v>
      </c>
      <c r="D8">
        <f t="shared" si="0"/>
        <v>9</v>
      </c>
      <c r="E8">
        <f t="shared" si="1"/>
        <v>257.28708622743579</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879.51759733351378</v>
      </c>
      <c r="K8">
        <f t="shared" ca="1" si="4"/>
        <v>12</v>
      </c>
      <c r="L8">
        <f t="shared" ca="1" si="5"/>
        <v>0</v>
      </c>
      <c r="M8">
        <f t="shared" si="6"/>
        <v>0</v>
      </c>
      <c r="N8">
        <f t="shared" si="7"/>
        <v>2</v>
      </c>
      <c r="O8">
        <f t="shared" si="8"/>
        <v>0</v>
      </c>
      <c r="P8">
        <f>IFERROR(SUMPRODUCT(MAX(('Match Log'!$D$4:$D$1510=$A8)*'Match Log'!$B$4:$B$1510)),0)</f>
        <v>46188</v>
      </c>
      <c r="Q8">
        <f t="shared" ca="1" si="9"/>
        <v>19.142857142857142</v>
      </c>
      <c r="R8">
        <f ca="1">IF($P8=0,0,IF($Q8&gt;='Guide &amp; Settings'!$C$48,(INT($Q8-'Guide &amp; Settings'!$C$48)+1)*'Guide &amp; Settings'!$C$49,0))</f>
        <v>160</v>
      </c>
      <c r="S8">
        <f ca="1">$B8-$R8-$U8+SUMIF('Poker Stake Ledger'!$C$18:$C$137,$A8,'Poker Stake Ledger'!$K$18:$K$137)</f>
        <v>869.51759653351382</v>
      </c>
      <c r="T8" t="str">
        <f ca="1">IF($P8=0,"No games",IF($Q8&gt;='Guide &amp; Settings'!$C$48,"Inactive",IF($Q8&gt;='Guide &amp; Settings'!$C$47,"At risk","Active")))</f>
        <v>Inactive</v>
      </c>
      <c r="U8">
        <f>SUMIF('Match Log'!$D$4:$D$1510,$A8,'Match Log'!$AC$4:$AC$1510)</f>
        <v>0</v>
      </c>
      <c r="V8">
        <f t="shared" si="10"/>
        <v>2</v>
      </c>
      <c r="W8">
        <f t="shared" ca="1" si="11"/>
        <v>17.379399133378456</v>
      </c>
      <c r="X8">
        <f ca="1">IFERROR(INDEX(Dashboard!$G$5:$G$18,MATCH($A8,Dashboard!$B$5:$B$18,0))*100,0)</f>
        <v>50</v>
      </c>
      <c r="Y8">
        <f ca="1">MIN(100,IFERROR(INDEX(Dashboard!$K$5:$K$18,MATCH($A8,Dashboard!$B$5:$B$18,0)),0)/5*50+$AC8/4*50)</f>
        <v>42.5</v>
      </c>
      <c r="Z8">
        <f t="shared" si="12"/>
        <v>40</v>
      </c>
      <c r="AA8">
        <f t="shared" si="13"/>
        <v>75.518259787771683</v>
      </c>
      <c r="AB8">
        <f t="shared" ca="1" si="14"/>
        <v>38.134615675459628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869.51759733351378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150</v>
      </c>
    </row>
    <row r="9" spans="1:41" ht="15" customHeight="1" x14ac:dyDescent="0.2">
      <c r="A9" t="s">
        <v>17</v>
      </c>
      <c r="B9">
        <f>IFERROR(INDEX(Engine!$B$2:$B$15,MATCH($A9,Engine!$A$2:$A$15,0)),1000)</f>
        <v>1048.0761030598392</v>
      </c>
      <c r="C9">
        <f>IFERROR(INDEX(Engine!$C$2:$C$15,MATCH($A9,Engine!$A$2:$A$15,0)),"")</f>
        <v>1146.4419004208635</v>
      </c>
      <c r="D9">
        <f t="shared" si="0"/>
        <v>8</v>
      </c>
      <c r="E9">
        <f t="shared" si="1"/>
        <v>238.72857970111045</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3.5714285714285716</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86.610475105215869</v>
      </c>
      <c r="AB9">
        <f t="shared" ca="1" si="14"/>
        <v>59.443793484779249</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1169.6302217328973</v>
      </c>
      <c r="D10">
        <f t="shared" si="0"/>
        <v>13</v>
      </c>
      <c r="E10">
        <f t="shared" si="1"/>
        <v>379.77334631977533</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837.03133744117429</v>
      </c>
      <c r="K10">
        <f t="shared" ca="1" si="4"/>
        <v>13</v>
      </c>
      <c r="L10">
        <f t="shared" ca="1" si="5"/>
        <v>0</v>
      </c>
      <c r="M10">
        <f t="shared" si="6"/>
        <v>0</v>
      </c>
      <c r="N10">
        <f t="shared" si="7"/>
        <v>0</v>
      </c>
      <c r="O10">
        <f t="shared" si="8"/>
        <v>0</v>
      </c>
      <c r="P10">
        <f>IFERROR(SUMPRODUCT(MAX(('Match Log'!$D$4:$D$1510=$A10)*'Match Log'!$B$4:$B$1510)),0)</f>
        <v>46256</v>
      </c>
      <c r="Q10">
        <f t="shared" ca="1" si="9"/>
        <v>9.4285714285714288</v>
      </c>
      <c r="R10">
        <f ca="1">IF($P10=0,0,IF($Q10&gt;='Guide &amp; Settings'!$C$48,(INT($Q10-'Guide &amp; Settings'!$C$48)+1)*'Guide &amp; Settings'!$C$49,0))</f>
        <v>60</v>
      </c>
      <c r="S10">
        <f ca="1">$B10-$R10-$U10+SUMIF('Poker Stake Ledger'!$C$18:$C$137,$A10,'Poker Stake Ledger'!$K$18:$K$137)</f>
        <v>827.03133644117429</v>
      </c>
      <c r="T10" t="str">
        <f ca="1">IF($P10=0,"No games",IF($Q10&gt;='Guide &amp; Settings'!$C$48,"Inactive",IF($Q10&gt;='Guide &amp; Settings'!$C$47,"At risk","Active")))</f>
        <v>Inactive</v>
      </c>
      <c r="U10">
        <f>SUMIF('Match Log'!$D$4:$D$1510,$A10,'Match Log'!$AC$4:$AC$1510)</f>
        <v>20</v>
      </c>
      <c r="V10">
        <f t="shared" si="10"/>
        <v>5</v>
      </c>
      <c r="W10">
        <f t="shared" ca="1" si="11"/>
        <v>6.7578341102935724</v>
      </c>
      <c r="X10">
        <f ca="1">IFERROR(INDEX(Dashboard!$G$5:$G$18,MATCH($A10,Dashboard!$B$5:$B$18,0))*100,0)</f>
        <v>21.739130434782609</v>
      </c>
      <c r="Y10">
        <f ca="1">MIN(100,IFERROR(INDEX(Dashboard!$K$5:$K$18,MATCH($A10,Dashboard!$B$5:$B$18,0)),0)/5*50+$AC10/4*50)</f>
        <v>60</v>
      </c>
      <c r="Z10">
        <f t="shared" si="12"/>
        <v>0</v>
      </c>
      <c r="AA10">
        <f t="shared" si="13"/>
        <v>92.407555433224331</v>
      </c>
      <c r="AB10">
        <f t="shared" ca="1" si="14"/>
        <v>27.95382356888171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827.03133744117429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50</v>
      </c>
    </row>
    <row r="11" spans="1:41" ht="15" customHeight="1" x14ac:dyDescent="0.2">
      <c r="A11" t="s">
        <v>19</v>
      </c>
      <c r="B11">
        <f>IFERROR(INDEX(Engine!$B$2:$B$15,MATCH($A11,Engine!$A$2:$A$15,0)),1000)</f>
        <v>1286.8046827609496</v>
      </c>
      <c r="C11">
        <f>IFERROR(INDEX(Engine!$C$2:$C$15,MATCH($A11,Engine!$A$2:$A$15,0)),"")</f>
        <v>1119.7007786931761</v>
      </c>
      <c r="D11">
        <f t="shared" si="0"/>
        <v>1</v>
      </c>
      <c r="E11">
        <f t="shared" si="1"/>
        <v>0</v>
      </c>
      <c r="F11" t="str">
        <f>IFERROR(LOOKUP(2,1/('Match Log'!$D$4:$D$1510=$A11),'Match Log'!$E$4:$E$1510),"")</f>
        <v>Win</v>
      </c>
      <c r="G11">
        <f>IF($F11="",0,SUMPRODUCT(('Match Log'!$D$4:$D$1510=$A11)*(ROW('Match Log'!$A$4:$A$1510)&gt;SUMPRODUCT(MAX(('Match Log'!$D$4:$D$1510=$A11)*('Match Log'!$E$4:$E$1510&lt;&gt;$F11)*ROW('Match Log'!$A$4:$A$1510))))))</f>
        <v>4</v>
      </c>
      <c r="H11" t="str">
        <f t="shared" si="2"/>
        <v>W4</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LWWWW</v>
      </c>
      <c r="J11">
        <f t="shared" ca="1" si="3"/>
        <v>1273.6858380946653</v>
      </c>
      <c r="K11">
        <f t="shared" ca="1" si="4"/>
        <v>1</v>
      </c>
      <c r="L11">
        <f t="shared" ca="1" si="5"/>
        <v>0</v>
      </c>
      <c r="M11">
        <f t="shared" si="6"/>
        <v>2</v>
      </c>
      <c r="N11">
        <f t="shared" si="7"/>
        <v>4</v>
      </c>
      <c r="O11">
        <f t="shared" si="8"/>
        <v>4</v>
      </c>
      <c r="P11">
        <f>IFERROR(SUMPRODUCT(MAX(('Match Log'!$D$4:$D$1510=$A11)*'Match Log'!$B$4:$B$1510)),0)</f>
        <v>46322</v>
      </c>
      <c r="Q11">
        <f t="shared" ca="1" si="9"/>
        <v>0</v>
      </c>
      <c r="R11">
        <f ca="1">IF($P11=0,0,IF($Q11&gt;='Guide &amp; Settings'!$C$48,(INT($Q11-'Guide &amp; Settings'!$C$48)+1)*'Guide &amp; Settings'!$C$49,0))</f>
        <v>0</v>
      </c>
      <c r="S11">
        <f ca="1">$B11-$R11-$U11+SUMIF('Poker Stake Ledger'!$C$18:$C$137,$A11,'Poker Stake Ledger'!$K$18:$K$137)</f>
        <v>1308.5546827609496</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63.380281690140848</v>
      </c>
      <c r="Y11">
        <f ca="1">MIN(100,IFERROR(INDEX(Dashboard!$K$5:$K$18,MATCH($A11,Dashboard!$B$5:$B$18,0)),0)/5*50+$AC11/4*50)</f>
        <v>100</v>
      </c>
      <c r="Z11">
        <f t="shared" si="12"/>
        <v>80</v>
      </c>
      <c r="AA11">
        <f t="shared" si="13"/>
        <v>79.925194673294016</v>
      </c>
      <c r="AB11">
        <f t="shared" ca="1" si="14"/>
        <v>87.668575805357563</v>
      </c>
      <c r="AC11">
        <f>IFERROR(SUMPRODUCT((INDEX('Sport Records'!$B$8:$O$32,0,MATCH($A11,'Sport Records'!$B$7:$O$7,0))&gt;=2)*(INDEX('Sport Records'!$B$62:$O$86,0,MATCH($A11,'Sport Records'!$B$61:$O$61,0))&gt;=0.5)),0)</f>
        <v>9</v>
      </c>
      <c r="AD11">
        <f ca="1">IFERROR(INDEX(Dashboard!$D$5:$D$18,MATCH($A11,Dashboard!$B$5:$B$18,0)),0)</f>
        <v>71</v>
      </c>
      <c r="AE11">
        <f ca="1">IFERROR(INDEX(Dashboard!$K$5:$K$18,MATCH($A11,Dashboard!$B$5:$B$18,0)),0)</f>
        <v>15</v>
      </c>
      <c r="AF11" t="str">
        <f t="shared" ca="1" si="15"/>
        <v>Elite</v>
      </c>
      <c r="AG11">
        <f ca="1">COUNTIFS('Match Log'!$D$4:$D$1510,$A11,'Match Log'!$B$4:$B$1510,"&gt;="&amp;$B$5)</f>
        <v>6</v>
      </c>
      <c r="AH11">
        <f ca="1">COUNTIFS('Match Log'!$D$4:$D$1510,$A11,'Match Log'!$B$4:$B$1510,"&gt;="&amp;$B$5,'Match Log'!$E$4:$E$1510,"Win")</f>
        <v>5</v>
      </c>
      <c r="AI11">
        <f t="shared" ca="1" si="16"/>
        <v>1308.5546838609496</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1199.9180814643371</v>
      </c>
      <c r="C12">
        <f>IFERROR(INDEX(Engine!$C$2:$C$15,MATCH($A12,Engine!$A$2:$A$15,0)),"")</f>
        <v>1139.9827631122678</v>
      </c>
      <c r="D12">
        <f t="shared" si="0"/>
        <v>5</v>
      </c>
      <c r="E12">
        <f t="shared" si="1"/>
        <v>86.886601296612525</v>
      </c>
      <c r="F12" t="str">
        <f>IFERROR(LOOKUP(2,1/('Match Log'!$D$4:$D$1510=$A12),'Match Log'!$E$4:$E$1510),"")</f>
        <v>Loss</v>
      </c>
      <c r="G12">
        <f>IF($F12="",0,SUMPRODUCT(('Match Log'!$D$4:$D$1510=$A12)*(ROW('Match Log'!$A$4:$A$1510)&gt;SUMPRODUCT(MAX(('Match Log'!$D$4:$D$1510=$A12)*('Match Log'!$E$4:$E$1510&lt;&gt;$F12)*ROW('Match Log'!$A$4:$A$1510))))))</f>
        <v>2</v>
      </c>
      <c r="H12" t="str">
        <f t="shared" si="2"/>
        <v>L2</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WLWLL</v>
      </c>
      <c r="J12">
        <f t="shared" ca="1" si="3"/>
        <v>1236.847271277964</v>
      </c>
      <c r="K12">
        <f t="shared" ca="1" si="4"/>
        <v>2</v>
      </c>
      <c r="L12">
        <f t="shared" ca="1" si="5"/>
        <v>-1</v>
      </c>
      <c r="M12">
        <f t="shared" si="6"/>
        <v>7</v>
      </c>
      <c r="N12">
        <f t="shared" si="7"/>
        <v>2</v>
      </c>
      <c r="O12">
        <f t="shared" si="8"/>
        <v>0</v>
      </c>
      <c r="P12">
        <f>IFERROR(SUMPRODUCT(MAX(('Match Log'!$D$4:$D$1510=$A12)*'Match Log'!$B$4:$B$1510)),0)</f>
        <v>46320</v>
      </c>
      <c r="Q12">
        <f t="shared" ca="1" si="9"/>
        <v>0.2857142857142857</v>
      </c>
      <c r="R12">
        <f ca="1">IF($P12=0,0,IF($Q12&gt;='Guide &amp; Settings'!$C$48,(INT($Q12-'Guide &amp; Settings'!$C$48)+1)*'Guide &amp; Settings'!$C$49,0))</f>
        <v>0</v>
      </c>
      <c r="S12">
        <f ca="1">$B12-$R12-$U12+SUMIF('Poker Stake Ledger'!$C$18:$C$137,$A12,'Poker Stake Ledger'!$K$18:$K$137)</f>
        <v>1196.1680814643371</v>
      </c>
      <c r="T12" t="str">
        <f ca="1">IF($P12=0,"No games",IF($Q12&gt;='Guide &amp; Settings'!$C$48,"Inactive",IF($Q12&gt;='Guide &amp; Settings'!$C$47,"At risk","Active")))</f>
        <v>Active</v>
      </c>
      <c r="U12">
        <f>SUMIF('Match Log'!$D$4:$D$1510,$A12,'Match Log'!$AC$4:$AC$1510)</f>
        <v>0</v>
      </c>
      <c r="V12">
        <f t="shared" si="10"/>
        <v>2</v>
      </c>
      <c r="W12">
        <f t="shared" ca="1" si="11"/>
        <v>99.042020366084273</v>
      </c>
      <c r="X12">
        <f ca="1">IFERROR(INDEX(Dashboard!$G$5:$G$18,MATCH($A12,Dashboard!$B$5:$B$18,0))*100,0)</f>
        <v>46.511627906976742</v>
      </c>
      <c r="Y12">
        <f ca="1">MIN(100,IFERROR(INDEX(Dashboard!$K$5:$K$18,MATCH($A12,Dashboard!$B$5:$B$18,0)),0)/5*50+$AC12/4*50)</f>
        <v>100</v>
      </c>
      <c r="Z12">
        <f t="shared" si="12"/>
        <v>40</v>
      </c>
      <c r="AA12">
        <f t="shared" si="13"/>
        <v>84.995690778066944</v>
      </c>
      <c r="AB12">
        <f t="shared" ca="1" si="14"/>
        <v>78.466601787331541</v>
      </c>
      <c r="AC12">
        <f>IFERROR(SUMPRODUCT((INDEX('Sport Records'!$B$8:$O$32,0,MATCH($A12,'Sport Records'!$B$7:$O$7,0))&gt;=2)*(INDEX('Sport Records'!$B$62:$O$86,0,MATCH($A12,'Sport Records'!$B$61:$O$61,0))&gt;=0.5)),0)</f>
        <v>5</v>
      </c>
      <c r="AD12">
        <f ca="1">IFERROR(INDEX(Dashboard!$D$5:$D$18,MATCH($A12,Dashboard!$B$5:$B$18,0)),0)</f>
        <v>172</v>
      </c>
      <c r="AE12">
        <f ca="1">IFERROR(INDEX(Dashboard!$K$5:$K$18,MATCH($A12,Dashboard!$B$5:$B$18,0)),0)</f>
        <v>19</v>
      </c>
      <c r="AF12" t="str">
        <f t="shared" ca="1" si="15"/>
        <v>Elite</v>
      </c>
      <c r="AG12">
        <f ca="1">COUNTIFS('Match Log'!$D$4:$D$1510,$A12,'Match Log'!$B$4:$B$1510,"&gt;="&amp;$B$5)</f>
        <v>2</v>
      </c>
      <c r="AH12">
        <f ca="1">COUNTIFS('Match Log'!$D$4:$D$1510,$A12,'Match Log'!$B$4:$B$1510,"&gt;="&amp;$B$5,'Match Log'!$E$4:$E$1510,"Win")</f>
        <v>0</v>
      </c>
      <c r="AI12">
        <f t="shared" ca="1" si="16"/>
        <v>1196.1680826643371</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1210.5445492849278</v>
      </c>
      <c r="C13">
        <f>IFERROR(INDEX(Engine!$C$2:$C$15,MATCH($A13,Engine!$A$2:$A$15,0)),"")</f>
        <v>1093.9144021018315</v>
      </c>
      <c r="D13">
        <f t="shared" si="0"/>
        <v>4</v>
      </c>
      <c r="E13">
        <f t="shared" si="1"/>
        <v>76.260133476021792</v>
      </c>
      <c r="F13" t="str">
        <f>IFERROR(LOOKUP(2,1/('Match Log'!$D$4:$D$1510=$A13),'Match Log'!$E$4:$E$1510),"")</f>
        <v>Win</v>
      </c>
      <c r="G13">
        <f>IF($F13="",0,SUMPRODUCT(('Match Log'!$D$4:$D$1510=$A13)*(ROW('Match Log'!$A$4:$A$1510)&gt;SUMPRODUCT(MAX(('Match Log'!$D$4:$D$1510=$A13)*('Match Log'!$E$4:$E$1510&lt;&gt;$F13)*ROW('Match Log'!$A$4:$A$1510))))))</f>
        <v>1</v>
      </c>
      <c r="H13" t="str">
        <f t="shared" si="2"/>
        <v>W1</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WLWLW</v>
      </c>
      <c r="J13">
        <f t="shared" ca="1" si="3"/>
        <v>1180.4461829871429</v>
      </c>
      <c r="K13">
        <f t="shared" ca="1" si="4"/>
        <v>6</v>
      </c>
      <c r="L13">
        <f t="shared" ca="1" si="5"/>
        <v>1</v>
      </c>
      <c r="M13">
        <f t="shared" si="6"/>
        <v>4</v>
      </c>
      <c r="N13">
        <f t="shared" si="7"/>
        <v>3</v>
      </c>
      <c r="O13">
        <f t="shared" si="8"/>
        <v>1</v>
      </c>
      <c r="P13">
        <f>IFERROR(SUMPRODUCT(MAX(('Match Log'!$D$4:$D$1510=$A13)*'Match Log'!$B$4:$B$1510)),0)</f>
        <v>46319</v>
      </c>
      <c r="Q13">
        <f t="shared" ca="1" si="9"/>
        <v>0.42857142857142855</v>
      </c>
      <c r="R13">
        <f ca="1">IF($P13=0,0,IF($Q13&gt;='Guide &amp; Settings'!$C$48,(INT($Q13-'Guide &amp; Settings'!$C$48)+1)*'Guide &amp; Settings'!$C$49,0))</f>
        <v>0</v>
      </c>
      <c r="S13">
        <f ca="1">$B13-$R13-$U13+SUMIF('Poker Stake Ledger'!$C$18:$C$137,$A13,'Poker Stake Ledger'!$K$18:$K$137)</f>
        <v>1174.9945492849279</v>
      </c>
      <c r="T13" t="str">
        <f ca="1">IF($P13=0,"No games",IF($Q13&gt;='Guide &amp; Settings'!$C$48,"Inactive",IF($Q13&gt;='Guide &amp; Settings'!$C$47,"At risk","Active")))</f>
        <v>Active</v>
      </c>
      <c r="U13">
        <f>SUMIF('Match Log'!$D$4:$D$1510,$A13,'Match Log'!$AC$4:$AC$1510)</f>
        <v>30</v>
      </c>
      <c r="V13">
        <f t="shared" si="10"/>
        <v>0</v>
      </c>
      <c r="W13">
        <f t="shared" ca="1" si="11"/>
        <v>93.748637321231968</v>
      </c>
      <c r="X13">
        <f ca="1">IFERROR(INDEX(Dashboard!$G$5:$G$18,MATCH($A13,Dashboard!$B$5:$B$18,0))*100,0)</f>
        <v>52.272727272727273</v>
      </c>
      <c r="Y13">
        <f ca="1">MIN(100,IFERROR(INDEX(Dashboard!$K$5:$K$18,MATCH($A13,Dashboard!$B$5:$B$18,0)),0)/5*50+$AC13/4*50)</f>
        <v>100</v>
      </c>
      <c r="Z13">
        <f t="shared" si="12"/>
        <v>60</v>
      </c>
      <c r="AA13">
        <f t="shared" si="13"/>
        <v>73.478600525457864</v>
      </c>
      <c r="AB13">
        <f t="shared" ca="1" si="14"/>
        <v>79.614428569522417</v>
      </c>
      <c r="AC13">
        <f>IFERROR(SUMPRODUCT((INDEX('Sport Records'!$B$8:$O$32,0,MATCH($A13,'Sport Records'!$B$7:$O$7,0))&gt;=2)*(INDEX('Sport Records'!$B$62:$O$86,0,MATCH($A13,'Sport Records'!$B$61:$O$61,0))&gt;=0.5)),0)</f>
        <v>5</v>
      </c>
      <c r="AD13">
        <f ca="1">IFERROR(INDEX(Dashboard!$D$5:$D$18,MATCH($A13,Dashboard!$B$5:$B$18,0)),0)</f>
        <v>44</v>
      </c>
      <c r="AE13">
        <f ca="1">IFERROR(INDEX(Dashboard!$K$5:$K$18,MATCH($A13,Dashboard!$B$5:$B$18,0)),0)</f>
        <v>12</v>
      </c>
      <c r="AF13" t="str">
        <f t="shared" ca="1" si="15"/>
        <v>Elite</v>
      </c>
      <c r="AG13">
        <f ca="1">COUNTIFS('Match Log'!$D$4:$D$1510,$A13,'Match Log'!$B$4:$B$1510,"&gt;="&amp;$B$5)</f>
        <v>4</v>
      </c>
      <c r="AH13">
        <f ca="1">COUNTIFS('Match Log'!$D$4:$D$1510,$A13,'Match Log'!$B$4:$B$1510,"&gt;="&amp;$B$5,'Match Log'!$E$4:$E$1510,"Win")</f>
        <v>2</v>
      </c>
      <c r="AI13">
        <f t="shared" ca="1" si="16"/>
        <v>1174.9945505849278</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30</v>
      </c>
    </row>
    <row r="14" spans="1:41" ht="15" customHeight="1" x14ac:dyDescent="0.2">
      <c r="A14" t="s">
        <v>22</v>
      </c>
      <c r="B14">
        <f>IFERROR(INDEX(Engine!$B$2:$B$15,MATCH($A14,Engine!$A$2:$A$15,0)),1000)</f>
        <v>1121.4304966817297</v>
      </c>
      <c r="C14">
        <f>IFERROR(INDEX(Engine!$C$2:$C$15,MATCH($A14,Engine!$A$2:$A$15,0)),"")</f>
        <v>1181.0016841877109</v>
      </c>
      <c r="D14">
        <f t="shared" si="0"/>
        <v>6</v>
      </c>
      <c r="E14">
        <f t="shared" si="1"/>
        <v>165.37418607921995</v>
      </c>
      <c r="F14" t="str">
        <f>IFERROR(LOOKUP(2,1/('Match Log'!$D$4:$D$1510=$A14),'Match Log'!$E$4:$E$1510),"")</f>
        <v>Loss</v>
      </c>
      <c r="G14">
        <f>IF($F14="",0,SUMPRODUCT(('Match Log'!$D$4:$D$1510=$A14)*(ROW('Match Log'!$A$4:$A$1510)&gt;SUMPRODUCT(MAX(('Match Log'!$D$4:$D$1510=$A14)*('Match Log'!$E$4:$E$1510&lt;&gt;$F14)*ROW('Match Log'!$A$4:$A$1510))))))</f>
        <v>4</v>
      </c>
      <c r="H14" t="str">
        <f t="shared" si="2"/>
        <v>L4</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WLLLL</v>
      </c>
      <c r="J14">
        <f t="shared" ca="1" si="3"/>
        <v>1189.5639041540671</v>
      </c>
      <c r="K14">
        <f t="shared" ca="1" si="4"/>
        <v>3</v>
      </c>
      <c r="L14">
        <f t="shared" ca="1" si="5"/>
        <v>-3</v>
      </c>
      <c r="M14">
        <f t="shared" si="6"/>
        <v>10</v>
      </c>
      <c r="N14">
        <f t="shared" si="7"/>
        <v>1</v>
      </c>
      <c r="O14">
        <f t="shared" si="8"/>
        <v>0</v>
      </c>
      <c r="P14">
        <f>IFERROR(SUMPRODUCT(MAX(('Match Log'!$D$4:$D$1510=$A14)*'Match Log'!$B$4:$B$1510)),0)</f>
        <v>46322</v>
      </c>
      <c r="Q14">
        <f t="shared" ca="1" si="9"/>
        <v>0</v>
      </c>
      <c r="R14">
        <f ca="1">IF($P14=0,0,IF($Q14&gt;='Guide &amp; Settings'!$C$48,(INT($Q14-'Guide &amp; Settings'!$C$48)+1)*'Guide &amp; Settings'!$C$49,0))</f>
        <v>0</v>
      </c>
      <c r="S14">
        <f ca="1">$B14-$R14-$U14+SUMIF('Poker Stake Ledger'!$C$18:$C$137,$A14,'Poker Stake Ledger'!$K$18:$K$137)</f>
        <v>1120.0804966817298</v>
      </c>
      <c r="T14" t="str">
        <f ca="1">IF($P14=0,"No games",IF($Q14&gt;='Guide &amp; Settings'!$C$48,"Inactive",IF($Q14&gt;='Guide &amp; Settings'!$C$47,"At risk","Active")))</f>
        <v>Active</v>
      </c>
      <c r="U14">
        <f>SUMIF('Match Log'!$D$4:$D$1510,$A14,'Match Log'!$AC$4:$AC$1510)</f>
        <v>0</v>
      </c>
      <c r="V14">
        <f t="shared" si="10"/>
        <v>4</v>
      </c>
      <c r="W14">
        <f t="shared" ca="1" si="11"/>
        <v>80.020124170432439</v>
      </c>
      <c r="X14">
        <f ca="1">IFERROR(INDEX(Dashboard!$G$5:$G$18,MATCH($A14,Dashboard!$B$5:$B$18,0))*100,0)</f>
        <v>41.666666666666671</v>
      </c>
      <c r="Y14">
        <f ca="1">MIN(100,IFERROR(INDEX(Dashboard!$K$5:$K$18,MATCH($A14,Dashboard!$B$5:$B$18,0)),0)/5*50+$AC14/4*50)</f>
        <v>100</v>
      </c>
      <c r="Z14">
        <f t="shared" si="12"/>
        <v>20</v>
      </c>
      <c r="AA14">
        <f t="shared" si="13"/>
        <v>95.250421046927727</v>
      </c>
      <c r="AB14">
        <f t="shared" ca="1" si="14"/>
        <v>68.865418897677458</v>
      </c>
      <c r="AC14">
        <f>IFERROR(SUMPRODUCT((INDEX('Sport Records'!$B$8:$O$32,0,MATCH($A14,'Sport Records'!$B$7:$O$7,0))&gt;=2)*(INDEX('Sport Records'!$B$62:$O$86,0,MATCH($A14,'Sport Records'!$B$61:$O$61,0))&gt;=0.5)),0)</f>
        <v>5</v>
      </c>
      <c r="AD14">
        <f ca="1">IFERROR(INDEX(Dashboard!$D$5:$D$18,MATCH($A14,Dashboard!$B$5:$B$18,0)),0)</f>
        <v>168</v>
      </c>
      <c r="AE14">
        <f ca="1">IFERROR(INDEX(Dashboard!$K$5:$K$18,MATCH($A14,Dashboard!$B$5:$B$18,0)),0)</f>
        <v>20</v>
      </c>
      <c r="AF14" t="str">
        <f t="shared" ca="1" si="15"/>
        <v>Strong</v>
      </c>
      <c r="AG14">
        <f ca="1">COUNTIFS('Match Log'!$D$4:$D$1510,$A14,'Match Log'!$B$4:$B$1510,"&gt;="&amp;$B$5)</f>
        <v>9</v>
      </c>
      <c r="AH14">
        <f ca="1">COUNTIFS('Match Log'!$D$4:$D$1510,$A14,'Match Log'!$B$4:$B$1510,"&gt;="&amp;$B$5,'Match Log'!$E$4:$E$1510,"Win")</f>
        <v>2</v>
      </c>
      <c r="AI14">
        <f t="shared" ca="1" si="16"/>
        <v>1120.0804980817297</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1126.4610228083336</v>
      </c>
      <c r="D15">
        <f t="shared" si="0"/>
        <v>3</v>
      </c>
      <c r="E15">
        <f t="shared" si="1"/>
        <v>68.903141034001465</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1</v>
      </c>
      <c r="M15">
        <f t="shared" si="6"/>
        <v>3</v>
      </c>
      <c r="N15">
        <f t="shared" si="7"/>
        <v>3</v>
      </c>
      <c r="O15">
        <f t="shared" si="8"/>
        <v>0</v>
      </c>
      <c r="P15">
        <f>IFERROR(SUMPRODUCT(MAX(('Match Log'!$D$4:$D$1510=$A15)*'Match Log'!$B$4:$B$1510)),0)</f>
        <v>46290</v>
      </c>
      <c r="Q15">
        <f t="shared" ca="1" si="9"/>
        <v>4.5714285714285712</v>
      </c>
      <c r="R15">
        <f ca="1">IF($P15=0,0,IF($Q15&gt;='Guide &amp; Settings'!$C$48,(INT($Q15-'Guide &amp; Settings'!$C$48)+1)*'Guide &amp; Settings'!$C$49,0))</f>
        <v>10</v>
      </c>
      <c r="S15">
        <f ca="1">$B15-$R15-$U15+SUMIF('Poker Stake Ledger'!$C$18:$C$137,$A15,'Poker Stake Ledger'!$K$18:$K$137)</f>
        <v>1177.9015417269482</v>
      </c>
      <c r="T15" t="str">
        <f ca="1">IF($P15=0,"No games",IF($Q15&gt;='Guide &amp; Settings'!$C$48,"Inactive",IF($Q15&gt;='Guide &amp; Settings'!$C$47,"At risk","Active")))</f>
        <v>Inactive</v>
      </c>
      <c r="U15">
        <f>SUMIF('Match Log'!$D$4:$D$1510,$A15,'Match Log'!$AC$4:$AC$1510)</f>
        <v>30</v>
      </c>
      <c r="V15">
        <f t="shared" si="10"/>
        <v>1</v>
      </c>
      <c r="W15">
        <f t="shared" ca="1" si="11"/>
        <v>94.475385431737038</v>
      </c>
      <c r="X15">
        <f ca="1">IFERROR(INDEX(Dashboard!$G$5:$G$18,MATCH($A15,Dashboard!$B$5:$B$18,0))*100,0)</f>
        <v>59.523809523809526</v>
      </c>
      <c r="Y15">
        <f ca="1">MIN(100,IFERROR(INDEX(Dashboard!$K$5:$K$18,MATCH($A15,Dashboard!$B$5:$B$18,0)),0)/5*50+$AC15/4*50)</f>
        <v>100</v>
      </c>
      <c r="Z15">
        <f t="shared" si="12"/>
        <v>60</v>
      </c>
      <c r="AA15">
        <f t="shared" si="13"/>
        <v>81.615255702083402</v>
      </c>
      <c r="AB15">
        <f t="shared" ca="1" si="14"/>
        <v>82.132672376078204</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1177.9015432269482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1137.5236820918742</v>
      </c>
      <c r="D16">
        <f t="shared" si="0"/>
        <v>14</v>
      </c>
      <c r="E16">
        <f t="shared" si="1"/>
        <v>424.58173902417468</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14.285714285714286</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84.380920522968552</v>
      </c>
      <c r="AB16">
        <f t="shared" ca="1" si="14"/>
        <v>17.104758718963524</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1004.2053573760541</v>
      </c>
      <c r="C17">
        <f>IFERROR(INDEX(Engine!$C$2:$C$15,MATCH($A17,Engine!$A$2:$A$15,0)),"")</f>
        <v>1171.4931823014049</v>
      </c>
      <c r="D17">
        <f t="shared" si="0"/>
        <v>11</v>
      </c>
      <c r="E17">
        <f t="shared" si="1"/>
        <v>282.59932538489556</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WLWLW</v>
      </c>
      <c r="J17">
        <f t="shared" ca="1" si="3"/>
        <v>949.07453806021215</v>
      </c>
      <c r="K17">
        <f t="shared" ca="1" si="4"/>
        <v>11</v>
      </c>
      <c r="L17">
        <f t="shared" ca="1" si="5"/>
        <v>2</v>
      </c>
      <c r="M17">
        <f t="shared" si="6"/>
        <v>5</v>
      </c>
      <c r="N17">
        <f t="shared" si="7"/>
        <v>3</v>
      </c>
      <c r="O17">
        <f t="shared" si="8"/>
        <v>1</v>
      </c>
      <c r="P17">
        <f>IFERROR(SUMPRODUCT(MAX(('Match Log'!$D$4:$D$1510=$A17)*'Match Log'!$B$4:$B$1510)),0)</f>
        <v>46320</v>
      </c>
      <c r="Q17">
        <f t="shared" ca="1" si="9"/>
        <v>0.2857142857142857</v>
      </c>
      <c r="R17">
        <f ca="1">IF($P17=0,0,IF($Q17&gt;='Guide &amp; Settings'!$C$48,(INT($Q17-'Guide &amp; Settings'!$C$48)+1)*'Guide &amp; Settings'!$C$49,0))</f>
        <v>0</v>
      </c>
      <c r="S17">
        <f ca="1">$B17-$R17-$U17+SUMIF('Poker Stake Ledger'!$C$18:$C$137,$A17,'Poker Stake Ledger'!$K$18:$K$137)</f>
        <v>1004.2053573760541</v>
      </c>
      <c r="T17" t="str">
        <f ca="1">IF($P17=0,"No games",IF($Q17&gt;='Guide &amp; Settings'!$C$48,"Inactive",IF($Q17&gt;='Guide &amp; Settings'!$C$47,"At risk","Active")))</f>
        <v>Active</v>
      </c>
      <c r="U17">
        <f>SUMIF('Match Log'!$D$4:$D$1510,$A17,'Match Log'!$AC$4:$AC$1510)</f>
        <v>0</v>
      </c>
      <c r="V17">
        <f t="shared" si="10"/>
        <v>0</v>
      </c>
      <c r="W17">
        <f t="shared" ca="1" si="11"/>
        <v>51.051339344013513</v>
      </c>
      <c r="X17">
        <f ca="1">IFERROR(INDEX(Dashboard!$G$5:$G$18,MATCH($A17,Dashboard!$B$5:$B$18,0))*100,0)</f>
        <v>36.666666666666664</v>
      </c>
      <c r="Y17">
        <f ca="1">MIN(100,IFERROR(INDEX(Dashboard!$K$5:$K$18,MATCH($A17,Dashboard!$B$5:$B$18,0)),0)/5*50+$AC17/4*50)</f>
        <v>100</v>
      </c>
      <c r="Z17">
        <f t="shared" si="12"/>
        <v>60</v>
      </c>
      <c r="AA17">
        <f t="shared" si="13"/>
        <v>92.873295575351221</v>
      </c>
      <c r="AB17">
        <f t="shared" ca="1" si="14"/>
        <v>63.488631661273182</v>
      </c>
      <c r="AC17">
        <f>IFERROR(SUMPRODUCT((INDEX('Sport Records'!$B$8:$O$32,0,MATCH($A17,'Sport Records'!$B$7:$O$7,0))&gt;=2)*(INDEX('Sport Records'!$B$62:$O$86,0,MATCH($A17,'Sport Records'!$B$61:$O$61,0))&gt;=0.5)),0)</f>
        <v>3</v>
      </c>
      <c r="AD17">
        <f ca="1">IFERROR(INDEX(Dashboard!$D$5:$D$18,MATCH($A17,Dashboard!$B$5:$B$18,0)),0)</f>
        <v>90</v>
      </c>
      <c r="AE17">
        <f ca="1">IFERROR(INDEX(Dashboard!$K$5:$K$18,MATCH($A17,Dashboard!$B$5:$B$18,0)),0)</f>
        <v>14</v>
      </c>
      <c r="AF17" t="str">
        <f t="shared" ca="1" si="15"/>
        <v>Strong</v>
      </c>
      <c r="AG17">
        <f ca="1">COUNTIFS('Match Log'!$D$4:$D$1510,$A17,'Match Log'!$B$4:$B$1510,"&gt;="&amp;$B$5)</f>
        <v>5</v>
      </c>
      <c r="AH17">
        <f ca="1">COUNTIFS('Match Log'!$D$4:$D$1510,$A17,'Match Log'!$B$4:$B$1510,"&gt;="&amp;$B$5,'Match Log'!$E$4:$E$1510,"Win")</f>
        <v>3</v>
      </c>
      <c r="AI17">
        <f t="shared" ca="1" si="16"/>
        <v>1004.205359076054</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1058.4347597357651</v>
      </c>
      <c r="D18">
        <f t="shared" si="0"/>
        <v>7</v>
      </c>
      <c r="E18">
        <f t="shared" si="1"/>
        <v>199.25578805446412</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1027.5488965064856</v>
      </c>
      <c r="K18">
        <f t="shared" ca="1" si="4"/>
        <v>8</v>
      </c>
      <c r="L18">
        <f t="shared" ca="1" si="5"/>
        <v>0</v>
      </c>
      <c r="M18">
        <f t="shared" si="6"/>
        <v>2</v>
      </c>
      <c r="N18">
        <f t="shared" si="7"/>
        <v>3</v>
      </c>
      <c r="O18">
        <f t="shared" si="8"/>
        <v>1</v>
      </c>
      <c r="P18">
        <f>IFERROR(SUMPRODUCT(MAX(('Match Log'!$D$4:$D$1510=$A18)*'Match Log'!$B$4:$B$1510)),0)</f>
        <v>46249</v>
      </c>
      <c r="Q18">
        <f t="shared" ca="1" si="9"/>
        <v>10.428571428571429</v>
      </c>
      <c r="R18">
        <f ca="1">IF($P18=0,0,IF($Q18&gt;='Guide &amp; Settings'!$C$48,(INT($Q18-'Guide &amp; Settings'!$C$48)+1)*'Guide &amp; Settings'!$C$49,0))</f>
        <v>70</v>
      </c>
      <c r="S18">
        <f ca="1">$B18-$R18-$U18+SUMIF('Poker Stake Ledger'!$C$18:$C$137,$A18,'Poker Stake Ledger'!$K$18:$K$137)</f>
        <v>1017.5488947064855</v>
      </c>
      <c r="T18" t="str">
        <f ca="1">IF($P18=0,"No games",IF($Q18&gt;='Guide &amp; Settings'!$C$48,"Inactive",IF($Q18&gt;='Guide &amp; Settings'!$C$47,"At risk","Active")))</f>
        <v>Inactive</v>
      </c>
      <c r="U18">
        <f>SUMIF('Match Log'!$D$4:$D$1510,$A18,'Match Log'!$AC$4:$AC$1510)</f>
        <v>0</v>
      </c>
      <c r="V18">
        <f t="shared" si="10"/>
        <v>0</v>
      </c>
      <c r="W18">
        <f t="shared" ca="1" si="11"/>
        <v>54.387223676621375</v>
      </c>
      <c r="X18">
        <f ca="1">IFERROR(INDEX(Dashboard!$G$5:$G$18,MATCH($A18,Dashboard!$B$5:$B$18,0))*100,0)</f>
        <v>46.666666666666664</v>
      </c>
      <c r="Y18">
        <f ca="1">MIN(100,IFERROR(INDEX(Dashboard!$K$5:$K$18,MATCH($A18,Dashboard!$B$5:$B$18,0)),0)/5*50+$AC18/4*50)</f>
        <v>65</v>
      </c>
      <c r="Z18">
        <f t="shared" si="12"/>
        <v>60</v>
      </c>
      <c r="AA18">
        <f t="shared" si="13"/>
        <v>64.608689933941264</v>
      </c>
      <c r="AB18">
        <f t="shared" ca="1" si="14"/>
        <v>56.829730613544946</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1017.5488965064854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60</v>
      </c>
    </row>
    <row r="19" spans="1:41" ht="15" customHeight="1" x14ac:dyDescent="0.2">
      <c r="A19" t="s">
        <v>27</v>
      </c>
      <c r="B19">
        <f>IFERROR(INDEX(Engine!$B$2:$B$15,MATCH($A19,Engine!$A$2:$A$15,0)),1000)</f>
        <v>1010.5072402821568</v>
      </c>
      <c r="C19">
        <f>IFERROR(INDEX(Engine!$C$2:$C$15,MATCH($A19,Engine!$A$2:$A$15,0)),"")</f>
        <v>1106.0958792052386</v>
      </c>
      <c r="D19">
        <f t="shared" si="0"/>
        <v>10</v>
      </c>
      <c r="E19">
        <f t="shared" si="1"/>
        <v>276.29744247879285</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-1</v>
      </c>
      <c r="M19">
        <f t="shared" si="6"/>
        <v>0</v>
      </c>
      <c r="N19">
        <f t="shared" si="7"/>
        <v>0</v>
      </c>
      <c r="O19">
        <f t="shared" si="8"/>
        <v>0</v>
      </c>
      <c r="P19">
        <f>IFERROR(SUMPRODUCT(MAX(('Match Log'!$D$4:$D$1510=$A19)*'Match Log'!$B$4:$B$1510)),0)</f>
        <v>46298</v>
      </c>
      <c r="Q19">
        <f t="shared" ca="1" si="9"/>
        <v>3.4285714285714284</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76.523969801309647</v>
      </c>
      <c r="AB19">
        <f t="shared" ca="1" si="14"/>
        <v>44.630604034231446</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286.80468276094962</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f>IFERROR(INDEX('Match Log'!$B$4:$B$1510,MATCH($A353,'Match Log'!$A$4:$A$1510,0)),"")</f>
        <v>46322</v>
      </c>
      <c r="C353" t="str">
        <f>IFERROR(INDEX('Match Log'!$C$4:$C$1510,MATCH($A353,'Match Log'!$A$4:$A$1510,0)),"")</f>
        <v>Pool</v>
      </c>
      <c r="D353" t="str">
        <f t="array" ref="D353">IFERROR(_xlfn.TEXTJOIN(" + ",TRUE(),IF(('Match Log'!$A$4:$A$1510=$A353)*('Match Log'!$E$4:$E$1510="Win"),'Match Log'!$D$4:$D$1510,"")),IFERROR(LOOKUP(2,1/(('Match Log'!$A$4:$A$1510=$A353)*('Match Log'!$E$4:$E$1510="Win")),'Match Log'!$D$4:$D$1510),""))</f>
        <v>Josh</v>
      </c>
      <c r="E353">
        <f>IFERROR(INDEX('Match Log'!$F$4:$F$1510,MATCH($A353,'Match Log'!$A$4:$A$1510,0)),"")</f>
        <v>2</v>
      </c>
      <c r="F353">
        <f>IFERROR(SUMIFS('Match Log'!$I$4:$I$1510,'Match Log'!$A$4:$A$1510,$A353,'Match Log'!$E$4:$E$1510,"Win"),"")</f>
        <v>0.5714285714285714</v>
      </c>
      <c r="G353">
        <f t="shared" si="32"/>
        <v>-0.14285714285714279</v>
      </c>
      <c r="H353" t="str">
        <f t="array" ref="H353">IFERROR(IF(COUNTIFS('Match Log'!$A$4:$A$1510,$A353,'Match Log'!$E$4:$E$1510,"Win")&gt;1,_xlfn.TEXTJOIN(" + ",TRUE(),IF(('Match Log'!$A$4:$A$1510=$A353)*('Match Log'!$E$4:$E$1510="Loss"),'Match Log'!$D$4:$D$1510,"")),IF($E353=2,LOOKUP(2,1/(('Match Log'!$A$4:$A$1510=$A353)*('Match Log'!$E$4:$E$1510="Loss")),'Match Log'!$D$4:$D$1510),"the field")),"")</f>
        <v>Daniel (Ferret)</v>
      </c>
      <c r="I353">
        <f t="shared" si="33"/>
        <v>-0.14318614285714279</v>
      </c>
      <c r="J353">
        <v>329</v>
      </c>
      <c r="K353">
        <f>IF($J353&gt;MAX('Match Log'!$A$4:$A$1510),NA(),IFERROR(LOOKUP(2,1/(('Match Log'!$D$4:$D$1510=$K$24)*('Match Log'!$A$4:$A$1510&lt;=$J353)),'Match Log'!$N$4:$N$1510),NA()))</f>
        <v>1244.2911759451083</v>
      </c>
      <c r="L353">
        <f>IF($J353&gt;MAX('Match Log'!$A$4:$A$1510),NA(),IFERROR(LOOKUP(2,1/(('Match Log'!$D$4:$D$1510=$L$24)*('Match Log'!$A$4:$A$1510&lt;=$J353)),'Match Log'!$N$4:$N$1510),NA()))</f>
        <v>1029.5175965335138</v>
      </c>
      <c r="M353">
        <f>IF($J353&gt;MAX('Match Log'!$A$4:$A$1510),NA(),IFERROR(LOOKUP(2,1/(('Match Log'!$D$4:$D$1510=$M$24)*('Match Log'!$A$4:$A$1510&lt;=$J353)),'Match Log'!$N$4:$N$1510),NA()))</f>
        <v>1048.0761030598392</v>
      </c>
      <c r="N353">
        <f>IF($J353&gt;MAX('Match Log'!$A$4:$A$1510),NA(),IFERROR(LOOKUP(2,1/(('Match Log'!$D$4:$D$1510=$N$24)*('Match Log'!$A$4:$A$1510&lt;=$J353)),'Match Log'!$N$4:$N$1510),NA()))</f>
        <v>907.03133644117429</v>
      </c>
      <c r="O353">
        <f>IF($J353&gt;MAX('Match Log'!$A$4:$A$1510),NA(),IFERROR(LOOKUP(2,1/(('Match Log'!$D$4:$D$1510=$O$24)*('Match Log'!$A$4:$A$1510&lt;=$J353)),'Match Log'!$N$4:$N$1510),NA()))</f>
        <v>1268.2705745951848</v>
      </c>
      <c r="P353">
        <f>IF($J353&gt;MAX('Match Log'!$A$4:$A$1510),NA(),IFERROR(LOOKUP(2,1/(('Match Log'!$D$4:$D$1510=$P$24)*('Match Log'!$A$4:$A$1510&lt;=$J353)),'Match Log'!$N$4:$N$1510),NA()))</f>
        <v>1199.9180814643371</v>
      </c>
      <c r="Q353">
        <f>IF($J353&gt;MAX('Match Log'!$A$4:$A$1510),NA(),IFERROR(LOOKUP(2,1/(('Match Log'!$D$4:$D$1510=$Q$24)*('Match Log'!$A$4:$A$1510&lt;=$J353)),'Match Log'!$N$4:$N$1510),NA()))</f>
        <v>1210.5445492849278</v>
      </c>
      <c r="R353">
        <f>IF($J353&gt;MAX('Match Log'!$A$4:$A$1510),NA(),IFERROR(LOOKUP(2,1/(('Match Log'!$D$4:$D$1510=$R$24)*('Match Log'!$A$4:$A$1510&lt;=$J353)),'Match Log'!$N$4:$N$1510),NA()))</f>
        <v>1139.9646048474945</v>
      </c>
      <c r="S353">
        <f>IF($J353&gt;MAX('Match Log'!$A$4:$A$1510),NA(),IFERROR(LOOKUP(2,1/(('Match Log'!$D$4:$D$1510=$S$24)*('Match Log'!$A$4:$A$1510&lt;=$J353)),'Match Log'!$N$4:$N$1510),NA()))</f>
        <v>1217.9015417269482</v>
      </c>
      <c r="T353">
        <f>IF($J353&gt;MAX('Match Log'!$A$4:$A$1510),NA(),IFERROR(LOOKUP(2,1/(('Match Log'!$D$4:$D$1510=$T$24)*('Match Log'!$A$4:$A$1510&lt;=$J353)),'Match Log'!$N$4:$N$1510),NA()))</f>
        <v>862.22294373677494</v>
      </c>
      <c r="U353">
        <f>IF($J353&gt;MAX('Match Log'!$A$4:$A$1510),NA(),IFERROR(LOOKUP(2,1/(('Match Log'!$D$4:$D$1510=$U$24)*('Match Log'!$A$4:$A$1510&lt;=$J353)),'Match Log'!$N$4:$N$1510),NA()))</f>
        <v>1004.2053573760541</v>
      </c>
      <c r="V353">
        <f>IF($J353&gt;MAX('Match Log'!$A$4:$A$1510),NA(),IFERROR(LOOKUP(2,1/(('Match Log'!$D$4:$D$1510=$V$24)*('Match Log'!$A$4:$A$1510&lt;=$J353)),'Match Log'!$N$4:$N$1510),NA()))</f>
        <v>1087.5488947064855</v>
      </c>
      <c r="W353">
        <f>IF($J353&gt;MAX('Match Log'!$A$4:$A$1510),NA(),IFERROR(LOOKUP(2,1/(('Match Log'!$D$4:$D$1510=$W$24)*('Match Log'!$A$4:$A$1510&lt;=$J353)),'Match Log'!$N$4:$N$1510),NA()))</f>
        <v>1010.5072402821568</v>
      </c>
      <c r="X353" t="e">
        <f>IF($J353&gt;MAX('Match Log'!$A$4:$A$1510),NA(),IFERROR(LOOKUP(2,1/(('Match Log'!$D$4:$D$1510=$X$24)*('Match Log'!$A$4:$A$1510&lt;=$J353)),'Match Log'!$N$4:$N$1510),NA()))</f>
        <v>#N/A</v>
      </c>
      <c r="Y353">
        <f t="shared" ca="1" si="34"/>
        <v>-0.14318614285714279</v>
      </c>
    </row>
    <row r="354" spans="1:25" x14ac:dyDescent="0.2">
      <c r="A354">
        <v>330</v>
      </c>
      <c r="B354">
        <f>IFERROR(INDEX('Match Log'!$B$4:$B$1510,MATCH($A354,'Match Log'!$A$4:$A$1510,0)),"")</f>
        <v>46322</v>
      </c>
      <c r="C354" t="str">
        <f>IFERROR(INDEX('Match Log'!$C$4:$C$1510,MATCH($A354,'Match Log'!$A$4:$A$1510,0)),"")</f>
        <v>Pool</v>
      </c>
      <c r="D354" t="str">
        <f t="array" ref="D354">IFERROR(_xlfn.TEXTJOIN(" + ",TRUE(),IF(('Match Log'!$A$4:$A$1510=$A354)*('Match Log'!$E$4:$E$1510="Win"),'Match Log'!$D$4:$D$1510,"")),IFERROR(LOOKUP(2,1/(('Match Log'!$A$4:$A$1510=$A354)*('Match Log'!$E$4:$E$1510="Win")),'Match Log'!$D$4:$D$1510),""))</f>
        <v>Daniel (Ferret)</v>
      </c>
      <c r="E354">
        <f>IFERROR(INDEX('Match Log'!$F$4:$F$1510,MATCH($A354,'Match Log'!$A$4:$A$1510,0)),"")</f>
        <v>2</v>
      </c>
      <c r="F354">
        <f>IFERROR(SUMIFS('Match Log'!$I$4:$I$1510,'Match Log'!$A$4:$A$1510,$A354,'Match Log'!$E$4:$E$1510,"Win"),"")</f>
        <v>0.39024390243902446</v>
      </c>
      <c r="G354">
        <f t="shared" si="32"/>
        <v>0.21951219512195108</v>
      </c>
      <c r="H354" t="str">
        <f t="array" ref="H354">IFERROR(IF(COUNTIFS('Match Log'!$A$4:$A$1510,$A354,'Match Log'!$E$4:$E$1510,"Win")&gt;1,_xlfn.TEXTJOIN(" + ",TRUE(),IF(('Match Log'!$A$4:$A$1510=$A354)*('Match Log'!$E$4:$E$1510="Loss"),'Match Log'!$D$4:$D$1510,"")),IF($E354=2,LOOKUP(2,1/(('Match Log'!$A$4:$A$1510=$A354)*('Match Log'!$E$4:$E$1510="Loss")),'Match Log'!$D$4:$D$1510),"the field")),"")</f>
        <v>Josh</v>
      </c>
      <c r="I354">
        <f t="shared" si="33"/>
        <v>0.21918219512195108</v>
      </c>
      <c r="J354">
        <v>330</v>
      </c>
      <c r="K354">
        <f>IF($J354&gt;MAX('Match Log'!$A$4:$A$1510),NA(),IFERROR(LOOKUP(2,1/(('Match Log'!$D$4:$D$1510=$K$24)*('Match Log'!$A$4:$A$1510&lt;=$J354)),'Match Log'!$N$4:$N$1510),NA()))</f>
        <v>1244.2911759451083</v>
      </c>
      <c r="L354">
        <f>IF($J354&gt;MAX('Match Log'!$A$4:$A$1510),NA(),IFERROR(LOOKUP(2,1/(('Match Log'!$D$4:$D$1510=$L$24)*('Match Log'!$A$4:$A$1510&lt;=$J354)),'Match Log'!$N$4:$N$1510),NA()))</f>
        <v>1029.5175965335138</v>
      </c>
      <c r="M354">
        <f>IF($J354&gt;MAX('Match Log'!$A$4:$A$1510),NA(),IFERROR(LOOKUP(2,1/(('Match Log'!$D$4:$D$1510=$M$24)*('Match Log'!$A$4:$A$1510&lt;=$J354)),'Match Log'!$N$4:$N$1510),NA()))</f>
        <v>1048.0761030598392</v>
      </c>
      <c r="N354">
        <f>IF($J354&gt;MAX('Match Log'!$A$4:$A$1510),NA(),IFERROR(LOOKUP(2,1/(('Match Log'!$D$4:$D$1510=$N$24)*('Match Log'!$A$4:$A$1510&lt;=$J354)),'Match Log'!$N$4:$N$1510),NA()))</f>
        <v>907.03133644117429</v>
      </c>
      <c r="O354">
        <f>IF($J354&gt;MAX('Match Log'!$A$4:$A$1510),NA(),IFERROR(LOOKUP(2,1/(('Match Log'!$D$4:$D$1510=$O$24)*('Match Log'!$A$4:$A$1510&lt;=$J354)),'Match Log'!$N$4:$N$1510),NA()))</f>
        <v>1239.2423766352731</v>
      </c>
      <c r="P354">
        <f>IF($J354&gt;MAX('Match Log'!$A$4:$A$1510),NA(),IFERROR(LOOKUP(2,1/(('Match Log'!$D$4:$D$1510=$P$24)*('Match Log'!$A$4:$A$1510&lt;=$J354)),'Match Log'!$N$4:$N$1510),NA()))</f>
        <v>1199.9180814643371</v>
      </c>
      <c r="Q354">
        <f>IF($J354&gt;MAX('Match Log'!$A$4:$A$1510),NA(),IFERROR(LOOKUP(2,1/(('Match Log'!$D$4:$D$1510=$Q$24)*('Match Log'!$A$4:$A$1510&lt;=$J354)),'Match Log'!$N$4:$N$1510),NA()))</f>
        <v>1210.5445492849278</v>
      </c>
      <c r="R354">
        <f>IF($J354&gt;MAX('Match Log'!$A$4:$A$1510),NA(),IFERROR(LOOKUP(2,1/(('Match Log'!$D$4:$D$1510=$R$24)*('Match Log'!$A$4:$A$1510&lt;=$J354)),'Match Log'!$N$4:$N$1510),NA()))</f>
        <v>1168.9928028074062</v>
      </c>
      <c r="S354">
        <f>IF($J354&gt;MAX('Match Log'!$A$4:$A$1510),NA(),IFERROR(LOOKUP(2,1/(('Match Log'!$D$4:$D$1510=$S$24)*('Match Log'!$A$4:$A$1510&lt;=$J354)),'Match Log'!$N$4:$N$1510),NA()))</f>
        <v>1217.9015417269482</v>
      </c>
      <c r="T354">
        <f>IF($J354&gt;MAX('Match Log'!$A$4:$A$1510),NA(),IFERROR(LOOKUP(2,1/(('Match Log'!$D$4:$D$1510=$T$24)*('Match Log'!$A$4:$A$1510&lt;=$J354)),'Match Log'!$N$4:$N$1510),NA()))</f>
        <v>862.22294373677494</v>
      </c>
      <c r="U354">
        <f>IF($J354&gt;MAX('Match Log'!$A$4:$A$1510),NA(),IFERROR(LOOKUP(2,1/(('Match Log'!$D$4:$D$1510=$U$24)*('Match Log'!$A$4:$A$1510&lt;=$J354)),'Match Log'!$N$4:$N$1510),NA()))</f>
        <v>1004.2053573760541</v>
      </c>
      <c r="V354">
        <f>IF($J354&gt;MAX('Match Log'!$A$4:$A$1510),NA(),IFERROR(LOOKUP(2,1/(('Match Log'!$D$4:$D$1510=$V$24)*('Match Log'!$A$4:$A$1510&lt;=$J354)),'Match Log'!$N$4:$N$1510),NA()))</f>
        <v>1087.5488947064855</v>
      </c>
      <c r="W354">
        <f>IF($J354&gt;MAX('Match Log'!$A$4:$A$1510),NA(),IFERROR(LOOKUP(2,1/(('Match Log'!$D$4:$D$1510=$W$24)*('Match Log'!$A$4:$A$1510&lt;=$J354)),'Match Log'!$N$4:$N$1510),NA()))</f>
        <v>1010.5072402821568</v>
      </c>
      <c r="X354" t="e">
        <f>IF($J354&gt;MAX('Match Log'!$A$4:$A$1510),NA(),IFERROR(LOOKUP(2,1/(('Match Log'!$D$4:$D$1510=$X$24)*('Match Log'!$A$4:$A$1510&lt;=$J354)),'Match Log'!$N$4:$N$1510),NA()))</f>
        <v>#N/A</v>
      </c>
      <c r="Y354">
        <f t="shared" ca="1" si="34"/>
        <v>0.21918219512195108</v>
      </c>
    </row>
    <row r="355" spans="1:25" x14ac:dyDescent="0.2">
      <c r="A355">
        <v>331</v>
      </c>
      <c r="B355">
        <f>IFERROR(INDEX('Match Log'!$B$4:$B$1510,MATCH($A355,'Match Log'!$A$4:$A$1510,0)),"")</f>
        <v>46322</v>
      </c>
      <c r="C355" t="str">
        <f>IFERROR(INDEX('Match Log'!$C$4:$C$1510,MATCH($A355,'Match Log'!$A$4:$A$1510,0)),"")</f>
        <v>Table Tennis</v>
      </c>
      <c r="D355" t="str">
        <f t="array" ref="D355">IFERROR(_xlfn.TEXTJOIN(" + ",TRUE(),IF(('Match Log'!$A$4:$A$1510=$A355)*('Match Log'!$E$4:$E$1510="Win"),'Match Log'!$D$4:$D$1510,"")),IFERROR(LOOKUP(2,1/(('Match Log'!$A$4:$A$1510=$A355)*('Match Log'!$E$4:$E$1510="Win")),'Match Log'!$D$4:$D$1510),""))</f>
        <v>Josh</v>
      </c>
      <c r="E355">
        <f>IFERROR(INDEX('Match Log'!$F$4:$F$1510,MATCH($A355,'Match Log'!$A$4:$A$1510,0)),"")</f>
        <v>2</v>
      </c>
      <c r="F355">
        <f>IFERROR(SUMIFS('Match Log'!$I$4:$I$1510,'Match Log'!$A$4:$A$1510,$A355,'Match Log'!$E$4:$E$1510,"Win"),"")</f>
        <v>0.78750000000000009</v>
      </c>
      <c r="G355">
        <f t="shared" si="32"/>
        <v>-0.57500000000000018</v>
      </c>
      <c r="H355" t="str">
        <f t="array" ref="H355">IFERROR(IF(COUNTIFS('Match Log'!$A$4:$A$1510,$A355,'Match Log'!$E$4:$E$1510,"Win")&gt;1,_xlfn.TEXTJOIN(" + ",TRUE(),IF(('Match Log'!$A$4:$A$1510=$A355)*('Match Log'!$E$4:$E$1510="Loss"),'Match Log'!$D$4:$D$1510,"")),IF($E355=2,LOOKUP(2,1/(('Match Log'!$A$4:$A$1510=$A355)*('Match Log'!$E$4:$E$1510="Loss")),'Match Log'!$D$4:$D$1510),"the field")),"")</f>
        <v>Daniel (Ferret)</v>
      </c>
      <c r="I355">
        <f t="shared" si="33"/>
        <v>-0.57533100000000015</v>
      </c>
      <c r="J355">
        <v>331</v>
      </c>
      <c r="K355">
        <f>IF($J355&gt;MAX('Match Log'!$A$4:$A$1510),NA(),IFERROR(LOOKUP(2,1/(('Match Log'!$D$4:$D$1510=$K$24)*('Match Log'!$A$4:$A$1510&lt;=$J355)),'Match Log'!$N$4:$N$1510),NA()))</f>
        <v>1244.2911759451083</v>
      </c>
      <c r="L355">
        <f>IF($J355&gt;MAX('Match Log'!$A$4:$A$1510),NA(),IFERROR(LOOKUP(2,1/(('Match Log'!$D$4:$D$1510=$L$24)*('Match Log'!$A$4:$A$1510&lt;=$J355)),'Match Log'!$N$4:$N$1510),NA()))</f>
        <v>1029.5175965335138</v>
      </c>
      <c r="M355">
        <f>IF($J355&gt;MAX('Match Log'!$A$4:$A$1510),NA(),IFERROR(LOOKUP(2,1/(('Match Log'!$D$4:$D$1510=$M$24)*('Match Log'!$A$4:$A$1510&lt;=$J355)),'Match Log'!$N$4:$N$1510),NA()))</f>
        <v>1048.0761030598392</v>
      </c>
      <c r="N355">
        <f>IF($J355&gt;MAX('Match Log'!$A$4:$A$1510),NA(),IFERROR(LOOKUP(2,1/(('Match Log'!$D$4:$D$1510=$N$24)*('Match Log'!$A$4:$A$1510&lt;=$J355)),'Match Log'!$N$4:$N$1510),NA()))</f>
        <v>907.03133644117429</v>
      </c>
      <c r="O355">
        <f>IF($J355&gt;MAX('Match Log'!$A$4:$A$1510),NA(),IFERROR(LOOKUP(2,1/(('Match Log'!$D$4:$D$1510=$O$24)*('Match Log'!$A$4:$A$1510&lt;=$J355)),'Match Log'!$N$4:$N$1510),NA()))</f>
        <v>1250.2942245636716</v>
      </c>
      <c r="P355">
        <f>IF($J355&gt;MAX('Match Log'!$A$4:$A$1510),NA(),IFERROR(LOOKUP(2,1/(('Match Log'!$D$4:$D$1510=$P$24)*('Match Log'!$A$4:$A$1510&lt;=$J355)),'Match Log'!$N$4:$N$1510),NA()))</f>
        <v>1199.9180814643371</v>
      </c>
      <c r="Q355">
        <f>IF($J355&gt;MAX('Match Log'!$A$4:$A$1510),NA(),IFERROR(LOOKUP(2,1/(('Match Log'!$D$4:$D$1510=$Q$24)*('Match Log'!$A$4:$A$1510&lt;=$J355)),'Match Log'!$N$4:$N$1510),NA()))</f>
        <v>1210.5445492849278</v>
      </c>
      <c r="R355">
        <f>IF($J355&gt;MAX('Match Log'!$A$4:$A$1510),NA(),IFERROR(LOOKUP(2,1/(('Match Log'!$D$4:$D$1510=$R$24)*('Match Log'!$A$4:$A$1510&lt;=$J355)),'Match Log'!$N$4:$N$1510),NA()))</f>
        <v>1157.9409548790077</v>
      </c>
      <c r="S355">
        <f>IF($J355&gt;MAX('Match Log'!$A$4:$A$1510),NA(),IFERROR(LOOKUP(2,1/(('Match Log'!$D$4:$D$1510=$S$24)*('Match Log'!$A$4:$A$1510&lt;=$J355)),'Match Log'!$N$4:$N$1510),NA()))</f>
        <v>1217.9015417269482</v>
      </c>
      <c r="T355">
        <f>IF($J355&gt;MAX('Match Log'!$A$4:$A$1510),NA(),IFERROR(LOOKUP(2,1/(('Match Log'!$D$4:$D$1510=$T$24)*('Match Log'!$A$4:$A$1510&lt;=$J355)),'Match Log'!$N$4:$N$1510),NA()))</f>
        <v>862.22294373677494</v>
      </c>
      <c r="U355">
        <f>IF($J355&gt;MAX('Match Log'!$A$4:$A$1510),NA(),IFERROR(LOOKUP(2,1/(('Match Log'!$D$4:$D$1510=$U$24)*('Match Log'!$A$4:$A$1510&lt;=$J355)),'Match Log'!$N$4:$N$1510),NA()))</f>
        <v>1004.2053573760541</v>
      </c>
      <c r="V355">
        <f>IF($J355&gt;MAX('Match Log'!$A$4:$A$1510),NA(),IFERROR(LOOKUP(2,1/(('Match Log'!$D$4:$D$1510=$V$24)*('Match Log'!$A$4:$A$1510&lt;=$J355)),'Match Log'!$N$4:$N$1510),NA()))</f>
        <v>1087.5488947064855</v>
      </c>
      <c r="W355">
        <f>IF($J355&gt;MAX('Match Log'!$A$4:$A$1510),NA(),IFERROR(LOOKUP(2,1/(('Match Log'!$D$4:$D$1510=$W$24)*('Match Log'!$A$4:$A$1510&lt;=$J355)),'Match Log'!$N$4:$N$1510),NA()))</f>
        <v>1010.5072402821568</v>
      </c>
      <c r="X355" t="e">
        <f>IF($J355&gt;MAX('Match Log'!$A$4:$A$1510),NA(),IFERROR(LOOKUP(2,1/(('Match Log'!$D$4:$D$1510=$X$24)*('Match Log'!$A$4:$A$1510&lt;=$J355)),'Match Log'!$N$4:$N$1510),NA()))</f>
        <v>#N/A</v>
      </c>
      <c r="Y355">
        <f t="shared" ca="1" si="34"/>
        <v>-0.57533100000000015</v>
      </c>
    </row>
    <row r="356" spans="1:25" x14ac:dyDescent="0.2">
      <c r="A356">
        <v>332</v>
      </c>
      <c r="B356">
        <f>IFERROR(INDEX('Match Log'!$B$4:$B$1510,MATCH($A356,'Match Log'!$A$4:$A$1510,0)),"")</f>
        <v>46322</v>
      </c>
      <c r="C356" t="str">
        <f>IFERROR(INDEX('Match Log'!$C$4:$C$1510,MATCH($A356,'Match Log'!$A$4:$A$1510,0)),"")</f>
        <v>Table Tennis</v>
      </c>
      <c r="D356" t="str">
        <f t="array" ref="D356">IFERROR(_xlfn.TEXTJOIN(" + ",TRUE(),IF(('Match Log'!$A$4:$A$1510=$A356)*('Match Log'!$E$4:$E$1510="Win"),'Match Log'!$D$4:$D$1510,"")),IFERROR(LOOKUP(2,1/(('Match Log'!$A$4:$A$1510=$A356)*('Match Log'!$E$4:$E$1510="Win")),'Match Log'!$D$4:$D$1510),""))</f>
        <v>Josh</v>
      </c>
      <c r="E356">
        <f>IFERROR(INDEX('Match Log'!$F$4:$F$1510,MATCH($A356,'Match Log'!$A$4:$A$1510,0)),"")</f>
        <v>2</v>
      </c>
      <c r="F356">
        <f>IFERROR(SUMIFS('Match Log'!$I$4:$I$1510,'Match Log'!$A$4:$A$1510,$A356,'Match Log'!$E$4:$E$1510,"Win"),"")</f>
        <v>0.79831932773109249</v>
      </c>
      <c r="G356">
        <f t="shared" si="32"/>
        <v>-0.59663865546218497</v>
      </c>
      <c r="H356" t="str">
        <f t="array" ref="H356">IFERROR(IF(COUNTIFS('Match Log'!$A$4:$A$1510,$A356,'Match Log'!$E$4:$E$1510,"Win")&gt;1,_xlfn.TEXTJOIN(" + ",TRUE(),IF(('Match Log'!$A$4:$A$1510=$A356)*('Match Log'!$E$4:$E$1510="Loss"),'Match Log'!$D$4:$D$1510,"")),IF($E356=2,LOOKUP(2,1/(('Match Log'!$A$4:$A$1510=$A356)*('Match Log'!$E$4:$E$1510="Loss")),'Match Log'!$D$4:$D$1510),"the field")),"")</f>
        <v>Daniel (Ferret)</v>
      </c>
      <c r="I356">
        <f t="shared" si="33"/>
        <v>-0.59697065546218497</v>
      </c>
      <c r="J356">
        <v>332</v>
      </c>
      <c r="K356">
        <f>IF($J356&gt;MAX('Match Log'!$A$4:$A$1510),NA(),IFERROR(LOOKUP(2,1/(('Match Log'!$D$4:$D$1510=$K$24)*('Match Log'!$A$4:$A$1510&lt;=$J356)),'Match Log'!$N$4:$N$1510),NA()))</f>
        <v>1244.2911759451083</v>
      </c>
      <c r="L356">
        <f>IF($J356&gt;MAX('Match Log'!$A$4:$A$1510),NA(),IFERROR(LOOKUP(2,1/(('Match Log'!$D$4:$D$1510=$L$24)*('Match Log'!$A$4:$A$1510&lt;=$J356)),'Match Log'!$N$4:$N$1510),NA()))</f>
        <v>1029.5175965335138</v>
      </c>
      <c r="M356">
        <f>IF($J356&gt;MAX('Match Log'!$A$4:$A$1510),NA(),IFERROR(LOOKUP(2,1/(('Match Log'!$D$4:$D$1510=$M$24)*('Match Log'!$A$4:$A$1510&lt;=$J356)),'Match Log'!$N$4:$N$1510),NA()))</f>
        <v>1048.0761030598392</v>
      </c>
      <c r="N356">
        <f>IF($J356&gt;MAX('Match Log'!$A$4:$A$1510),NA(),IFERROR(LOOKUP(2,1/(('Match Log'!$D$4:$D$1510=$N$24)*('Match Log'!$A$4:$A$1510&lt;=$J356)),'Match Log'!$N$4:$N$1510),NA()))</f>
        <v>907.03133644117429</v>
      </c>
      <c r="O356">
        <f>IF($J356&gt;MAX('Match Log'!$A$4:$A$1510),NA(),IFERROR(LOOKUP(2,1/(('Match Log'!$D$4:$D$1510=$O$24)*('Match Log'!$A$4:$A$1510&lt;=$J356)),'Match Log'!$N$4:$N$1510),NA()))</f>
        <v>1260.5889638424703</v>
      </c>
      <c r="P356">
        <f>IF($J356&gt;MAX('Match Log'!$A$4:$A$1510),NA(),IFERROR(LOOKUP(2,1/(('Match Log'!$D$4:$D$1510=$P$24)*('Match Log'!$A$4:$A$1510&lt;=$J356)),'Match Log'!$N$4:$N$1510),NA()))</f>
        <v>1199.9180814643371</v>
      </c>
      <c r="Q356">
        <f>IF($J356&gt;MAX('Match Log'!$A$4:$A$1510),NA(),IFERROR(LOOKUP(2,1/(('Match Log'!$D$4:$D$1510=$Q$24)*('Match Log'!$A$4:$A$1510&lt;=$J356)),'Match Log'!$N$4:$N$1510),NA()))</f>
        <v>1210.5445492849278</v>
      </c>
      <c r="R356">
        <f>IF($J356&gt;MAX('Match Log'!$A$4:$A$1510),NA(),IFERROR(LOOKUP(2,1/(('Match Log'!$D$4:$D$1510=$R$24)*('Match Log'!$A$4:$A$1510&lt;=$J356)),'Match Log'!$N$4:$N$1510),NA()))</f>
        <v>1147.646215600209</v>
      </c>
      <c r="S356">
        <f>IF($J356&gt;MAX('Match Log'!$A$4:$A$1510),NA(),IFERROR(LOOKUP(2,1/(('Match Log'!$D$4:$D$1510=$S$24)*('Match Log'!$A$4:$A$1510&lt;=$J356)),'Match Log'!$N$4:$N$1510),NA()))</f>
        <v>1217.9015417269482</v>
      </c>
      <c r="T356">
        <f>IF($J356&gt;MAX('Match Log'!$A$4:$A$1510),NA(),IFERROR(LOOKUP(2,1/(('Match Log'!$D$4:$D$1510=$T$24)*('Match Log'!$A$4:$A$1510&lt;=$J356)),'Match Log'!$N$4:$N$1510),NA()))</f>
        <v>862.22294373677494</v>
      </c>
      <c r="U356">
        <f>IF($J356&gt;MAX('Match Log'!$A$4:$A$1510),NA(),IFERROR(LOOKUP(2,1/(('Match Log'!$D$4:$D$1510=$U$24)*('Match Log'!$A$4:$A$1510&lt;=$J356)),'Match Log'!$N$4:$N$1510),NA()))</f>
        <v>1004.2053573760541</v>
      </c>
      <c r="V356">
        <f>IF($J356&gt;MAX('Match Log'!$A$4:$A$1510),NA(),IFERROR(LOOKUP(2,1/(('Match Log'!$D$4:$D$1510=$V$24)*('Match Log'!$A$4:$A$1510&lt;=$J356)),'Match Log'!$N$4:$N$1510),NA()))</f>
        <v>1087.5488947064855</v>
      </c>
      <c r="W356">
        <f>IF($J356&gt;MAX('Match Log'!$A$4:$A$1510),NA(),IFERROR(LOOKUP(2,1/(('Match Log'!$D$4:$D$1510=$W$24)*('Match Log'!$A$4:$A$1510&lt;=$J356)),'Match Log'!$N$4:$N$1510),NA()))</f>
        <v>1010.5072402821568</v>
      </c>
      <c r="X356" t="e">
        <f>IF($J356&gt;MAX('Match Log'!$A$4:$A$1510),NA(),IFERROR(LOOKUP(2,1/(('Match Log'!$D$4:$D$1510=$X$24)*('Match Log'!$A$4:$A$1510&lt;=$J356)),'Match Log'!$N$4:$N$1510),NA()))</f>
        <v>#N/A</v>
      </c>
      <c r="Y356">
        <f t="shared" ca="1" si="34"/>
        <v>-0.59697065546218497</v>
      </c>
    </row>
    <row r="357" spans="1:25" x14ac:dyDescent="0.2">
      <c r="A357">
        <v>333</v>
      </c>
      <c r="B357">
        <f>IFERROR(INDEX('Match Log'!$B$4:$B$1510,MATCH($A357,'Match Log'!$A$4:$A$1510,0)),"")</f>
        <v>46322</v>
      </c>
      <c r="C357" t="str">
        <f>IFERROR(INDEX('Match Log'!$C$4:$C$1510,MATCH($A357,'Match Log'!$A$4:$A$1510,0)),"")</f>
        <v>Table Tennis</v>
      </c>
      <c r="D357" t="str">
        <f t="array" ref="D357">IFERROR(_xlfn.TEXTJOIN(" + ",TRUE(),IF(('Match Log'!$A$4:$A$1510=$A357)*('Match Log'!$E$4:$E$1510="Win"),'Match Log'!$D$4:$D$1510,"")),IFERROR(LOOKUP(2,1/(('Match Log'!$A$4:$A$1510=$A357)*('Match Log'!$E$4:$E$1510="Win")),'Match Log'!$D$4:$D$1510),""))</f>
        <v>Josh</v>
      </c>
      <c r="E357">
        <f>IFERROR(INDEX('Match Log'!$F$4:$F$1510,MATCH($A357,'Match Log'!$A$4:$A$1510,0)),"")</f>
        <v>2</v>
      </c>
      <c r="F357">
        <f>IFERROR(SUMIFS('Match Log'!$I$4:$I$1510,'Match Log'!$A$4:$A$1510,$A357,'Match Log'!$E$4:$E$1510,"Win"),"")</f>
        <v>0.80808080808080807</v>
      </c>
      <c r="G357">
        <f t="shared" si="32"/>
        <v>-0.61616161616161613</v>
      </c>
      <c r="H357" t="str">
        <f t="array" ref="H357">IFERROR(IF(COUNTIFS('Match Log'!$A$4:$A$1510,$A357,'Match Log'!$E$4:$E$1510,"Win")&gt;1,_xlfn.TEXTJOIN(" + ",TRUE(),IF(('Match Log'!$A$4:$A$1510=$A357)*('Match Log'!$E$4:$E$1510="Loss"),'Match Log'!$D$4:$D$1510,"")),IF($E357=2,LOOKUP(2,1/(('Match Log'!$A$4:$A$1510=$A357)*('Match Log'!$E$4:$E$1510="Loss")),'Match Log'!$D$4:$D$1510),"the field")),"")</f>
        <v>Daniel (Ferret)</v>
      </c>
      <c r="I357">
        <f t="shared" si="33"/>
        <v>-0.61649461616161616</v>
      </c>
      <c r="J357">
        <v>333</v>
      </c>
      <c r="K357">
        <f>IF($J357&gt;MAX('Match Log'!$A$4:$A$1510),NA(),IFERROR(LOOKUP(2,1/(('Match Log'!$D$4:$D$1510=$K$24)*('Match Log'!$A$4:$A$1510&lt;=$J357)),'Match Log'!$N$4:$N$1510),NA()))</f>
        <v>1244.2911759451083</v>
      </c>
      <c r="L357">
        <f>IF($J357&gt;MAX('Match Log'!$A$4:$A$1510),NA(),IFERROR(LOOKUP(2,1/(('Match Log'!$D$4:$D$1510=$L$24)*('Match Log'!$A$4:$A$1510&lt;=$J357)),'Match Log'!$N$4:$N$1510),NA()))</f>
        <v>1029.5175965335138</v>
      </c>
      <c r="M357">
        <f>IF($J357&gt;MAX('Match Log'!$A$4:$A$1510),NA(),IFERROR(LOOKUP(2,1/(('Match Log'!$D$4:$D$1510=$M$24)*('Match Log'!$A$4:$A$1510&lt;=$J357)),'Match Log'!$N$4:$N$1510),NA()))</f>
        <v>1048.0761030598392</v>
      </c>
      <c r="N357">
        <f>IF($J357&gt;MAX('Match Log'!$A$4:$A$1510),NA(),IFERROR(LOOKUP(2,1/(('Match Log'!$D$4:$D$1510=$N$24)*('Match Log'!$A$4:$A$1510&lt;=$J357)),'Match Log'!$N$4:$N$1510),NA()))</f>
        <v>907.03133644117429</v>
      </c>
      <c r="O357">
        <f>IF($J357&gt;MAX('Match Log'!$A$4:$A$1510),NA(),IFERROR(LOOKUP(2,1/(('Match Log'!$D$4:$D$1510=$O$24)*('Match Log'!$A$4:$A$1510&lt;=$J357)),'Match Log'!$N$4:$N$1510),NA()))</f>
        <v>1270.2146711636922</v>
      </c>
      <c r="P357">
        <f>IF($J357&gt;MAX('Match Log'!$A$4:$A$1510),NA(),IFERROR(LOOKUP(2,1/(('Match Log'!$D$4:$D$1510=$P$24)*('Match Log'!$A$4:$A$1510&lt;=$J357)),'Match Log'!$N$4:$N$1510),NA()))</f>
        <v>1199.9180814643371</v>
      </c>
      <c r="Q357">
        <f>IF($J357&gt;MAX('Match Log'!$A$4:$A$1510),NA(),IFERROR(LOOKUP(2,1/(('Match Log'!$D$4:$D$1510=$Q$24)*('Match Log'!$A$4:$A$1510&lt;=$J357)),'Match Log'!$N$4:$N$1510),NA()))</f>
        <v>1210.5445492849278</v>
      </c>
      <c r="R357">
        <f>IF($J357&gt;MAX('Match Log'!$A$4:$A$1510),NA(),IFERROR(LOOKUP(2,1/(('Match Log'!$D$4:$D$1510=$R$24)*('Match Log'!$A$4:$A$1510&lt;=$J357)),'Match Log'!$N$4:$N$1510),NA()))</f>
        <v>1138.0205082789871</v>
      </c>
      <c r="S357">
        <f>IF($J357&gt;MAX('Match Log'!$A$4:$A$1510),NA(),IFERROR(LOOKUP(2,1/(('Match Log'!$D$4:$D$1510=$S$24)*('Match Log'!$A$4:$A$1510&lt;=$J357)),'Match Log'!$N$4:$N$1510),NA()))</f>
        <v>1217.9015417269482</v>
      </c>
      <c r="T357">
        <f>IF($J357&gt;MAX('Match Log'!$A$4:$A$1510),NA(),IFERROR(LOOKUP(2,1/(('Match Log'!$D$4:$D$1510=$T$24)*('Match Log'!$A$4:$A$1510&lt;=$J357)),'Match Log'!$N$4:$N$1510),NA()))</f>
        <v>862.22294373677494</v>
      </c>
      <c r="U357">
        <f>IF($J357&gt;MAX('Match Log'!$A$4:$A$1510),NA(),IFERROR(LOOKUP(2,1/(('Match Log'!$D$4:$D$1510=$U$24)*('Match Log'!$A$4:$A$1510&lt;=$J357)),'Match Log'!$N$4:$N$1510),NA()))</f>
        <v>1004.2053573760541</v>
      </c>
      <c r="V357">
        <f>IF($J357&gt;MAX('Match Log'!$A$4:$A$1510),NA(),IFERROR(LOOKUP(2,1/(('Match Log'!$D$4:$D$1510=$V$24)*('Match Log'!$A$4:$A$1510&lt;=$J357)),'Match Log'!$N$4:$N$1510),NA()))</f>
        <v>1087.5488947064855</v>
      </c>
      <c r="W357">
        <f>IF($J357&gt;MAX('Match Log'!$A$4:$A$1510),NA(),IFERROR(LOOKUP(2,1/(('Match Log'!$D$4:$D$1510=$W$24)*('Match Log'!$A$4:$A$1510&lt;=$J357)),'Match Log'!$N$4:$N$1510),NA()))</f>
        <v>1010.5072402821568</v>
      </c>
      <c r="X357" t="e">
        <f>IF($J357&gt;MAX('Match Log'!$A$4:$A$1510),NA(),IFERROR(LOOKUP(2,1/(('Match Log'!$D$4:$D$1510=$X$24)*('Match Log'!$A$4:$A$1510&lt;=$J357)),'Match Log'!$N$4:$N$1510),NA()))</f>
        <v>#N/A</v>
      </c>
      <c r="Y357">
        <f t="shared" ca="1" si="34"/>
        <v>-0.61649461616161616</v>
      </c>
    </row>
    <row r="358" spans="1:25" x14ac:dyDescent="0.2">
      <c r="A358">
        <v>334</v>
      </c>
      <c r="B358">
        <f>IFERROR(INDEX('Match Log'!$B$4:$B$1510,MATCH($A358,'Match Log'!$A$4:$A$1510,0)),"")</f>
        <v>46322</v>
      </c>
      <c r="C358" t="str">
        <f>IFERROR(INDEX('Match Log'!$C$4:$C$1510,MATCH($A358,'Match Log'!$A$4:$A$1510,0)),"")</f>
        <v>Air Hockey</v>
      </c>
      <c r="D358" t="str">
        <f t="array" ref="D358">IFERROR(_xlfn.TEXTJOIN(" + ",TRUE(),IF(('Match Log'!$A$4:$A$1510=$A358)*('Match Log'!$E$4:$E$1510="Win"),'Match Log'!$D$4:$D$1510,"")),IFERROR(LOOKUP(2,1/(('Match Log'!$A$4:$A$1510=$A358)*('Match Log'!$E$4:$E$1510="Win")),'Match Log'!$D$4:$D$1510),""))</f>
        <v>Josh</v>
      </c>
      <c r="E358">
        <f>IFERROR(INDEX('Match Log'!$F$4:$F$1510,MATCH($A358,'Match Log'!$A$4:$A$1510,0)),"")</f>
        <v>2</v>
      </c>
      <c r="F358">
        <f>IFERROR(SUMIFS('Match Log'!$I$4:$I$1510,'Match Log'!$A$4:$A$1510,$A358,'Match Log'!$E$4:$E$1510,"Win"),"")</f>
        <v>0.6</v>
      </c>
      <c r="G358">
        <f t="shared" si="32"/>
        <v>-0.19999999999999996</v>
      </c>
      <c r="H358" t="str">
        <f t="array" ref="H358">IFERROR(IF(COUNTIFS('Match Log'!$A$4:$A$1510,$A358,'Match Log'!$E$4:$E$1510,"Win")&gt;1,_xlfn.TEXTJOIN(" + ",TRUE(),IF(('Match Log'!$A$4:$A$1510=$A358)*('Match Log'!$E$4:$E$1510="Loss"),'Match Log'!$D$4:$D$1510,"")),IF($E358=2,LOOKUP(2,1/(('Match Log'!$A$4:$A$1510=$A358)*('Match Log'!$E$4:$E$1510="Loss")),'Match Log'!$D$4:$D$1510),"the field")),"")</f>
        <v>Daniel (Ferret)</v>
      </c>
      <c r="I358">
        <f t="shared" si="33"/>
        <v>-0.20033399999999996</v>
      </c>
      <c r="J358">
        <v>334</v>
      </c>
      <c r="K358">
        <f>IF($J358&gt;MAX('Match Log'!$A$4:$A$1510),NA(),IFERROR(LOOKUP(2,1/(('Match Log'!$D$4:$D$1510=$K$24)*('Match Log'!$A$4:$A$1510&lt;=$J358)),'Match Log'!$N$4:$N$1510),NA()))</f>
        <v>1244.2911759451083</v>
      </c>
      <c r="L358">
        <f>IF($J358&gt;MAX('Match Log'!$A$4:$A$1510),NA(),IFERROR(LOOKUP(2,1/(('Match Log'!$D$4:$D$1510=$L$24)*('Match Log'!$A$4:$A$1510&lt;=$J358)),'Match Log'!$N$4:$N$1510),NA()))</f>
        <v>1029.5175965335138</v>
      </c>
      <c r="M358">
        <f>IF($J358&gt;MAX('Match Log'!$A$4:$A$1510),NA(),IFERROR(LOOKUP(2,1/(('Match Log'!$D$4:$D$1510=$M$24)*('Match Log'!$A$4:$A$1510&lt;=$J358)),'Match Log'!$N$4:$N$1510),NA()))</f>
        <v>1048.0761030598392</v>
      </c>
      <c r="N358">
        <f>IF($J358&gt;MAX('Match Log'!$A$4:$A$1510),NA(),IFERROR(LOOKUP(2,1/(('Match Log'!$D$4:$D$1510=$N$24)*('Match Log'!$A$4:$A$1510&lt;=$J358)),'Match Log'!$N$4:$N$1510),NA()))</f>
        <v>907.03133644117429</v>
      </c>
      <c r="O358">
        <f>IF($J358&gt;MAX('Match Log'!$A$4:$A$1510),NA(),IFERROR(LOOKUP(2,1/(('Match Log'!$D$4:$D$1510=$O$24)*('Match Log'!$A$4:$A$1510&lt;=$J358)),'Match Log'!$N$4:$N$1510),NA()))</f>
        <v>1286.8046827609496</v>
      </c>
      <c r="P358">
        <f>IF($J358&gt;MAX('Match Log'!$A$4:$A$1510),NA(),IFERROR(LOOKUP(2,1/(('Match Log'!$D$4:$D$1510=$P$24)*('Match Log'!$A$4:$A$1510&lt;=$J358)),'Match Log'!$N$4:$N$1510),NA()))</f>
        <v>1199.9180814643371</v>
      </c>
      <c r="Q358">
        <f>IF($J358&gt;MAX('Match Log'!$A$4:$A$1510),NA(),IFERROR(LOOKUP(2,1/(('Match Log'!$D$4:$D$1510=$Q$24)*('Match Log'!$A$4:$A$1510&lt;=$J358)),'Match Log'!$N$4:$N$1510),NA()))</f>
        <v>1210.5445492849278</v>
      </c>
      <c r="R358">
        <f>IF($J358&gt;MAX('Match Log'!$A$4:$A$1510),NA(),IFERROR(LOOKUP(2,1/(('Match Log'!$D$4:$D$1510=$R$24)*('Match Log'!$A$4:$A$1510&lt;=$J358)),'Match Log'!$N$4:$N$1510),NA()))</f>
        <v>1121.4304966817297</v>
      </c>
      <c r="S358">
        <f>IF($J358&gt;MAX('Match Log'!$A$4:$A$1510),NA(),IFERROR(LOOKUP(2,1/(('Match Log'!$D$4:$D$1510=$S$24)*('Match Log'!$A$4:$A$1510&lt;=$J358)),'Match Log'!$N$4:$N$1510),NA()))</f>
        <v>1217.9015417269482</v>
      </c>
      <c r="T358">
        <f>IF($J358&gt;MAX('Match Log'!$A$4:$A$1510),NA(),IFERROR(LOOKUP(2,1/(('Match Log'!$D$4:$D$1510=$T$24)*('Match Log'!$A$4:$A$1510&lt;=$J358)),'Match Log'!$N$4:$N$1510),NA()))</f>
        <v>862.22294373677494</v>
      </c>
      <c r="U358">
        <f>IF($J358&gt;MAX('Match Log'!$A$4:$A$1510),NA(),IFERROR(LOOKUP(2,1/(('Match Log'!$D$4:$D$1510=$U$24)*('Match Log'!$A$4:$A$1510&lt;=$J358)),'Match Log'!$N$4:$N$1510),NA()))</f>
        <v>1004.2053573760541</v>
      </c>
      <c r="V358">
        <f>IF($J358&gt;MAX('Match Log'!$A$4:$A$1510),NA(),IFERROR(LOOKUP(2,1/(('Match Log'!$D$4:$D$1510=$V$24)*('Match Log'!$A$4:$A$1510&lt;=$J358)),'Match Log'!$N$4:$N$1510),NA()))</f>
        <v>1087.5488947064855</v>
      </c>
      <c r="W358">
        <f>IF($J358&gt;MAX('Match Log'!$A$4:$A$1510),NA(),IFERROR(LOOKUP(2,1/(('Match Log'!$D$4:$D$1510=$W$24)*('Match Log'!$A$4:$A$1510&lt;=$J358)),'Match Log'!$N$4:$N$1510),NA()))</f>
        <v>1010.5072402821568</v>
      </c>
      <c r="X358" t="e">
        <f>IF($J358&gt;MAX('Match Log'!$A$4:$A$1510),NA(),IFERROR(LOOKUP(2,1/(('Match Log'!$D$4:$D$1510=$X$24)*('Match Log'!$A$4:$A$1510&lt;=$J358)),'Match Log'!$N$4:$N$1510),NA()))</f>
        <v>#N/A</v>
      </c>
      <c r="Y358">
        <f t="shared" ca="1" si="34"/>
        <v>-0.20033399999999996</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1244.2911759451083</v>
      </c>
      <c r="C2">
        <f>IFERROR(SUMPRODUCT(INDEX('Head-to-Head'!$B$22:$O$35,1,0),$D$2:$Q$2)/SUM(INDEX('Head-to-Head'!$B$22:$O$35,1,0)),"")</f>
        <v>1137.7927848449101</v>
      </c>
      <c r="D2">
        <f>$B$2</f>
        <v>1244.2911759451083</v>
      </c>
      <c r="E2">
        <f>$B$3</f>
        <v>1029.5175965335138</v>
      </c>
      <c r="F2">
        <f>$B$4</f>
        <v>1048.0761030598392</v>
      </c>
      <c r="G2">
        <f>$B$5</f>
        <v>907.03133644117429</v>
      </c>
      <c r="H2">
        <f>$B$6</f>
        <v>1286.8046827609496</v>
      </c>
      <c r="I2">
        <f>$B$7</f>
        <v>1199.9180814643371</v>
      </c>
      <c r="J2">
        <f>$B$8</f>
        <v>1210.5445492849278</v>
      </c>
      <c r="K2">
        <f>$B$9</f>
        <v>1121.4304966817297</v>
      </c>
      <c r="L2">
        <f>$B$10</f>
        <v>1217.9015417269482</v>
      </c>
      <c r="M2">
        <f>$B$11</f>
        <v>862.22294373677494</v>
      </c>
      <c r="N2">
        <f>$B$12</f>
        <v>1004.2053573760541</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1102.0730391510867</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1146.4419004208635</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1169.6302217328973</v>
      </c>
    </row>
    <row r="6" spans="1:17" ht="15" customHeight="1" x14ac:dyDescent="0.2">
      <c r="A6" t="s">
        <v>19</v>
      </c>
      <c r="B6">
        <f>IF(COUNTIF('Match Log'!$D$4:$D$1510,$A6)=0,'Guide &amp; Settings'!$C$41,IFERROR(LOOKUP(2,1/('Match Log'!$D$4:$D$1510=$A6),'Match Log'!$N$4:$N$1510),'Guide &amp; Settings'!$C$41))</f>
        <v>1286.8046827609496</v>
      </c>
      <c r="C6">
        <f>IFERROR(SUMPRODUCT(INDEX('Head-to-Head'!$B$22:$O$35,5,0),$D$2:$Q$2)/SUM(INDEX('Head-to-Head'!$B$22:$O$35,5,0)),"")</f>
        <v>1119.7007786931761</v>
      </c>
    </row>
    <row r="7" spans="1:17" ht="15" customHeight="1" x14ac:dyDescent="0.2">
      <c r="A7" t="s">
        <v>20</v>
      </c>
      <c r="B7">
        <f>IF(COUNTIF('Match Log'!$D$4:$D$1510,$A7)=0,'Guide &amp; Settings'!$C$41,IFERROR(LOOKUP(2,1/('Match Log'!$D$4:$D$1510=$A7),'Match Log'!$N$4:$N$1510),'Guide &amp; Settings'!$C$41))</f>
        <v>1199.9180814643371</v>
      </c>
      <c r="C7">
        <f>IFERROR(SUMPRODUCT(INDEX('Head-to-Head'!$B$22:$O$35,6,0),$D$2:$Q$2)/SUM(INDEX('Head-to-Head'!$B$22:$O$35,6,0)),"")</f>
        <v>1139.9827631122678</v>
      </c>
    </row>
    <row r="8" spans="1:17" ht="15" customHeight="1" x14ac:dyDescent="0.2">
      <c r="A8" t="s">
        <v>21</v>
      </c>
      <c r="B8">
        <f>IF(COUNTIF('Match Log'!$D$4:$D$1510,$A8)=0,'Guide &amp; Settings'!$C$41,IFERROR(LOOKUP(2,1/('Match Log'!$D$4:$D$1510=$A8),'Match Log'!$N$4:$N$1510),'Guide &amp; Settings'!$C$41))</f>
        <v>1210.5445492849278</v>
      </c>
      <c r="C8">
        <f>IFERROR(SUMPRODUCT(INDEX('Head-to-Head'!$B$22:$O$35,7,0),$D$2:$Q$2)/SUM(INDEX('Head-to-Head'!$B$22:$O$35,7,0)),"")</f>
        <v>1093.9144021018315</v>
      </c>
    </row>
    <row r="9" spans="1:17" ht="15" customHeight="1" x14ac:dyDescent="0.2">
      <c r="A9" t="s">
        <v>22</v>
      </c>
      <c r="B9">
        <f>IF(COUNTIF('Match Log'!$D$4:$D$1510,$A9)=0,'Guide &amp; Settings'!$C$41,IFERROR(LOOKUP(2,1/('Match Log'!$D$4:$D$1510=$A9),'Match Log'!$N$4:$N$1510),'Guide &amp; Settings'!$C$41))</f>
        <v>1121.4304966817297</v>
      </c>
      <c r="C9">
        <f>IFERROR(SUMPRODUCT(INDEX('Head-to-Head'!$B$22:$O$35,8,0),$D$2:$Q$2)/SUM(INDEX('Head-to-Head'!$B$22:$O$35,8,0)),"")</f>
        <v>1181.0016841877109</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1126.4610228083336</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1137.5236820918742</v>
      </c>
    </row>
    <row r="12" spans="1:17" ht="15" customHeight="1" x14ac:dyDescent="0.2">
      <c r="A12" t="s">
        <v>25</v>
      </c>
      <c r="B12">
        <f>IF(COUNTIF('Match Log'!$D$4:$D$1510,$A12)=0,'Guide &amp; Settings'!$C$41,IFERROR(LOOKUP(2,1/('Match Log'!$D$4:$D$1510=$A12),'Match Log'!$N$4:$N$1510),'Guide &amp; Settings'!$C$41))</f>
        <v>1004.2053573760541</v>
      </c>
      <c r="C12">
        <f>IFERROR(SUMPRODUCT(INDEX('Head-to-Head'!$B$22:$O$35,11,0),$D$2:$Q$2)/SUM(INDEX('Head-to-Head'!$B$22:$O$35,11,0)),"")</f>
        <v>1171.4931823014049</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1058.4347597357651</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1106.0958792052386</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2026-10-27T07:50:45Z</dcterms:modified>
  <dc:language>en-US</dc:language>
</cp:coreProperties>
</file>