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5821E0DD-3606-CF4A-AAD2-9099B41DCED2}"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42" i="13"/>
  <c r="H342" i="13" s="1" a="1"/>
  <c r="H342" i="13" s="1"/>
  <c r="E343" i="13"/>
  <c r="H343" i="13" s="1" a="1"/>
  <c r="H343" i="13" s="1"/>
  <c r="E344" i="13"/>
  <c r="H344" i="13" s="1" a="1"/>
  <c r="H344" i="13" s="1"/>
  <c r="E345" i="13"/>
  <c r="E346" i="13"/>
  <c r="E347" i="13"/>
  <c r="E348" i="13"/>
  <c r="E349" i="13"/>
  <c r="H349" i="13" s="1" a="1"/>
  <c r="H349" i="13" s="1"/>
  <c r="E350" i="13"/>
  <c r="H350" i="13" s="1" a="1"/>
  <c r="H350" i="13" s="1"/>
  <c r="E351" i="13"/>
  <c r="H351" i="13" s="1" a="1"/>
  <c r="H351" i="13" s="1"/>
  <c r="E352" i="13"/>
  <c r="H352" i="13" s="1" a="1"/>
  <c r="H352" i="13" s="1"/>
  <c r="E353" i="13"/>
  <c r="H353" i="13" s="1" a="1"/>
  <c r="H353" i="13" s="1"/>
  <c r="E354" i="13"/>
  <c r="H354" i="13" s="1" a="1"/>
  <c r="H354" i="13" s="1"/>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H580" i="13" s="1" a="1"/>
  <c r="H580" i="13" s="1"/>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H712" i="13" s="1" a="1"/>
  <c r="H712" i="13" s="1"/>
  <c r="E713" i="13"/>
  <c r="H713" i="13" s="1" a="1"/>
  <c r="H713" i="13" s="1"/>
  <c r="E714" i="13"/>
  <c r="H714" i="13" s="1" a="1"/>
  <c r="H714" i="13" s="1"/>
  <c r="E715" i="13"/>
  <c r="H715" i="13" s="1" a="1"/>
  <c r="H715" i="13" s="1"/>
  <c r="E716" i="13"/>
  <c r="H716" i="13" s="1" a="1"/>
  <c r="H716" i="13" s="1"/>
  <c r="E717" i="13"/>
  <c r="H717" i="13" s="1" a="1"/>
  <c r="H717" i="13" s="1"/>
  <c r="E718" i="13"/>
  <c r="H718" i="13" s="1" a="1"/>
  <c r="H718" i="13" s="1"/>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K712" i="13"/>
  <c r="L712" i="13"/>
  <c r="M712" i="13"/>
  <c r="N712" i="13"/>
  <c r="O712" i="13"/>
  <c r="P712" i="13"/>
  <c r="Q712" i="13"/>
  <c r="R712" i="13"/>
  <c r="S712" i="13"/>
  <c r="T712" i="13"/>
  <c r="U712" i="13"/>
  <c r="V712" i="13"/>
  <c r="W712" i="13"/>
  <c r="X712" i="13"/>
  <c r="D713" i="13" a="1"/>
  <c r="D713" i="13" s="1"/>
  <c r="G713" i="13" s="1"/>
  <c r="I713" i="13" s="1"/>
  <c r="K713" i="13"/>
  <c r="L713" i="13"/>
  <c r="M713" i="13"/>
  <c r="N713" i="13"/>
  <c r="O713" i="13"/>
  <c r="P713" i="13"/>
  <c r="Q713" i="13"/>
  <c r="R713" i="13"/>
  <c r="S713" i="13"/>
  <c r="T713" i="13"/>
  <c r="U713" i="13"/>
  <c r="V713" i="13"/>
  <c r="W713" i="13"/>
  <c r="X713" i="13"/>
  <c r="D714" i="13" a="1"/>
  <c r="D714" i="13" s="1"/>
  <c r="G714" i="13" s="1"/>
  <c r="I714" i="13" s="1"/>
  <c r="K714" i="13"/>
  <c r="L714" i="13"/>
  <c r="M714" i="13"/>
  <c r="N714" i="13"/>
  <c r="O714" i="13"/>
  <c r="P714" i="13"/>
  <c r="Q714" i="13"/>
  <c r="R714" i="13"/>
  <c r="S714" i="13"/>
  <c r="T714" i="13"/>
  <c r="U714" i="13"/>
  <c r="V714" i="13"/>
  <c r="W714" i="13"/>
  <c r="X714" i="13"/>
  <c r="D715" i="13" a="1"/>
  <c r="D715" i="13" s="1"/>
  <c r="G715" i="13" s="1"/>
  <c r="I715" i="13" s="1"/>
  <c r="K715" i="13"/>
  <c r="L715" i="13"/>
  <c r="M715" i="13"/>
  <c r="N715" i="13"/>
  <c r="O715" i="13"/>
  <c r="P715" i="13"/>
  <c r="Q715" i="13"/>
  <c r="R715" i="13"/>
  <c r="S715" i="13"/>
  <c r="T715" i="13"/>
  <c r="U715" i="13"/>
  <c r="V715" i="13"/>
  <c r="W715" i="13"/>
  <c r="X715" i="13"/>
  <c r="D716" i="13" a="1"/>
  <c r="D716" i="13" s="1"/>
  <c r="G716" i="13" s="1"/>
  <c r="I716" i="13" s="1"/>
  <c r="K716" i="13"/>
  <c r="L716" i="13"/>
  <c r="M716" i="13"/>
  <c r="N716" i="13"/>
  <c r="O716" i="13"/>
  <c r="P716" i="13"/>
  <c r="Q716" i="13"/>
  <c r="R716" i="13"/>
  <c r="S716" i="13"/>
  <c r="T716" i="13"/>
  <c r="U716" i="13"/>
  <c r="V716" i="13"/>
  <c r="W716" i="13"/>
  <c r="X716" i="13"/>
  <c r="D717" i="13" a="1"/>
  <c r="D717" i="13" s="1"/>
  <c r="G717" i="13" s="1"/>
  <c r="I717" i="13" s="1"/>
  <c r="K717" i="13"/>
  <c r="L717" i="13"/>
  <c r="M717" i="13"/>
  <c r="N717" i="13"/>
  <c r="O717" i="13"/>
  <c r="P717" i="13"/>
  <c r="Q717" i="13"/>
  <c r="R717" i="13"/>
  <c r="S717" i="13"/>
  <c r="T717" i="13"/>
  <c r="U717" i="13"/>
  <c r="V717" i="13"/>
  <c r="W717" i="13"/>
  <c r="X717" i="13"/>
  <c r="D718" i="13" a="1"/>
  <c r="D718" i="13" s="1"/>
  <c r="G718" i="13" s="1"/>
  <c r="I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C725" i="10" s="1"/>
  <c r="AD726" i="10"/>
  <c r="AC726" i="10" s="1"/>
  <c r="AD727" i="10"/>
  <c r="AC727" i="10" s="1"/>
  <c r="AD728" i="10"/>
  <c r="AC728" i="10" s="1"/>
  <c r="AD729" i="10"/>
  <c r="AC729" i="10" s="1"/>
  <c r="AD730" i="10"/>
  <c r="AC730" i="10" s="1"/>
  <c r="AD731" i="10"/>
  <c r="AC731" i="10" s="1"/>
  <c r="AD732" i="10"/>
  <c r="AC732" i="10" s="1"/>
  <c r="AD733" i="10"/>
  <c r="AC733" i="10" s="1"/>
  <c r="AD734" i="10"/>
  <c r="AC734" i="10" s="1"/>
  <c r="AD735" i="10"/>
  <c r="AC735" i="10" s="1"/>
  <c r="AD736" i="10"/>
  <c r="AC736" i="10" s="1"/>
  <c r="AD737" i="10"/>
  <c r="AC737" i="10" s="1"/>
  <c r="AD738" i="10"/>
  <c r="AC738" i="10" s="1"/>
  <c r="AD739" i="10"/>
  <c r="AC739" i="10" s="1"/>
  <c r="AD740" i="10"/>
  <c r="AC740" i="10" s="1"/>
  <c r="AD741" i="10"/>
  <c r="AC741" i="10" s="1"/>
  <c r="AD742" i="10"/>
  <c r="AC742" i="10" s="1"/>
  <c r="AD743" i="10"/>
  <c r="AC743" i="10" s="1"/>
  <c r="AD744" i="10"/>
  <c r="AC744" i="10" s="1"/>
  <c r="AD745" i="10"/>
  <c r="AC745" i="10" s="1"/>
  <c r="AD746" i="10"/>
  <c r="AC746" i="10" s="1"/>
  <c r="AD747" i="10"/>
  <c r="AC747" i="10" s="1"/>
  <c r="AD748" i="10"/>
  <c r="AC748" i="10" s="1"/>
  <c r="AD749" i="10"/>
  <c r="AC749" i="10" s="1"/>
  <c r="AD750" i="10"/>
  <c r="AC750" i="10" s="1"/>
  <c r="AD751" i="10"/>
  <c r="AC751" i="10" s="1"/>
  <c r="AD752" i="10"/>
  <c r="AC752" i="10" s="1"/>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D354" i="13" a="1"/>
  <c r="D354" i="13" s="1"/>
  <c r="G354" i="13" s="1"/>
  <c r="I354" i="13" s="1"/>
  <c r="X353" i="13"/>
  <c r="W353" i="13"/>
  <c r="V353" i="13"/>
  <c r="U353" i="13"/>
  <c r="T353" i="13"/>
  <c r="S353" i="13"/>
  <c r="R353" i="13"/>
  <c r="Q353" i="13"/>
  <c r="P353" i="13"/>
  <c r="O353" i="13"/>
  <c r="N353" i="13"/>
  <c r="M353" i="13"/>
  <c r="L353" i="13"/>
  <c r="K353" i="13"/>
  <c r="D353" i="13" a="1"/>
  <c r="D353" i="13" s="1"/>
  <c r="G353" i="13" s="1"/>
  <c r="I353" i="13" s="1"/>
  <c r="X352" i="13"/>
  <c r="W352" i="13"/>
  <c r="V352" i="13"/>
  <c r="U352" i="13"/>
  <c r="T352" i="13"/>
  <c r="S352" i="13"/>
  <c r="R352" i="13"/>
  <c r="Q352" i="13"/>
  <c r="P352" i="13"/>
  <c r="O352" i="13"/>
  <c r="N352" i="13"/>
  <c r="M352" i="13"/>
  <c r="L352" i="13"/>
  <c r="K352" i="13"/>
  <c r="D352" i="13" a="1"/>
  <c r="D352" i="13" s="1"/>
  <c r="G352" i="13" s="1"/>
  <c r="I352" i="13" s="1"/>
  <c r="X351" i="13"/>
  <c r="W351" i="13"/>
  <c r="V351" i="13"/>
  <c r="U351" i="13"/>
  <c r="T351" i="13"/>
  <c r="S351" i="13"/>
  <c r="R351" i="13"/>
  <c r="Q351" i="13"/>
  <c r="P351" i="13"/>
  <c r="O351" i="13"/>
  <c r="N351" i="13"/>
  <c r="M351" i="13"/>
  <c r="L351" i="13"/>
  <c r="K351" i="13"/>
  <c r="D351" i="13" a="1"/>
  <c r="D351" i="13" s="1"/>
  <c r="G351" i="13" s="1"/>
  <c r="I351" i="13" s="1"/>
  <c r="X350" i="13"/>
  <c r="W350" i="13"/>
  <c r="V350" i="13"/>
  <c r="U350" i="13"/>
  <c r="T350" i="13"/>
  <c r="S350" i="13"/>
  <c r="R350" i="13"/>
  <c r="Q350" i="13"/>
  <c r="P350" i="13"/>
  <c r="O350" i="13"/>
  <c r="N350" i="13"/>
  <c r="M350" i="13"/>
  <c r="L350" i="13"/>
  <c r="K350" i="13"/>
  <c r="D350" i="13" a="1"/>
  <c r="D350" i="13" s="1"/>
  <c r="G350" i="13" s="1"/>
  <c r="I350" i="13" s="1"/>
  <c r="X349" i="13"/>
  <c r="W349" i="13"/>
  <c r="V349" i="13"/>
  <c r="U349" i="13"/>
  <c r="T349" i="13"/>
  <c r="S349" i="13"/>
  <c r="R349" i="13"/>
  <c r="Q349" i="13"/>
  <c r="P349" i="13"/>
  <c r="O349" i="13"/>
  <c r="N349" i="13"/>
  <c r="M349" i="13"/>
  <c r="L349" i="13"/>
  <c r="K349" i="13"/>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D341" i="13" a="1"/>
  <c r="D341" i="13" s="1"/>
  <c r="X340" i="13"/>
  <c r="D340" i="13" a="1"/>
  <c r="D340" i="13" s="1"/>
  <c r="X339" i="13"/>
  <c r="D339" i="13" a="1"/>
  <c r="D339" i="13" s="1"/>
  <c r="X338" i="13"/>
  <c r="D338" i="13" a="1"/>
  <c r="D338" i="13" s="1"/>
  <c r="X337" i="13"/>
  <c r="D337" i="13" a="1"/>
  <c r="D337" i="13" s="1"/>
  <c r="X336" i="13"/>
  <c r="D336" i="13" a="1"/>
  <c r="D336" i="13" s="1"/>
  <c r="X335" i="13"/>
  <c r="D335" i="13" a="1"/>
  <c r="D335" i="13" s="1"/>
  <c r="X334" i="13"/>
  <c r="D334" i="13" a="1"/>
  <c r="D334" i="13" s="1"/>
  <c r="X333" i="13"/>
  <c r="D333" i="13" a="1"/>
  <c r="D333" i="13" s="1"/>
  <c r="X332" i="13"/>
  <c r="D332" i="13" a="1"/>
  <c r="D332" i="13" s="1"/>
  <c r="X331" i="13"/>
  <c r="D331" i="13" a="1"/>
  <c r="D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T752" i="10"/>
  <c r="R752" i="10"/>
  <c r="G752" i="10"/>
  <c r="F752" i="10"/>
  <c r="T751" i="10"/>
  <c r="R751" i="10"/>
  <c r="G751" i="10"/>
  <c r="F751" i="10"/>
  <c r="T750" i="10"/>
  <c r="R750" i="10"/>
  <c r="G750" i="10"/>
  <c r="F750" i="10"/>
  <c r="T749" i="10"/>
  <c r="R749" i="10"/>
  <c r="G749" i="10"/>
  <c r="F749" i="10"/>
  <c r="T748" i="10"/>
  <c r="R748" i="10"/>
  <c r="S750" i="10" s="1"/>
  <c r="I750" i="10" s="1"/>
  <c r="K750" i="10" s="1"/>
  <c r="G748" i="10"/>
  <c r="F748" i="10"/>
  <c r="U747" i="10"/>
  <c r="T747" i="10"/>
  <c r="R747" i="10"/>
  <c r="G747" i="10"/>
  <c r="F747" i="10"/>
  <c r="T746" i="10"/>
  <c r="R746" i="10"/>
  <c r="G746" i="10"/>
  <c r="F746" i="10"/>
  <c r="T745" i="10"/>
  <c r="R745" i="10"/>
  <c r="S747" i="10" s="1"/>
  <c r="I747" i="10" s="1"/>
  <c r="K747" i="10" s="1"/>
  <c r="G745" i="10"/>
  <c r="F745" i="10"/>
  <c r="T744" i="10"/>
  <c r="R744" i="10"/>
  <c r="G744" i="10"/>
  <c r="F744" i="10"/>
  <c r="T743" i="10"/>
  <c r="R743" i="10"/>
  <c r="G743" i="10"/>
  <c r="F743" i="10"/>
  <c r="T742" i="10"/>
  <c r="R742" i="10"/>
  <c r="G742" i="10"/>
  <c r="F742" i="10"/>
  <c r="T741" i="10"/>
  <c r="R741" i="10"/>
  <c r="G741" i="10"/>
  <c r="F741" i="10"/>
  <c r="T740" i="10"/>
  <c r="R740" i="10"/>
  <c r="G740" i="10"/>
  <c r="F740" i="10"/>
  <c r="T739" i="10"/>
  <c r="R739" i="10"/>
  <c r="G739" i="10"/>
  <c r="F739" i="10"/>
  <c r="T738" i="10"/>
  <c r="R738" i="10"/>
  <c r="G738" i="10"/>
  <c r="F738" i="10"/>
  <c r="T737" i="10"/>
  <c r="R737" i="10"/>
  <c r="G737" i="10"/>
  <c r="F737" i="10"/>
  <c r="T736" i="10"/>
  <c r="R736" i="10"/>
  <c r="G736" i="10"/>
  <c r="F736" i="10"/>
  <c r="T735" i="10"/>
  <c r="R735" i="10"/>
  <c r="G735" i="10"/>
  <c r="F735" i="10"/>
  <c r="T734" i="10"/>
  <c r="R734" i="10"/>
  <c r="S736" i="10" s="1"/>
  <c r="I736" i="10" s="1"/>
  <c r="K736" i="10" s="1"/>
  <c r="G734" i="10"/>
  <c r="F734" i="10"/>
  <c r="T733" i="10"/>
  <c r="R733" i="10"/>
  <c r="G733" i="10"/>
  <c r="F733" i="10"/>
  <c r="T732" i="10"/>
  <c r="R732" i="10"/>
  <c r="G732" i="10"/>
  <c r="F732" i="10"/>
  <c r="T731" i="10"/>
  <c r="R731" i="10"/>
  <c r="G731" i="10"/>
  <c r="F731" i="10"/>
  <c r="L731" i="10" s="1"/>
  <c r="T730" i="10"/>
  <c r="R730" i="10"/>
  <c r="S733" i="10" s="1"/>
  <c r="I733" i="10" s="1"/>
  <c r="K733" i="10" s="1"/>
  <c r="G730" i="10"/>
  <c r="F730" i="10"/>
  <c r="T729" i="10"/>
  <c r="R729" i="10"/>
  <c r="G729" i="10"/>
  <c r="F729" i="10"/>
  <c r="T728" i="10"/>
  <c r="R728" i="10"/>
  <c r="G728" i="10"/>
  <c r="F728" i="10"/>
  <c r="T727" i="10"/>
  <c r="R727" i="10"/>
  <c r="S729" i="10" s="1"/>
  <c r="I729" i="10" s="1"/>
  <c r="G727" i="10"/>
  <c r="F727" i="10"/>
  <c r="T726" i="10"/>
  <c r="R726" i="10"/>
  <c r="G726" i="10"/>
  <c r="F726" i="10"/>
  <c r="T725" i="10"/>
  <c r="R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5" i="4"/>
  <c r="A6" i="4"/>
  <c r="A7" i="4"/>
  <c r="A8" i="4"/>
  <c r="A9" i="4"/>
  <c r="A10" i="4"/>
  <c r="A11" i="4"/>
  <c r="A12" i="4"/>
  <c r="A13" i="4"/>
  <c r="A14" i="4"/>
  <c r="A15" i="4"/>
  <c r="A16" i="4"/>
  <c r="A17" i="4"/>
  <c r="A18"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L752" i="10" l="1"/>
  <c r="S751" i="10"/>
  <c r="I751" i="10" s="1"/>
  <c r="S752" i="10"/>
  <c r="I752" i="10" s="1"/>
  <c r="K752" i="10" s="1"/>
  <c r="E341" i="13"/>
  <c r="H341" i="13" s="1" a="1"/>
  <c r="H341" i="13" s="1"/>
  <c r="L751" i="10"/>
  <c r="O748" i="10"/>
  <c r="O749" i="10"/>
  <c r="O750" i="10"/>
  <c r="L750" i="10"/>
  <c r="N80" i="7"/>
  <c r="T70" i="9" s="1"/>
  <c r="L749" i="10"/>
  <c r="S748" i="10"/>
  <c r="I748" i="10" s="1"/>
  <c r="S749" i="10"/>
  <c r="I749" i="10" s="1"/>
  <c r="K749" i="10" s="1"/>
  <c r="E340" i="13"/>
  <c r="H340" i="13" s="1" a="1"/>
  <c r="H340" i="13" s="1"/>
  <c r="L748" i="10"/>
  <c r="O745" i="10"/>
  <c r="O746" i="10"/>
  <c r="O747" i="10"/>
  <c r="E336" i="13"/>
  <c r="H336" i="13" s="1" a="1"/>
  <c r="H336" i="13" s="1"/>
  <c r="L739" i="10"/>
  <c r="E334" i="13"/>
  <c r="H334" i="13" s="1" a="1"/>
  <c r="H334" i="13" s="1"/>
  <c r="L734" i="10"/>
  <c r="E333" i="13"/>
  <c r="H333" i="13" s="1" a="1"/>
  <c r="H333" i="13" s="1"/>
  <c r="L730" i="10"/>
  <c r="L747" i="10"/>
  <c r="L746" i="10"/>
  <c r="S745" i="10"/>
  <c r="I745" i="10" s="1"/>
  <c r="K745" i="10" s="1"/>
  <c r="S746" i="10"/>
  <c r="I746" i="10" s="1"/>
  <c r="E339" i="13"/>
  <c r="H339" i="13" s="1" a="1"/>
  <c r="H339" i="13" s="1"/>
  <c r="L745" i="10"/>
  <c r="O743" i="10"/>
  <c r="O744" i="10"/>
  <c r="L744" i="10"/>
  <c r="S743" i="10"/>
  <c r="I743" i="10" s="1"/>
  <c r="K743" i="10" s="1"/>
  <c r="S744" i="10"/>
  <c r="I744" i="10" s="1"/>
  <c r="E338" i="13"/>
  <c r="H338" i="13" s="1" a="1"/>
  <c r="H338" i="13" s="1"/>
  <c r="L743" i="10"/>
  <c r="O741" i="10"/>
  <c r="O742" i="10"/>
  <c r="L742" i="10"/>
  <c r="S741" i="10"/>
  <c r="I741" i="10" s="1"/>
  <c r="K741" i="10" s="1"/>
  <c r="S742" i="10"/>
  <c r="I742" i="10" s="1"/>
  <c r="E337" i="13"/>
  <c r="H337" i="13" s="1" a="1"/>
  <c r="H337" i="13" s="1"/>
  <c r="L741" i="10"/>
  <c r="O739" i="10"/>
  <c r="O740" i="10"/>
  <c r="L740" i="10"/>
  <c r="S740" i="10"/>
  <c r="I740" i="10" s="1"/>
  <c r="S739" i="10"/>
  <c r="I739" i="10" s="1"/>
  <c r="K739" i="10" s="1"/>
  <c r="O737" i="10"/>
  <c r="O738" i="10"/>
  <c r="L738" i="10"/>
  <c r="S737" i="10"/>
  <c r="I737" i="10" s="1"/>
  <c r="S738" i="10"/>
  <c r="I738" i="10" s="1"/>
  <c r="K738" i="10" s="1"/>
  <c r="E335" i="13"/>
  <c r="H335" i="13" s="1" a="1"/>
  <c r="H335" i="13" s="1"/>
  <c r="L737" i="10"/>
  <c r="O734" i="10"/>
  <c r="O735" i="10"/>
  <c r="O736" i="10"/>
  <c r="L736" i="10"/>
  <c r="L735" i="10"/>
  <c r="S735" i="10"/>
  <c r="I735" i="10" s="1"/>
  <c r="K735" i="10" s="1"/>
  <c r="S734" i="10"/>
  <c r="I734" i="10" s="1"/>
  <c r="O730" i="10"/>
  <c r="O731" i="10"/>
  <c r="O732" i="10"/>
  <c r="O733" i="10"/>
  <c r="L733" i="10"/>
  <c r="L732" i="10"/>
  <c r="S732" i="10"/>
  <c r="I732" i="10" s="1"/>
  <c r="K732" i="10" s="1"/>
  <c r="S731" i="10"/>
  <c r="I731" i="10" s="1"/>
  <c r="K731" i="10" s="1"/>
  <c r="S730" i="10"/>
  <c r="I730" i="10" s="1"/>
  <c r="O727" i="10"/>
  <c r="O728" i="10"/>
  <c r="O729" i="10"/>
  <c r="E332" i="13"/>
  <c r="H332" i="13" s="1" a="1"/>
  <c r="H332" i="13" s="1"/>
  <c r="L727" i="10"/>
  <c r="K729" i="10"/>
  <c r="F332" i="13"/>
  <c r="G332" i="13" s="1"/>
  <c r="I332" i="13" s="1"/>
  <c r="Y332" i="13" s="1"/>
  <c r="L729" i="10"/>
  <c r="L728" i="10"/>
  <c r="S728" i="10"/>
  <c r="I728" i="10" s="1"/>
  <c r="K728" i="10" s="1"/>
  <c r="S727" i="10"/>
  <c r="I727" i="10" s="1"/>
  <c r="K727" i="10" s="1"/>
  <c r="O726" i="10"/>
  <c r="L726" i="10"/>
  <c r="S725" i="10"/>
  <c r="I725" i="10" s="1"/>
  <c r="S726" i="10"/>
  <c r="I726" i="10" s="1"/>
  <c r="K726" i="10" s="1"/>
  <c r="O725" i="10"/>
  <c r="K725" i="10"/>
  <c r="F331" i="13"/>
  <c r="E331" i="13"/>
  <c r="H331" i="13" s="1" a="1"/>
  <c r="H331" i="13" s="1"/>
  <c r="L725" i="10"/>
  <c r="O724" i="10"/>
  <c r="L724" i="10"/>
  <c r="S723" i="10"/>
  <c r="I723" i="10" s="1"/>
  <c r="S724" i="10"/>
  <c r="I724" i="10" s="1"/>
  <c r="K724" i="10" s="1"/>
  <c r="O723" i="10"/>
  <c r="K723" i="10"/>
  <c r="F330" i="13"/>
  <c r="E330" i="13"/>
  <c r="H330" i="13" s="1" a="1"/>
  <c r="H330" i="13" s="1"/>
  <c r="L723" i="10"/>
  <c r="O722" i="10"/>
  <c r="L722" i="10"/>
  <c r="S721" i="10"/>
  <c r="I721" i="10" s="1"/>
  <c r="K721" i="10" s="1"/>
  <c r="S722" i="10"/>
  <c r="I722" i="10" s="1"/>
  <c r="K722" i="10" s="1"/>
  <c r="O721" i="10"/>
  <c r="F329" i="13"/>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F326" i="13"/>
  <c r="G326" i="13" s="1"/>
  <c r="I326" i="13" s="1"/>
  <c r="Y326" i="13" s="1"/>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H198" i="13" s="1" a="1"/>
  <c r="H198" i="13" s="1"/>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H150" i="13" s="1" a="1"/>
  <c r="H150" i="13" s="1"/>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H158" i="13" s="1" a="1"/>
  <c r="H158" i="13" s="1"/>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H125" i="13" s="1" a="1"/>
  <c r="H125" i="13" s="1"/>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O404" i="10"/>
  <c r="E199" i="13"/>
  <c r="H199" i="13" s="1" a="1"/>
  <c r="H199" i="13" s="1"/>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H26" i="13" s="1" a="1"/>
  <c r="H26" i="13" s="1"/>
  <c r="L15" i="10"/>
  <c r="E27" i="13"/>
  <c r="H27" i="13" s="1" a="1"/>
  <c r="H27" i="13" s="1"/>
  <c r="L19" i="10"/>
  <c r="E29" i="13"/>
  <c r="H29" i="13" s="1" a="1"/>
  <c r="H29" i="13" s="1"/>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E93" i="7"/>
  <c r="U17" i="13"/>
  <c r="Y10" i="10"/>
  <c r="Z10" i="10" s="1"/>
  <c r="AA10" i="10" s="1"/>
  <c r="AB10" i="10" s="1"/>
  <c r="F111" i="7" s="1"/>
  <c r="S5" i="10"/>
  <c r="I5" i="10" s="1"/>
  <c r="K5" i="10"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L300" i="10"/>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R43" i="11" s="1"/>
  <c r="S472" i="10"/>
  <c r="I472" i="10" s="1"/>
  <c r="K472" i="10"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437" i="13"/>
  <c r="Y421" i="13"/>
  <c r="Y405" i="13"/>
  <c r="Y389" i="13"/>
  <c r="Y373" i="13"/>
  <c r="Y444" i="13"/>
  <c r="Y428" i="13"/>
  <c r="Y412" i="13"/>
  <c r="Y396" i="13"/>
  <c r="Y380" i="13"/>
  <c r="Y364" i="13"/>
  <c r="Y348"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67" i="13"/>
  <c r="Y355" i="13"/>
  <c r="Y344" i="13"/>
  <c r="Y360" i="13"/>
  <c r="Y346" i="13"/>
  <c r="Y369" i="13"/>
  <c r="Y357" i="13"/>
  <c r="Y376" i="13"/>
  <c r="Y343" i="13"/>
  <c r="Y351" i="13"/>
  <c r="Y353"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79" i="13"/>
  <c r="Y386" i="13"/>
  <c r="Y402" i="13"/>
  <c r="Y418" i="13"/>
  <c r="Y434" i="13"/>
  <c r="Y372" i="13"/>
  <c r="Y391" i="13"/>
  <c r="Y407" i="13"/>
  <c r="Y423" i="13"/>
  <c r="Y366" i="13"/>
  <c r="Y354" i="13"/>
  <c r="Y395" i="13"/>
  <c r="Y411" i="13"/>
  <c r="Y427" i="13"/>
  <c r="Y349" i="13"/>
  <c r="Y439" i="13"/>
  <c r="Y352" i="13"/>
  <c r="Y363" i="13"/>
  <c r="Y384" i="13"/>
  <c r="Y377" i="13"/>
  <c r="Y400" i="13"/>
  <c r="Y416" i="13"/>
  <c r="Y432" i="13"/>
  <c r="Y443" i="13"/>
  <c r="Y38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438" i="13"/>
  <c r="K751" i="10" l="1"/>
  <c r="F341" i="13"/>
  <c r="G341" i="13" s="1"/>
  <c r="I341" i="13" s="1"/>
  <c r="Y341" i="13" s="1"/>
  <c r="K748" i="10"/>
  <c r="F340" i="13"/>
  <c r="G340" i="13" s="1"/>
  <c r="I340" i="13" s="1"/>
  <c r="Y340" i="13" s="1"/>
  <c r="K746" i="10"/>
  <c r="F339" i="13"/>
  <c r="G339" i="13" s="1"/>
  <c r="I339" i="13" s="1"/>
  <c r="Y339" i="13" s="1"/>
  <c r="K744" i="10"/>
  <c r="F338" i="13"/>
  <c r="G338" i="13" s="1"/>
  <c r="I338" i="13" s="1"/>
  <c r="Y338" i="13" s="1"/>
  <c r="K742" i="10"/>
  <c r="F337" i="13"/>
  <c r="G337" i="13" s="1"/>
  <c r="I337" i="13" s="1"/>
  <c r="Y337" i="13" s="1"/>
  <c r="K740" i="10"/>
  <c r="F336" i="13"/>
  <c r="G336" i="13" s="1"/>
  <c r="I336" i="13" s="1"/>
  <c r="Y336" i="13" s="1"/>
  <c r="K737" i="10"/>
  <c r="F335" i="13"/>
  <c r="G335" i="13" s="1"/>
  <c r="I335" i="13" s="1"/>
  <c r="Y335" i="13" s="1"/>
  <c r="K734" i="10"/>
  <c r="F334" i="13"/>
  <c r="G334" i="13" s="1"/>
  <c r="I334" i="13" s="1"/>
  <c r="Y334" i="13" s="1"/>
  <c r="K730" i="10"/>
  <c r="F333" i="13"/>
  <c r="G333" i="13" s="1"/>
  <c r="I333" i="13" s="1"/>
  <c r="Y333" i="13" s="1"/>
  <c r="G331" i="13"/>
  <c r="I331" i="13" s="1"/>
  <c r="Y331" i="13" s="1"/>
  <c r="G330" i="13"/>
  <c r="I330" i="13" s="1"/>
  <c r="Y330" i="13" s="1"/>
  <c r="G329" i="13"/>
  <c r="I329" i="13" s="1"/>
  <c r="Y329"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G109" i="13" s="1"/>
  <c r="I109" i="13" s="1"/>
  <c r="Y109" i="13" s="1"/>
  <c r="F97" i="13"/>
  <c r="G97" i="13" s="1"/>
  <c r="I97" i="13" s="1"/>
  <c r="Y97" i="13" s="1"/>
  <c r="F105" i="13"/>
  <c r="G105" i="13" s="1"/>
  <c r="I105" i="13" s="1"/>
  <c r="Y105" i="13" s="1"/>
  <c r="F99" i="13"/>
  <c r="G99" i="13" s="1"/>
  <c r="I99" i="13" s="1"/>
  <c r="Y99" i="13" s="1"/>
  <c r="K363" i="10"/>
  <c r="F104" i="13"/>
  <c r="G104" i="13" s="1"/>
  <c r="I104" i="13" s="1"/>
  <c r="Y104" i="13" s="1"/>
  <c r="K216" i="10"/>
  <c r="K132" i="10"/>
  <c r="F95" i="13"/>
  <c r="G95" i="13" s="1"/>
  <c r="I95" i="13" s="1"/>
  <c r="Y95" i="13" s="1"/>
  <c r="F98" i="13"/>
  <c r="G98" i="13" s="1"/>
  <c r="I98" i="13" s="1"/>
  <c r="Y98" i="13" s="1"/>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K196" i="10"/>
  <c r="G58" i="13"/>
  <c r="I58" i="13" s="1"/>
  <c r="Y58" i="13" s="1"/>
  <c r="K77" i="10"/>
  <c r="G226" i="13"/>
  <c r="I226" i="13" s="1"/>
  <c r="Y226" i="13" s="1"/>
  <c r="K468" i="10"/>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57" i="10" l="1"/>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0" i="10" l="1"/>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U726" i="10" s="1"/>
  <c r="AA679" i="10"/>
  <c r="AB679" i="10" s="1"/>
  <c r="U725" i="10"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Y725" i="10" l="1"/>
  <c r="Z725" i="10" s="1"/>
  <c r="Y726" i="10"/>
  <c r="Z726" i="10" s="1"/>
  <c r="AA404" i="10"/>
  <c r="AB404" i="10" s="1"/>
  <c r="U406" i="10" s="1"/>
  <c r="AA405" i="10"/>
  <c r="AB405" i="10" s="1"/>
  <c r="U407" i="10" s="1"/>
  <c r="J17" i="10"/>
  <c r="M17" i="10" s="1"/>
  <c r="N17" i="10" s="1"/>
  <c r="J18" i="10"/>
  <c r="M18" i="10" s="1"/>
  <c r="N18" i="10" s="1"/>
  <c r="H20" i="10"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AA726" i="10" l="1"/>
  <c r="AB726" i="10" s="1"/>
  <c r="D106" i="7" s="1"/>
  <c r="AA725" i="10"/>
  <c r="AB725" i="10" s="1"/>
  <c r="G106" i="7" s="1"/>
  <c r="Y406" i="10"/>
  <c r="Z406" i="10" s="1"/>
  <c r="Y407" i="10"/>
  <c r="Z407" i="10" s="1"/>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P106" i="7" l="1"/>
  <c r="B10" i="3" s="1"/>
  <c r="D10" i="3"/>
  <c r="C10" i="3"/>
  <c r="AA406" i="10"/>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Z713" i="10" s="1"/>
  <c r="Y714" i="10"/>
  <c r="AA677" i="10"/>
  <c r="AB677" i="10" s="1"/>
  <c r="F110" i="7" s="1"/>
  <c r="H9" i="5"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Z714" i="10" l="1"/>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AA718" i="10" l="1"/>
  <c r="AB718" i="10" s="1"/>
  <c r="J110" i="7" s="1"/>
  <c r="AA717" i="10"/>
  <c r="AB717" i="10" s="1"/>
  <c r="I110" i="7"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P110" i="7" l="1"/>
  <c r="B14" i="3" s="1"/>
  <c r="AA449" i="10"/>
  <c r="AB449" i="10" s="1"/>
  <c r="U464" i="10" s="1"/>
  <c r="AA448" i="10"/>
  <c r="AB448" i="10" s="1"/>
  <c r="U465" i="10" s="1"/>
  <c r="Y299" i="10"/>
  <c r="Z299" i="10" s="1"/>
  <c r="Y298" i="10"/>
  <c r="Z298" i="10" s="1"/>
  <c r="AA399" i="10"/>
  <c r="AB399" i="10" s="1"/>
  <c r="U425" i="10" s="1"/>
  <c r="AA400" i="10"/>
  <c r="AB400" i="10" s="1"/>
  <c r="U731" i="10"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C14" i="3" l="1"/>
  <c r="D14" i="3"/>
  <c r="Y206" i="10"/>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Y721" i="10" l="1"/>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722" i="10" l="1"/>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Y687" i="10"/>
  <c r="Z687" i="10" s="1"/>
  <c r="AA687" i="10" s="1"/>
  <c r="AB687" i="10" s="1"/>
  <c r="Y517" i="10"/>
  <c r="Z517" i="10" s="1"/>
  <c r="AA517" i="10" s="1"/>
  <c r="AB517" i="10" s="1"/>
  <c r="Y518" i="10"/>
  <c r="Z518" i="10" s="1"/>
  <c r="J51" i="10"/>
  <c r="M51" i="10" s="1"/>
  <c r="N51" i="10" s="1"/>
  <c r="J52" i="10"/>
  <c r="M52" i="10" s="1"/>
  <c r="N52" i="10" s="1"/>
  <c r="S62" i="13"/>
  <c r="H88" i="10"/>
  <c r="H89" i="10"/>
  <c r="AA688" i="10" l="1"/>
  <c r="AB688" i="10" s="1"/>
  <c r="U690" i="10"/>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U727" i="10"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U728" i="10" s="1"/>
  <c r="AA711" i="10"/>
  <c r="AB711" i="10" s="1"/>
  <c r="U729" i="10" s="1"/>
  <c r="AA639" i="10"/>
  <c r="AB639" i="10" s="1"/>
  <c r="U641" i="10" s="1"/>
  <c r="Y642" i="10" s="1"/>
  <c r="Z642" i="10" s="1"/>
  <c r="AA642" i="10" s="1"/>
  <c r="AB642" i="10" s="1"/>
  <c r="L117" i="7" s="1"/>
  <c r="U560" i="10"/>
  <c r="U558" i="10"/>
  <c r="J63" i="10"/>
  <c r="M63" i="10" s="1"/>
  <c r="N63" i="10" s="1"/>
  <c r="J64" i="10"/>
  <c r="M64" i="10" s="1"/>
  <c r="N64" i="10" s="1"/>
  <c r="Y729" i="10" l="1"/>
  <c r="Z729" i="10" s="1"/>
  <c r="Y728" i="10"/>
  <c r="Z728" i="10" s="1"/>
  <c r="AA728" i="10" s="1"/>
  <c r="AB728" i="10" s="1"/>
  <c r="U732" i="10" s="1"/>
  <c r="Y727" i="10"/>
  <c r="Z727" i="10" s="1"/>
  <c r="AA727" i="10" s="1"/>
  <c r="AB727" i="10" s="1"/>
  <c r="U730" i="10" s="1"/>
  <c r="Y641" i="10"/>
  <c r="Z641" i="10" s="1"/>
  <c r="AA641" i="10" s="1"/>
  <c r="AB641" i="10" s="1"/>
  <c r="H117" i="7" s="1"/>
  <c r="Y561" i="10"/>
  <c r="Y560" i="10"/>
  <c r="Z560" i="10" s="1"/>
  <c r="Y558" i="10"/>
  <c r="Z558" i="10" s="1"/>
  <c r="Y559" i="10"/>
  <c r="Z559" i="10" s="1"/>
  <c r="AA559" i="10" s="1"/>
  <c r="AB559" i="10" s="1"/>
  <c r="R51" i="13"/>
  <c r="R52" i="13"/>
  <c r="R54" i="13"/>
  <c r="R53" i="13"/>
  <c r="H71" i="10"/>
  <c r="O51" i="13"/>
  <c r="H65" i="10"/>
  <c r="AA729" i="10" l="1"/>
  <c r="AB729" i="10" s="1"/>
  <c r="U733" i="10" s="1"/>
  <c r="Y733" i="10"/>
  <c r="Y732" i="10"/>
  <c r="Z732" i="10" s="1"/>
  <c r="AA732" i="10" s="1"/>
  <c r="AB732" i="10" s="1"/>
  <c r="B124" i="7" s="1"/>
  <c r="Y731" i="10"/>
  <c r="Z731" i="10" s="1"/>
  <c r="AA731" i="10" s="1"/>
  <c r="AB731" i="10" s="1"/>
  <c r="U735" i="10" s="1"/>
  <c r="Y730" i="10"/>
  <c r="Z730" i="10" s="1"/>
  <c r="U561" i="10"/>
  <c r="AA558" i="10"/>
  <c r="AB558" i="10" s="1"/>
  <c r="P66" i="10"/>
  <c r="Q66" i="10" s="1"/>
  <c r="P65" i="10"/>
  <c r="Q65" i="10" s="1"/>
  <c r="V65" i="10"/>
  <c r="P72" i="10"/>
  <c r="P71" i="10"/>
  <c r="Q71" i="10" s="1"/>
  <c r="V71" i="10"/>
  <c r="Z733" i="10" l="1"/>
  <c r="AA733" i="10" s="1"/>
  <c r="AB733" i="10" s="1"/>
  <c r="U736" i="10" s="1"/>
  <c r="AA730" i="10"/>
  <c r="AB730" i="10" s="1"/>
  <c r="U734" i="10" s="1"/>
  <c r="U588" i="10"/>
  <c r="Z561" i="10"/>
  <c r="W72" i="10"/>
  <c r="W71" i="10"/>
  <c r="X71" i="10" s="1"/>
  <c r="W66" i="10"/>
  <c r="X66" i="10" s="1"/>
  <c r="W65" i="10"/>
  <c r="X65" i="10" s="1"/>
  <c r="Y736" i="10" l="1"/>
  <c r="Z736" i="10" s="1"/>
  <c r="AA736" i="10" s="1"/>
  <c r="AB736" i="10" s="1"/>
  <c r="U738" i="10" s="1"/>
  <c r="Y735" i="10"/>
  <c r="Z735" i="10" s="1"/>
  <c r="AA735" i="10" s="1"/>
  <c r="AB735" i="10" s="1"/>
  <c r="D124" i="7" s="1"/>
  <c r="Y734" i="10"/>
  <c r="Z734" i="10" s="1"/>
  <c r="Y588" i="10"/>
  <c r="Z588" i="10" s="1"/>
  <c r="Y587" i="10"/>
  <c r="AA561" i="10"/>
  <c r="AB561" i="10" s="1"/>
  <c r="AA560" i="10"/>
  <c r="AB560" i="10" s="1"/>
  <c r="J65" i="10"/>
  <c r="M65" i="10" s="1"/>
  <c r="N65" i="10" s="1"/>
  <c r="J66" i="10"/>
  <c r="M66" i="10" s="1"/>
  <c r="N66" i="10" s="1"/>
  <c r="AA734" i="10" l="1"/>
  <c r="AB734" i="10" s="1"/>
  <c r="U737" i="10" s="1"/>
  <c r="U592" i="10"/>
  <c r="U587" i="10"/>
  <c r="N52" i="13"/>
  <c r="N53" i="13"/>
  <c r="H70" i="10"/>
  <c r="O52" i="13"/>
  <c r="O55" i="13"/>
  <c r="O53" i="13"/>
  <c r="O56" i="13"/>
  <c r="O54" i="13"/>
  <c r="O57" i="13"/>
  <c r="H77" i="10"/>
  <c r="Y738" i="10" l="1"/>
  <c r="Z738" i="10" s="1"/>
  <c r="Y737" i="10"/>
  <c r="Z737" i="10" s="1"/>
  <c r="Z587" i="10"/>
  <c r="P79" i="10"/>
  <c r="P77" i="10"/>
  <c r="Q77" i="10" s="1"/>
  <c r="P78" i="10"/>
  <c r="V77" i="10"/>
  <c r="V70" i="10"/>
  <c r="X70" i="10" s="1"/>
  <c r="Q70" i="10"/>
  <c r="AA738" i="10" l="1"/>
  <c r="AB738" i="10" s="1"/>
  <c r="U740" i="10" s="1"/>
  <c r="AA737" i="10"/>
  <c r="AB737" i="10" s="1"/>
  <c r="U739" i="10" s="1"/>
  <c r="AA587" i="10"/>
  <c r="AB587" i="10" s="1"/>
  <c r="AA588" i="10"/>
  <c r="AB588" i="10" s="1"/>
  <c r="J69" i="10"/>
  <c r="M69" i="10" s="1"/>
  <c r="N69" i="10" s="1"/>
  <c r="J70" i="10"/>
  <c r="M70" i="10" s="1"/>
  <c r="N70" i="10" s="1"/>
  <c r="W79" i="10"/>
  <c r="W78" i="10"/>
  <c r="W77" i="10"/>
  <c r="X77" i="10" s="1"/>
  <c r="Y740" i="10" l="1"/>
  <c r="Z740" i="10" s="1"/>
  <c r="Y739" i="10"/>
  <c r="Z739" i="10" s="1"/>
  <c r="U590" i="10"/>
  <c r="U589" i="10"/>
  <c r="N55" i="13"/>
  <c r="N56" i="13"/>
  <c r="N54" i="13"/>
  <c r="N58" i="13"/>
  <c r="N57" i="13"/>
  <c r="H80" i="10"/>
  <c r="K54" i="13"/>
  <c r="H72" i="10"/>
  <c r="AA739" i="10" l="1"/>
  <c r="AB739" i="10" s="1"/>
  <c r="U741" i="10" s="1"/>
  <c r="AA740" i="10"/>
  <c r="AB740" i="10" s="1"/>
  <c r="U742" i="10" s="1"/>
  <c r="Y590" i="10"/>
  <c r="Z590" i="10" s="1"/>
  <c r="AA590" i="10" s="1"/>
  <c r="AB590" i="10" s="1"/>
  <c r="Y589" i="10"/>
  <c r="Z589" i="10" s="1"/>
  <c r="V72" i="10"/>
  <c r="X72" i="10" s="1"/>
  <c r="Q72" i="10"/>
  <c r="P81" i="10"/>
  <c r="Q81" i="10" s="1"/>
  <c r="P80" i="10"/>
  <c r="Q80" i="10" s="1"/>
  <c r="V80" i="10"/>
  <c r="Y742" i="10" l="1"/>
  <c r="Z742" i="10" s="1"/>
  <c r="AA742" i="10" s="1"/>
  <c r="AB742" i="10" s="1"/>
  <c r="U744" i="10" s="1"/>
  <c r="Y741" i="10"/>
  <c r="Z741" i="10" s="1"/>
  <c r="AA741" i="10" s="1"/>
  <c r="AB741" i="10" s="1"/>
  <c r="U743" i="10" s="1"/>
  <c r="AA589" i="10"/>
  <c r="AB589" i="10" s="1"/>
  <c r="U593" i="10"/>
  <c r="U591" i="10"/>
  <c r="W80" i="10"/>
  <c r="X80" i="10" s="1"/>
  <c r="W81" i="10"/>
  <c r="X81" i="10" s="1"/>
  <c r="J71" i="10"/>
  <c r="M71" i="10" s="1"/>
  <c r="N71" i="10" s="1"/>
  <c r="J72" i="10"/>
  <c r="M72" i="10" s="1"/>
  <c r="N72" i="10" s="1"/>
  <c r="Y744" i="10" l="1"/>
  <c r="Z744" i="10" s="1"/>
  <c r="AA744" i="10" s="1"/>
  <c r="AB744" i="10" s="1"/>
  <c r="U746" i="10" s="1"/>
  <c r="Y743" i="10"/>
  <c r="Z743" i="10" s="1"/>
  <c r="AA743" i="10" s="1"/>
  <c r="AB743" i="10" s="1"/>
  <c r="U745" i="10" s="1"/>
  <c r="Y593" i="10"/>
  <c r="Z593" i="10" s="1"/>
  <c r="Y594" i="10"/>
  <c r="Y592" i="10"/>
  <c r="Z592" i="10" s="1"/>
  <c r="AA592" i="10" s="1"/>
  <c r="AB592" i="10" s="1"/>
  <c r="Y591" i="10"/>
  <c r="Z591" i="10" s="1"/>
  <c r="K56" i="13"/>
  <c r="K55" i="13"/>
  <c r="H75" i="10"/>
  <c r="R55" i="13"/>
  <c r="H73" i="10"/>
  <c r="J81" i="10"/>
  <c r="M81" i="10" s="1"/>
  <c r="N81" i="10" s="1"/>
  <c r="J80" i="10"/>
  <c r="M80" i="10" s="1"/>
  <c r="N80" i="10" s="1"/>
  <c r="Y747" i="10" l="1"/>
  <c r="Z747" i="10" s="1"/>
  <c r="AA747" i="10" s="1"/>
  <c r="AB747" i="10" s="1"/>
  <c r="U749" i="10" s="1"/>
  <c r="Y746" i="10"/>
  <c r="Z746" i="10" s="1"/>
  <c r="Y745" i="10"/>
  <c r="Z745" i="10" s="1"/>
  <c r="AA745" i="10" s="1"/>
  <c r="AB745" i="10" s="1"/>
  <c r="U748" i="10" s="1"/>
  <c r="AA591" i="10"/>
  <c r="AB591" i="10" s="1"/>
  <c r="B117" i="7" s="1"/>
  <c r="U594" i="10"/>
  <c r="N59" i="13"/>
  <c r="H83" i="10"/>
  <c r="T59" i="13"/>
  <c r="T60" i="13"/>
  <c r="H85" i="10"/>
  <c r="P74" i="10"/>
  <c r="Q74" i="10" s="1"/>
  <c r="P73" i="10"/>
  <c r="Q73" i="10" s="1"/>
  <c r="V73" i="10"/>
  <c r="P76" i="10"/>
  <c r="P75" i="10"/>
  <c r="Q75" i="10" s="1"/>
  <c r="V75" i="10"/>
  <c r="AA746" i="10" l="1"/>
  <c r="AB746" i="10" s="1"/>
  <c r="U750" i="10" s="1"/>
  <c r="Z594" i="10"/>
  <c r="W73" i="10"/>
  <c r="X73" i="10" s="1"/>
  <c r="W74" i="10"/>
  <c r="X74" i="10" s="1"/>
  <c r="W75" i="10"/>
  <c r="X75" i="10" s="1"/>
  <c r="W76" i="10"/>
  <c r="V85" i="10"/>
  <c r="V83" i="10"/>
  <c r="Y748" i="10" l="1"/>
  <c r="Z748" i="10" s="1"/>
  <c r="AA748" i="10" s="1"/>
  <c r="AB748" i="10" s="1"/>
  <c r="U751" i="10" s="1"/>
  <c r="Y750" i="10"/>
  <c r="Z750" i="10" s="1"/>
  <c r="AA750" i="10" s="1"/>
  <c r="AB750" i="10" s="1"/>
  <c r="U752" i="10" s="1"/>
  <c r="Y749" i="10"/>
  <c r="Z749" i="10" s="1"/>
  <c r="AA749" i="10" s="1"/>
  <c r="AB749" i="10" s="1"/>
  <c r="N124" i="7" s="1"/>
  <c r="AA594" i="10"/>
  <c r="AB594" i="10" s="1"/>
  <c r="AA593" i="10"/>
  <c r="AB593" i="10" s="1"/>
  <c r="U595" i="10" s="1"/>
  <c r="J74" i="10"/>
  <c r="M74" i="10" s="1"/>
  <c r="N74" i="10" s="1"/>
  <c r="J73" i="10"/>
  <c r="M73" i="10" s="1"/>
  <c r="N73" i="10" s="1"/>
  <c r="Y752" i="10" l="1"/>
  <c r="Z752" i="10" s="1"/>
  <c r="AA752" i="10" s="1"/>
  <c r="AB752" i="10" s="1"/>
  <c r="I124" i="7" s="1"/>
  <c r="Y751" i="10"/>
  <c r="Z751" i="10" s="1"/>
  <c r="AA751" i="10" s="1"/>
  <c r="AB751" i="10" s="1"/>
  <c r="G124" i="7" s="1"/>
  <c r="Y596" i="10"/>
  <c r="Y595" i="10"/>
  <c r="Z595" i="10" s="1"/>
  <c r="U596" i="10"/>
  <c r="R57" i="13"/>
  <c r="R56" i="13"/>
  <c r="H78" i="10"/>
  <c r="M56" i="13"/>
  <c r="H76" i="10"/>
  <c r="P124" i="7" l="1"/>
  <c r="B28" i="3" s="1"/>
  <c r="Z596" i="10"/>
  <c r="AA596" i="10" s="1"/>
  <c r="AB596" i="10" s="1"/>
  <c r="I117" i="7" s="1"/>
  <c r="V76" i="10"/>
  <c r="X76" i="10" s="1"/>
  <c r="Q76" i="10"/>
  <c r="V78" i="10"/>
  <c r="X78" i="10" s="1"/>
  <c r="Q78" i="10"/>
  <c r="D28" i="3" l="1"/>
  <c r="C28" i="3"/>
  <c r="AA595" i="10"/>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P213" i="10"/>
  <c r="Q213" i="10" s="1"/>
  <c r="W214" i="10" l="1"/>
  <c r="W213" i="10"/>
  <c r="X213" i="10" s="1"/>
  <c r="W212" i="10"/>
  <c r="X212" i="10" s="1"/>
  <c r="W215" i="10"/>
  <c r="R109" i="13"/>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40" i="13" l="1"/>
  <c r="L341" i="13"/>
  <c r="L338" i="13"/>
  <c r="L339" i="13"/>
  <c r="L336" i="13"/>
  <c r="L337" i="13"/>
  <c r="L334" i="13"/>
  <c r="L335" i="13"/>
  <c r="L332" i="13"/>
  <c r="L333" i="13"/>
  <c r="L330" i="13"/>
  <c r="L331" i="13"/>
  <c r="L328" i="13"/>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J241" i="10"/>
  <c r="M241" i="10" s="1"/>
  <c r="N241" i="10" s="1"/>
  <c r="J240" i="10"/>
  <c r="M240" i="10" s="1"/>
  <c r="N240" i="10" s="1"/>
  <c r="W279" i="10"/>
  <c r="X279" i="10" s="1"/>
  <c r="W278" i="10"/>
  <c r="T340" i="13" l="1"/>
  <c r="T341" i="13"/>
  <c r="T338" i="13"/>
  <c r="T339" i="13"/>
  <c r="T336" i="13"/>
  <c r="T337" i="13"/>
  <c r="T334" i="13"/>
  <c r="T335" i="13"/>
  <c r="T332" i="13"/>
  <c r="T333" i="13"/>
  <c r="T330" i="13"/>
  <c r="T331" i="13"/>
  <c r="T328" i="13"/>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H747" i="10" s="1"/>
  <c r="Q484" i="10"/>
  <c r="Q485" i="10"/>
  <c r="V484" i="10"/>
  <c r="V747" i="10" l="1"/>
  <c r="W338" i="13"/>
  <c r="W336" i="13"/>
  <c r="W337" i="13"/>
  <c r="W334" i="13"/>
  <c r="W335" i="13"/>
  <c r="W332" i="13"/>
  <c r="W333" i="13"/>
  <c r="W330" i="13"/>
  <c r="W331" i="13"/>
  <c r="W328" i="13"/>
  <c r="W329" i="13"/>
  <c r="W326" i="13"/>
  <c r="W327" i="13"/>
  <c r="W324" i="13"/>
  <c r="W325" i="13"/>
  <c r="W322" i="13"/>
  <c r="W323" i="13"/>
  <c r="W320" i="13"/>
  <c r="W321" i="13"/>
  <c r="W318" i="13"/>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W232" i="13"/>
  <c r="W234" i="13"/>
  <c r="W236" i="13"/>
  <c r="W233" i="13"/>
  <c r="W235" i="13"/>
  <c r="J486" i="10" l="1"/>
  <c r="M486" i="10" s="1"/>
  <c r="N486" i="10" s="1"/>
  <c r="V247" i="13"/>
  <c r="V248" i="13"/>
  <c r="R232" i="13"/>
  <c r="H488" i="10"/>
  <c r="V232" i="13"/>
  <c r="V234" i="13"/>
  <c r="V236" i="13"/>
  <c r="V233" i="13"/>
  <c r="V235" i="13"/>
  <c r="V340" i="13" l="1"/>
  <c r="V341" i="13"/>
  <c r="V338" i="13"/>
  <c r="V339" i="13"/>
  <c r="V336" i="13"/>
  <c r="V337" i="13"/>
  <c r="V334" i="13"/>
  <c r="V335" i="13"/>
  <c r="V332" i="13"/>
  <c r="V333" i="13"/>
  <c r="V330" i="13"/>
  <c r="V331" i="13"/>
  <c r="V328" i="13"/>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V488" i="10"/>
  <c r="X488" i="10" s="1"/>
  <c r="Q488" i="10"/>
  <c r="O2" i="14" l="1"/>
  <c r="S18" i="13"/>
  <c r="J488" i="10"/>
  <c r="M488" i="10" s="1"/>
  <c r="N488" i="10" s="1"/>
  <c r="J487" i="10"/>
  <c r="M487" i="10" s="1"/>
  <c r="N487" i="10"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W540" i="10"/>
  <c r="X540" i="10" s="1"/>
  <c r="J540" i="10" s="1"/>
  <c r="M540" i="10" s="1"/>
  <c r="N540" i="10" s="1"/>
  <c r="J539" i="10" l="1"/>
  <c r="M539" i="10" s="1"/>
  <c r="N539" i="10" s="1"/>
  <c r="K254" i="13" s="1"/>
  <c r="H546" i="10"/>
  <c r="R255" i="13"/>
  <c r="R256" i="13"/>
  <c r="R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l="1"/>
  <c r="M543" i="10" s="1"/>
  <c r="N543" i="10" s="1"/>
  <c r="K256" i="13" s="1"/>
  <c r="H545" i="10"/>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l="1"/>
  <c r="M547" i="10" s="1"/>
  <c r="N547" i="10" s="1"/>
  <c r="R258" i="13" s="1"/>
  <c r="P552" i="10"/>
  <c r="Q552" i="10" s="1"/>
  <c r="P553" i="10"/>
  <c r="P551" i="10"/>
  <c r="Q551" i="10" s="1"/>
  <c r="V552" i="10"/>
  <c r="N259" i="13"/>
  <c r="N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l="1"/>
  <c r="M595" i="10" s="1"/>
  <c r="N595" i="10" s="1"/>
  <c r="Q598" i="10"/>
  <c r="V598" i="10"/>
  <c r="X598" i="10" s="1"/>
  <c r="J598" i="10" s="1"/>
  <c r="M598" i="10" s="1"/>
  <c r="N598" i="10" s="1"/>
  <c r="H601" i="10" s="1"/>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41" i="13" s="1"/>
  <c r="N339" i="13" l="1"/>
  <c r="N340" i="13"/>
  <c r="N337" i="13"/>
  <c r="N338" i="13"/>
  <c r="N335" i="13"/>
  <c r="N336" i="13"/>
  <c r="N333" i="13"/>
  <c r="N334" i="13"/>
  <c r="N331" i="13"/>
  <c r="N332" i="13"/>
  <c r="N329" i="13"/>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4" i="10"/>
  <c r="M624" i="10" s="1"/>
  <c r="N624" i="10" s="1"/>
  <c r="K286" i="13"/>
  <c r="H691" i="10"/>
  <c r="V691" i="10" s="1"/>
  <c r="R286" i="13"/>
  <c r="R287" i="13"/>
  <c r="H628" i="10"/>
  <c r="V628" i="10" s="1"/>
  <c r="J626" i="10" l="1"/>
  <c r="M626" i="10" s="1"/>
  <c r="N626" i="10" s="1"/>
  <c r="J625" i="10"/>
  <c r="M625" i="10" s="1"/>
  <c r="N625" i="10" s="1"/>
  <c r="K294" i="13"/>
  <c r="K312" i="13"/>
  <c r="K295" i="13"/>
  <c r="K288" i="13"/>
  <c r="K290" i="13"/>
  <c r="K289" i="13"/>
  <c r="K292" i="13"/>
  <c r="K293" i="13"/>
  <c r="K287" i="13"/>
  <c r="K296" i="13"/>
  <c r="K297" i="13"/>
  <c r="K298" i="13"/>
  <c r="K303" i="13"/>
  <c r="K302" i="13"/>
  <c r="K306" i="13"/>
  <c r="K308" i="13"/>
  <c r="K301" i="13"/>
  <c r="K309" i="13"/>
  <c r="K300" i="13"/>
  <c r="K314" i="13"/>
  <c r="K299" i="13"/>
  <c r="K313" i="13"/>
  <c r="K305" i="13"/>
  <c r="K311" i="13"/>
  <c r="K310" i="13"/>
  <c r="K307" i="13"/>
  <c r="K291" i="13"/>
  <c r="K304" i="13"/>
  <c r="H627" i="10"/>
  <c r="P628" i="10" l="1"/>
  <c r="Q628" i="10" s="1"/>
  <c r="P627" i="10"/>
  <c r="Q627" i="10" s="1"/>
  <c r="V627" i="10"/>
  <c r="W628" i="10" l="1"/>
  <c r="X628" i="10" s="1"/>
  <c r="J628" i="10" s="1"/>
  <c r="M628" i="10" s="1"/>
  <c r="N628" i="10" s="1"/>
  <c r="W627" i="10"/>
  <c r="X627" i="10" s="1"/>
  <c r="J627" i="10" l="1"/>
  <c r="M627" i="10" s="1"/>
  <c r="N627" i="10" s="1"/>
  <c r="H643" i="10" s="1"/>
  <c r="H630" i="10"/>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W632" i="10"/>
  <c r="X632" i="10" s="1"/>
  <c r="J632" i="10" s="1"/>
  <c r="M632" i="10" s="1"/>
  <c r="N632" i="10" s="1"/>
  <c r="H644" i="10" s="1"/>
  <c r="J631" i="10" l="1"/>
  <c r="M631" i="10" s="1"/>
  <c r="N631" i="10" s="1"/>
  <c r="H634" i="10" s="1"/>
  <c r="Q644" i="10"/>
  <c r="V644" i="10"/>
  <c r="X644" i="10" s="1"/>
  <c r="R295" i="13"/>
  <c r="R294" i="13"/>
  <c r="R293" i="13"/>
  <c r="R292" i="13"/>
  <c r="R291" i="13"/>
  <c r="R290" i="13"/>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W642" i="10"/>
  <c r="X642" i="10" s="1"/>
  <c r="J642" i="10" s="1"/>
  <c r="M642" i="10" s="1"/>
  <c r="N642" i="10" s="1"/>
  <c r="J641" i="10" l="1"/>
  <c r="M641" i="10" s="1"/>
  <c r="N641" i="10" s="1"/>
  <c r="H647" i="10"/>
  <c r="P647" i="10" s="1"/>
  <c r="Q647" i="10" s="1"/>
  <c r="V647" i="10" l="1"/>
  <c r="W647" i="10" s="1"/>
  <c r="X647" i="10" s="1"/>
  <c r="P648" i="10"/>
  <c r="H648" i="10"/>
  <c r="W648" i="10" l="1"/>
  <c r="Q648" i="10"/>
  <c r="V648" i="10"/>
  <c r="X648" i="10" l="1"/>
  <c r="J648" i="10" l="1"/>
  <c r="M648" i="10" s="1"/>
  <c r="N648" i="10" s="1"/>
  <c r="H650" i="10" s="1"/>
  <c r="J647" i="10"/>
  <c r="M647" i="10" s="1"/>
  <c r="N647" i="10" s="1"/>
  <c r="H649" i="10" s="1"/>
  <c r="V649" i="10" s="1"/>
  <c r="P650" i="10" l="1"/>
  <c r="Q650" i="10" s="1"/>
  <c r="P651" i="10"/>
  <c r="Q651" i="10" s="1"/>
  <c r="P649" i="10"/>
  <c r="Q649" i="10" s="1"/>
  <c r="V650" i="10"/>
  <c r="W651" i="10" l="1"/>
  <c r="X651" i="10" s="1"/>
  <c r="J651" i="10" s="1"/>
  <c r="M651" i="10" s="1"/>
  <c r="N651" i="10" s="1"/>
  <c r="W649" i="10"/>
  <c r="X649" i="10" s="1"/>
  <c r="W650" i="10"/>
  <c r="X650" i="10" s="1"/>
  <c r="H654" i="10"/>
  <c r="J649" i="10" l="1"/>
  <c r="M649" i="10" s="1"/>
  <c r="N649" i="10" s="1"/>
  <c r="H652" i="10" s="1"/>
  <c r="V652" i="10" s="1"/>
  <c r="J650" i="10"/>
  <c r="M650" i="10" s="1"/>
  <c r="N650" i="10" s="1"/>
  <c r="H653" i="10" s="1"/>
  <c r="V653" i="10" s="1"/>
  <c r="P653" i="10"/>
  <c r="P654" i="10"/>
  <c r="Q654" i="10" s="1"/>
  <c r="P652" i="10"/>
  <c r="V654" i="10"/>
  <c r="Q652" i="10" l="1"/>
  <c r="Q653" i="10"/>
  <c r="W653" i="10"/>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AL11" i="13"/>
  <c r="J11" i="13" s="1"/>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J672" i="10"/>
  <c r="M672" i="10" s="1"/>
  <c r="N672" i="10" s="1"/>
  <c r="P308" i="13" s="1"/>
  <c r="U326" i="13"/>
  <c r="U327" i="13"/>
  <c r="U324" i="13"/>
  <c r="U325" i="13"/>
  <c r="U322" i="13"/>
  <c r="U323" i="13"/>
  <c r="U320" i="13"/>
  <c r="U321" i="13"/>
  <c r="U318" i="13"/>
  <c r="U319" i="13"/>
  <c r="U316" i="13"/>
  <c r="U317" i="13"/>
  <c r="U315" i="13"/>
  <c r="U313" i="13"/>
  <c r="U314" i="13"/>
  <c r="U312" i="13"/>
  <c r="U310" i="13"/>
  <c r="U311" i="13"/>
  <c r="H679" i="10"/>
  <c r="P309" i="13"/>
  <c r="U308" i="13"/>
  <c r="U309" i="13"/>
  <c r="P307" i="13"/>
  <c r="Q340" i="13" l="1"/>
  <c r="Q341" i="13"/>
  <c r="Q338" i="13"/>
  <c r="Q339" i="13"/>
  <c r="Q336" i="13"/>
  <c r="Q337" i="13"/>
  <c r="Q334" i="13"/>
  <c r="Q335" i="13"/>
  <c r="Q332" i="13"/>
  <c r="Q333" i="13"/>
  <c r="Q315" i="13"/>
  <c r="Q314" i="13"/>
  <c r="Q330" i="13"/>
  <c r="Q331" i="13"/>
  <c r="Q329" i="13"/>
  <c r="Q323" i="13"/>
  <c r="Q318" i="13"/>
  <c r="Q313" i="13"/>
  <c r="Q312" i="13"/>
  <c r="Q311" i="13"/>
  <c r="Q309" i="13"/>
  <c r="Q307" i="13"/>
  <c r="W719" i="10"/>
  <c r="X719" i="10" s="1"/>
  <c r="W720" i="10"/>
  <c r="Q324" i="13"/>
  <c r="Q321" i="13"/>
  <c r="B8" i="14"/>
  <c r="Q328" i="13"/>
  <c r="Q326" i="13"/>
  <c r="Q322" i="13"/>
  <c r="Q316" i="13"/>
  <c r="Q327" i="13"/>
  <c r="Q325" i="13"/>
  <c r="Q320" i="13"/>
  <c r="Q319" i="13"/>
  <c r="Q317" i="13"/>
  <c r="AL13" i="13"/>
  <c r="J13" i="13" s="1"/>
  <c r="Q310" i="13"/>
  <c r="Q308" i="13"/>
  <c r="P679" i="10"/>
  <c r="Q679" i="10" s="1"/>
  <c r="P680" i="10"/>
  <c r="Q680" i="10" s="1"/>
  <c r="V679" i="10"/>
  <c r="W680" i="10" s="1"/>
  <c r="X680" i="10" s="1"/>
  <c r="B13" i="13" l="1"/>
  <c r="S13" i="13" s="1"/>
  <c r="J2" i="14"/>
  <c r="J680" i="10"/>
  <c r="M680" i="10" s="1"/>
  <c r="N680" i="10" s="1"/>
  <c r="H726" i="10" s="1"/>
  <c r="J679" i="10"/>
  <c r="M679" i="10" s="1"/>
  <c r="N679" i="10" s="1"/>
  <c r="W679" i="10"/>
  <c r="X679" i="10" s="1"/>
  <c r="P310" i="13"/>
  <c r="V726" i="10" l="1"/>
  <c r="M329" i="13"/>
  <c r="M330" i="13"/>
  <c r="F91" i="7"/>
  <c r="S91" i="7" s="1"/>
  <c r="W13" i="13"/>
  <c r="AI13" i="13"/>
  <c r="M327" i="13"/>
  <c r="M328" i="13"/>
  <c r="M325" i="13"/>
  <c r="M326" i="13"/>
  <c r="M323" i="13"/>
  <c r="M324" i="13"/>
  <c r="M321" i="13"/>
  <c r="M322" i="13"/>
  <c r="M319" i="13"/>
  <c r="M320" i="13"/>
  <c r="M317" i="13"/>
  <c r="M318" i="13"/>
  <c r="M315" i="13"/>
  <c r="M316" i="13"/>
  <c r="M314" i="13"/>
  <c r="AL9" i="13"/>
  <c r="J9" i="13" s="1"/>
  <c r="M312" i="13"/>
  <c r="M313" i="13"/>
  <c r="H682" i="10"/>
  <c r="M311" i="13"/>
  <c r="M310" i="13"/>
  <c r="Q682" i="10" l="1"/>
  <c r="V682" i="10"/>
  <c r="X682" i="10" s="1"/>
  <c r="J682" i="10" l="1"/>
  <c r="M682" i="10" s="1"/>
  <c r="N682" i="10" s="1"/>
  <c r="J681" i="10"/>
  <c r="M681" i="10" s="1"/>
  <c r="N681" i="10" s="1"/>
  <c r="P311"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X687" i="10" l="1"/>
  <c r="J687" i="10" l="1"/>
  <c r="M687" i="10" s="1"/>
  <c r="N687" i="10" s="1"/>
  <c r="J688" i="10"/>
  <c r="M688" i="10" s="1"/>
  <c r="N688" i="10" s="1"/>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J710" i="10"/>
  <c r="M710" i="10" s="1"/>
  <c r="N710" i="10" s="1"/>
  <c r="P326" i="13"/>
  <c r="P327" i="13"/>
  <c r="P324" i="13"/>
  <c r="P325" i="13"/>
  <c r="P323" i="13"/>
  <c r="H720" i="10" l="1"/>
  <c r="R323" i="13"/>
  <c r="H711" i="10"/>
  <c r="Q720" i="10" l="1"/>
  <c r="V720" i="10"/>
  <c r="X720" i="10" s="1"/>
  <c r="J720" i="10" s="1"/>
  <c r="M720" i="10" s="1"/>
  <c r="N720" i="10" s="1"/>
  <c r="AL12" i="13" s="1"/>
  <c r="J12" i="13" s="1"/>
  <c r="J719" i="10"/>
  <c r="M719" i="10" s="1"/>
  <c r="N719" i="10" s="1"/>
  <c r="P712" i="10"/>
  <c r="Q712" i="10" s="1"/>
  <c r="V711" i="10"/>
  <c r="W711" i="10" s="1"/>
  <c r="X711" i="10" s="1"/>
  <c r="P711" i="10"/>
  <c r="Q711" i="10" s="1"/>
  <c r="W712" i="10"/>
  <c r="X712" i="10" s="1"/>
  <c r="U340" i="13" l="1"/>
  <c r="U341" i="13"/>
  <c r="U338" i="13"/>
  <c r="U339" i="13"/>
  <c r="AL17" i="13"/>
  <c r="J17" i="13" s="1"/>
  <c r="U337" i="13"/>
  <c r="U335" i="13"/>
  <c r="U336" i="13"/>
  <c r="U333" i="13"/>
  <c r="U334" i="13"/>
  <c r="P328" i="13"/>
  <c r="H725" i="10"/>
  <c r="U331" i="13"/>
  <c r="U332" i="13"/>
  <c r="P329" i="13"/>
  <c r="P330" i="13"/>
  <c r="U329" i="13"/>
  <c r="U330" i="13"/>
  <c r="B12" i="14"/>
  <c r="U328" i="13"/>
  <c r="J712" i="10"/>
  <c r="M712" i="10" s="1"/>
  <c r="N712" i="10" s="1"/>
  <c r="H728" i="10" s="1"/>
  <c r="J711" i="10"/>
  <c r="M711" i="10" s="1"/>
  <c r="V728" i="10" l="1"/>
  <c r="P726" i="10"/>
  <c r="Q726" i="10" s="1"/>
  <c r="V725" i="10"/>
  <c r="P725" i="10"/>
  <c r="Q725" i="10" s="1"/>
  <c r="K331" i="13"/>
  <c r="AL7" i="13"/>
  <c r="J7" i="13" s="1"/>
  <c r="K329" i="13"/>
  <c r="K330" i="13"/>
  <c r="N2" i="14"/>
  <c r="B17" i="13"/>
  <c r="S17" i="13" s="1"/>
  <c r="K327" i="13"/>
  <c r="K328" i="13"/>
  <c r="K325" i="13"/>
  <c r="K326" i="13"/>
  <c r="N711" i="10"/>
  <c r="H713" i="10" s="1"/>
  <c r="K324" i="13"/>
  <c r="W725" i="10" l="1"/>
  <c r="X725" i="10" s="1"/>
  <c r="W726" i="10"/>
  <c r="X726" i="10" s="1"/>
  <c r="W17" i="13"/>
  <c r="F92" i="7"/>
  <c r="S92" i="7" s="1"/>
  <c r="AI17" i="13"/>
  <c r="P713" i="10"/>
  <c r="Q713" i="10" s="1"/>
  <c r="P714" i="10"/>
  <c r="Q714" i="10" s="1"/>
  <c r="V713" i="10"/>
  <c r="R324" i="13"/>
  <c r="J725" i="10" l="1"/>
  <c r="M725" i="10" s="1"/>
  <c r="N725" i="10" s="1"/>
  <c r="H727" i="10" s="1"/>
  <c r="J726" i="10"/>
  <c r="M726" i="10" s="1"/>
  <c r="N726" i="10" s="1"/>
  <c r="H731" i="10" s="1"/>
  <c r="P331" i="13"/>
  <c r="W713" i="10"/>
  <c r="X713" i="10" s="1"/>
  <c r="W714" i="10"/>
  <c r="X714" i="10" s="1"/>
  <c r="V731" i="10" l="1"/>
  <c r="V727" i="10"/>
  <c r="M331" i="13"/>
  <c r="M332" i="13"/>
  <c r="J714" i="10"/>
  <c r="M714" i="10" s="1"/>
  <c r="N714" i="10" s="1"/>
  <c r="H715" i="10" s="1"/>
  <c r="J713" i="10"/>
  <c r="M713" i="10" s="1"/>
  <c r="P715" i="10" l="1"/>
  <c r="Q715" i="10" s="1"/>
  <c r="P716" i="10"/>
  <c r="N713" i="10"/>
  <c r="H716" i="10" s="1"/>
  <c r="V715" i="10"/>
  <c r="R325" i="13"/>
  <c r="S325" i="13"/>
  <c r="Q716" i="10" l="1"/>
  <c r="V716" i="10"/>
  <c r="W715" i="10"/>
  <c r="X715" i="10" s="1"/>
  <c r="W716" i="10"/>
  <c r="X716" i="10" l="1"/>
  <c r="J716" i="10" l="1"/>
  <c r="M716" i="10" s="1"/>
  <c r="N716" i="10" s="1"/>
  <c r="J715" i="10"/>
  <c r="M715" i="10" s="1"/>
  <c r="N715" i="10" s="1"/>
  <c r="R326" i="13"/>
  <c r="H717" i="10"/>
  <c r="S326" i="13" l="1"/>
  <c r="H718" i="10"/>
  <c r="V718" i="10" s="1"/>
  <c r="P717" i="10"/>
  <c r="Q717" i="10" s="1"/>
  <c r="P718" i="10"/>
  <c r="V717" i="10"/>
  <c r="W717" i="10" l="1"/>
  <c r="X717" i="10" s="1"/>
  <c r="W718" i="10"/>
  <c r="X718" i="10" s="1"/>
  <c r="Q718" i="10"/>
  <c r="J717" i="10" l="1"/>
  <c r="M717" i="10" s="1"/>
  <c r="N717" i="10" s="1"/>
  <c r="J718" i="10"/>
  <c r="M718" i="10" s="1"/>
  <c r="N718" i="10" s="1"/>
  <c r="S341" i="13" s="1"/>
  <c r="S333" i="13"/>
  <c r="S334" i="13"/>
  <c r="B10" i="14"/>
  <c r="S327" i="13"/>
  <c r="S332" i="13"/>
  <c r="AL15" i="13"/>
  <c r="J15" i="13" s="1"/>
  <c r="S330" i="13"/>
  <c r="S331" i="13"/>
  <c r="S328" i="13"/>
  <c r="S329" i="13"/>
  <c r="S339" i="13" l="1"/>
  <c r="S340" i="13"/>
  <c r="S337" i="13"/>
  <c r="S338" i="13"/>
  <c r="S335" i="13"/>
  <c r="S336" i="13"/>
  <c r="B15" i="13"/>
  <c r="S15" i="13" s="1"/>
  <c r="L2" i="14"/>
  <c r="H722" i="10"/>
  <c r="AL14" i="13"/>
  <c r="J14" i="13" s="1"/>
  <c r="R328" i="13"/>
  <c r="R327" i="13"/>
  <c r="V722" i="10" l="1"/>
  <c r="X722" i="10" s="1"/>
  <c r="Q722" i="10"/>
  <c r="K15" i="13"/>
  <c r="K10" i="13"/>
  <c r="K20" i="13"/>
  <c r="K18" i="13"/>
  <c r="K12" i="13"/>
  <c r="K13" i="13"/>
  <c r="K17" i="13"/>
  <c r="K11" i="13"/>
  <c r="K19" i="13"/>
  <c r="K9" i="13"/>
  <c r="K16" i="13"/>
  <c r="K7" i="13"/>
  <c r="K8" i="13"/>
  <c r="K14" i="13"/>
  <c r="W15" i="13"/>
  <c r="AI15" i="13"/>
  <c r="F89" i="7"/>
  <c r="S89" i="7" s="1"/>
  <c r="J722" i="10" l="1"/>
  <c r="M722" i="10" s="1"/>
  <c r="N722" i="10" s="1"/>
  <c r="J721" i="10"/>
  <c r="M721" i="10" s="1"/>
  <c r="N721" i="10" s="1"/>
  <c r="R329" i="13"/>
  <c r="H724" i="10"/>
  <c r="V724" i="10" s="1"/>
  <c r="O329" i="13" l="1"/>
  <c r="H723" i="10"/>
  <c r="P724" i="10" l="1"/>
  <c r="Q724" i="10" s="1"/>
  <c r="V723" i="10"/>
  <c r="P723" i="10"/>
  <c r="Q723" i="10" s="1"/>
  <c r="W723" i="10" l="1"/>
  <c r="X723" i="10" s="1"/>
  <c r="W724" i="10"/>
  <c r="X724" i="10" s="1"/>
  <c r="J724" i="10" l="1"/>
  <c r="M724" i="10" s="1"/>
  <c r="N724" i="10" s="1"/>
  <c r="H729" i="10" s="1"/>
  <c r="J723" i="10"/>
  <c r="M723" i="10" s="1"/>
  <c r="N723" i="10" s="1"/>
  <c r="O341" i="13" s="1"/>
  <c r="R331" i="13"/>
  <c r="R330" i="13"/>
  <c r="P727" i="10" l="1"/>
  <c r="Q727" i="10" s="1"/>
  <c r="P729" i="10"/>
  <c r="Q729" i="10" s="1"/>
  <c r="P728" i="10"/>
  <c r="Q728" i="10" s="1"/>
  <c r="V729" i="10"/>
  <c r="O339" i="13"/>
  <c r="O340" i="13"/>
  <c r="O337" i="13"/>
  <c r="O338" i="13"/>
  <c r="O335" i="13"/>
  <c r="O336" i="13"/>
  <c r="O333" i="13"/>
  <c r="O334" i="13"/>
  <c r="W729" i="10"/>
  <c r="X729" i="10" s="1"/>
  <c r="O331" i="13"/>
  <c r="O332" i="13"/>
  <c r="B6" i="14"/>
  <c r="O330" i="13"/>
  <c r="W728" i="10" l="1"/>
  <c r="X728" i="10" s="1"/>
  <c r="J728" i="10" s="1"/>
  <c r="M728" i="10" s="1"/>
  <c r="N728" i="10" s="1"/>
  <c r="H732" i="10" s="1"/>
  <c r="V732" i="10" s="1"/>
  <c r="W727" i="10"/>
  <c r="X727" i="10" s="1"/>
  <c r="K332" i="13"/>
  <c r="H2" i="14"/>
  <c r="B11" i="13"/>
  <c r="J727" i="10" l="1"/>
  <c r="M727" i="10" s="1"/>
  <c r="N727" i="10" s="1"/>
  <c r="H730" i="10" s="1"/>
  <c r="J729" i="10"/>
  <c r="M729" i="10" s="1"/>
  <c r="N729" i="10" s="1"/>
  <c r="H733" i="10" s="1"/>
  <c r="V733" i="10" s="1"/>
  <c r="R332" i="13"/>
  <c r="P332" i="13"/>
  <c r="S11" i="13"/>
  <c r="F90" i="7" s="1"/>
  <c r="S90" i="7" s="1"/>
  <c r="P733" i="10" l="1"/>
  <c r="Q733" i="10" s="1"/>
  <c r="P732" i="10"/>
  <c r="Q732" i="10" s="1"/>
  <c r="P731" i="10"/>
  <c r="Q731" i="10" s="1"/>
  <c r="P730" i="10"/>
  <c r="Q730" i="10" s="1"/>
  <c r="V730" i="10"/>
  <c r="W732" i="10"/>
  <c r="X732" i="10" s="1"/>
  <c r="J732" i="10" s="1"/>
  <c r="M732" i="10" s="1"/>
  <c r="W731" i="10"/>
  <c r="X731" i="10" s="1"/>
  <c r="J731" i="10" s="1"/>
  <c r="M731" i="10" s="1"/>
  <c r="N731" i="10" s="1"/>
  <c r="H735" i="10" s="1"/>
  <c r="W11" i="13"/>
  <c r="B24" i="5" s="1"/>
  <c r="AI11" i="13"/>
  <c r="W730" i="10" l="1"/>
  <c r="X730" i="10" s="1"/>
  <c r="W733" i="10"/>
  <c r="X733" i="10" s="1"/>
  <c r="V735" i="10"/>
  <c r="M333" i="13"/>
  <c r="N732" i="10"/>
  <c r="K341" i="13" s="1"/>
  <c r="J733" i="10" l="1"/>
  <c r="M733" i="10" s="1"/>
  <c r="N733" i="10" s="1"/>
  <c r="J730" i="10"/>
  <c r="M730" i="10" s="1"/>
  <c r="R333" i="13"/>
  <c r="H736" i="10"/>
  <c r="V736" i="10" s="1"/>
  <c r="K339" i="13"/>
  <c r="K340" i="13"/>
  <c r="K337" i="13"/>
  <c r="K338" i="13"/>
  <c r="K335" i="13"/>
  <c r="K336" i="13"/>
  <c r="N730" i="10"/>
  <c r="H734" i="10" s="1"/>
  <c r="K334" i="13"/>
  <c r="P333" i="13"/>
  <c r="B2" i="14"/>
  <c r="K333" i="13"/>
  <c r="P736" i="10" l="1"/>
  <c r="Q736" i="10" s="1"/>
  <c r="P735" i="10"/>
  <c r="Q735" i="10" s="1"/>
  <c r="P734" i="10"/>
  <c r="Q734" i="10" s="1"/>
  <c r="V734" i="10"/>
  <c r="B7" i="13"/>
  <c r="D2" i="14"/>
  <c r="W736" i="10" l="1"/>
  <c r="X736" i="10" s="1"/>
  <c r="J736" i="10" s="1"/>
  <c r="M736" i="10" s="1"/>
  <c r="N736" i="10" s="1"/>
  <c r="H738" i="10" s="1"/>
  <c r="W735" i="10"/>
  <c r="X735" i="10" s="1"/>
  <c r="J735" i="10" s="1"/>
  <c r="M735" i="10" s="1"/>
  <c r="N735" i="10" s="1"/>
  <c r="M341" i="13" s="1"/>
  <c r="W734" i="10"/>
  <c r="X734" i="10" s="1"/>
  <c r="S7" i="13"/>
  <c r="M339" i="13" l="1"/>
  <c r="M340" i="13"/>
  <c r="J734" i="10"/>
  <c r="M734" i="10" s="1"/>
  <c r="N734" i="10" s="1"/>
  <c r="H737" i="10" s="1"/>
  <c r="M337" i="13"/>
  <c r="M338" i="13"/>
  <c r="M335" i="13"/>
  <c r="M336" i="13"/>
  <c r="V738" i="10"/>
  <c r="R334" i="13"/>
  <c r="M334" i="13"/>
  <c r="B4" i="14"/>
  <c r="F94" i="7"/>
  <c r="S94" i="7" s="1"/>
  <c r="W7" i="13"/>
  <c r="AI7" i="13"/>
  <c r="P738" i="10" l="1"/>
  <c r="Q738" i="10" s="1"/>
  <c r="P737" i="10"/>
  <c r="Q737" i="10" s="1"/>
  <c r="V737" i="10"/>
  <c r="P334" i="13"/>
  <c r="B9" i="13"/>
  <c r="F2" i="14"/>
  <c r="W738" i="10" l="1"/>
  <c r="X738" i="10" s="1"/>
  <c r="J738" i="10" s="1"/>
  <c r="M738" i="10" s="1"/>
  <c r="W737" i="10"/>
  <c r="X737" i="10" s="1"/>
  <c r="S9" i="13"/>
  <c r="J737" i="10" l="1"/>
  <c r="M737" i="10" s="1"/>
  <c r="N737" i="10" s="1"/>
  <c r="N738" i="10"/>
  <c r="H740" i="10" s="1"/>
  <c r="W9" i="13"/>
  <c r="AI9" i="13"/>
  <c r="F99" i="7"/>
  <c r="S99" i="7" s="1"/>
  <c r="P335" i="13" l="1"/>
  <c r="H739" i="10"/>
  <c r="V739" i="10" s="1"/>
  <c r="P740" i="10"/>
  <c r="Q740" i="10" s="1"/>
  <c r="P739" i="10"/>
  <c r="V740" i="10"/>
  <c r="R335" i="13"/>
  <c r="Q739" i="10" l="1"/>
  <c r="W740" i="10"/>
  <c r="X740" i="10" s="1"/>
  <c r="J740" i="10" s="1"/>
  <c r="M740" i="10" s="1"/>
  <c r="W739" i="10"/>
  <c r="X739" i="10" s="1"/>
  <c r="J739" i="10" s="1"/>
  <c r="M739" i="10" s="1"/>
  <c r="N740" i="10" l="1"/>
  <c r="H742" i="10" s="1"/>
  <c r="N739" i="10"/>
  <c r="H741" i="10" s="1"/>
  <c r="P742" i="10" l="1"/>
  <c r="Q742" i="10" s="1"/>
  <c r="P741" i="10"/>
  <c r="Q741" i="10" s="1"/>
  <c r="V742" i="10"/>
  <c r="V741" i="10"/>
  <c r="R336" i="13"/>
  <c r="P336" i="13"/>
  <c r="W741" i="10" l="1"/>
  <c r="X741" i="10" s="1"/>
  <c r="J741" i="10" s="1"/>
  <c r="M741" i="10" s="1"/>
  <c r="W742" i="10"/>
  <c r="X742" i="10" s="1"/>
  <c r="J742" i="10" s="1"/>
  <c r="M742" i="10" s="1"/>
  <c r="N741" i="10" l="1"/>
  <c r="H743" i="10" s="1"/>
  <c r="N742" i="10"/>
  <c r="H744" i="10" s="1"/>
  <c r="P744" i="10" l="1"/>
  <c r="Q744" i="10" s="1"/>
  <c r="P743" i="10"/>
  <c r="Q743" i="10" s="1"/>
  <c r="V744" i="10"/>
  <c r="V743" i="10"/>
  <c r="P337" i="13"/>
  <c r="R337" i="13"/>
  <c r="W744" i="10" l="1"/>
  <c r="X744" i="10" s="1"/>
  <c r="J744" i="10" s="1"/>
  <c r="M744" i="10" s="1"/>
  <c r="N744" i="10" s="1"/>
  <c r="H746" i="10" s="1"/>
  <c r="W743" i="10"/>
  <c r="X743" i="10" s="1"/>
  <c r="J743" i="10" s="1"/>
  <c r="M743" i="10" s="1"/>
  <c r="R338" i="13"/>
  <c r="P747" i="10" l="1"/>
  <c r="Q747" i="10" s="1"/>
  <c r="P746" i="10"/>
  <c r="Q746" i="10" s="1"/>
  <c r="P745" i="10"/>
  <c r="V746" i="10"/>
  <c r="N743" i="10"/>
  <c r="H745" i="10" s="1"/>
  <c r="W747" i="10" l="1"/>
  <c r="X747" i="10" s="1"/>
  <c r="J747" i="10" s="1"/>
  <c r="M747" i="10" s="1"/>
  <c r="N747" i="10" s="1"/>
  <c r="H749" i="10" s="1"/>
  <c r="W746" i="10"/>
  <c r="X746" i="10" s="1"/>
  <c r="W745" i="10"/>
  <c r="V745" i="10"/>
  <c r="Q745" i="10"/>
  <c r="P338" i="13"/>
  <c r="V749" i="10" l="1"/>
  <c r="W339" i="13"/>
  <c r="X745" i="10"/>
  <c r="J746" i="10" l="1"/>
  <c r="M746" i="10" s="1"/>
  <c r="N746" i="10" s="1"/>
  <c r="H750" i="10" s="1"/>
  <c r="J745" i="10"/>
  <c r="M745" i="10" s="1"/>
  <c r="V750" i="10" l="1"/>
  <c r="R339" i="13"/>
  <c r="N745" i="10"/>
  <c r="H748" i="10" s="1"/>
  <c r="P750" i="10" l="1"/>
  <c r="Q750" i="10" s="1"/>
  <c r="P749" i="10"/>
  <c r="Q749" i="10" s="1"/>
  <c r="P748" i="10"/>
  <c r="Q748" i="10" s="1"/>
  <c r="V748" i="10"/>
  <c r="P339" i="13"/>
  <c r="W750" i="10" l="1"/>
  <c r="X750" i="10" s="1"/>
  <c r="J750" i="10" s="1"/>
  <c r="M750" i="10" s="1"/>
  <c r="N750" i="10" s="1"/>
  <c r="H752" i="10" s="1"/>
  <c r="W749" i="10"/>
  <c r="X749" i="10" s="1"/>
  <c r="J749" i="10" s="1"/>
  <c r="M749" i="10" s="1"/>
  <c r="N749" i="10" s="1"/>
  <c r="W341" i="13" s="1"/>
  <c r="W748" i="10"/>
  <c r="X748" i="10" s="1"/>
  <c r="J748" i="10" s="1"/>
  <c r="M748" i="10" s="1"/>
  <c r="V752" i="10" l="1"/>
  <c r="R340" i="13"/>
  <c r="B14" i="14"/>
  <c r="W340" i="13"/>
  <c r="N748" i="10"/>
  <c r="H751" i="10" s="1"/>
  <c r="P752" i="10" l="1"/>
  <c r="Q752" i="10" s="1"/>
  <c r="P751" i="10"/>
  <c r="Q751" i="10" s="1"/>
  <c r="V751" i="10"/>
  <c r="P340" i="13"/>
  <c r="P2" i="14"/>
  <c r="B19" i="13"/>
  <c r="W752" i="10" l="1"/>
  <c r="X752" i="10" s="1"/>
  <c r="J752" i="10" s="1"/>
  <c r="M752" i="10" s="1"/>
  <c r="N752" i="10" s="1"/>
  <c r="W751" i="10"/>
  <c r="X751" i="10" s="1"/>
  <c r="J751" i="10" s="1"/>
  <c r="M751" i="10" s="1"/>
  <c r="S19" i="13"/>
  <c r="B9" i="14" l="1"/>
  <c r="R341" i="13"/>
  <c r="N751" i="10"/>
  <c r="H18" i="8"/>
  <c r="H19" i="8"/>
  <c r="B19" i="8"/>
  <c r="B18" i="8"/>
  <c r="AI19" i="13"/>
  <c r="W19" i="13"/>
  <c r="F98" i="7"/>
  <c r="S98" i="7" s="1"/>
  <c r="P341" i="13" l="1"/>
  <c r="B7" i="14"/>
  <c r="B17" i="8"/>
  <c r="H17" i="8"/>
  <c r="B14" i="13"/>
  <c r="K2" i="14"/>
  <c r="E18" i="8"/>
  <c r="D18" i="8"/>
  <c r="C18" i="8"/>
  <c r="F18" i="8"/>
  <c r="C19" i="8"/>
  <c r="F19" i="8"/>
  <c r="D19" i="8"/>
  <c r="E19" i="8"/>
  <c r="I2" i="14" l="1"/>
  <c r="B12" i="13"/>
  <c r="E17" i="8"/>
  <c r="C17" i="8"/>
  <c r="F17" i="8" s="1"/>
  <c r="D17" i="8"/>
  <c r="S14" i="13"/>
  <c r="E19" i="13"/>
  <c r="D11" i="13"/>
  <c r="D9" i="13"/>
  <c r="E16" i="13"/>
  <c r="D19" i="13"/>
  <c r="E14" i="13"/>
  <c r="D12" i="13"/>
  <c r="D13" i="13"/>
  <c r="D20" i="13"/>
  <c r="E20" i="13"/>
  <c r="E15" i="13"/>
  <c r="D16" i="13"/>
  <c r="E12" i="13"/>
  <c r="D15" i="13"/>
  <c r="D18" i="13"/>
  <c r="D17" i="13"/>
  <c r="E18" i="13"/>
  <c r="C12" i="14"/>
  <c r="C17" i="13" s="1"/>
  <c r="AA17" i="13" s="1"/>
  <c r="C15" i="14"/>
  <c r="C20" i="13" s="1"/>
  <c r="AA20" i="13" s="1"/>
  <c r="C2" i="14"/>
  <c r="C7" i="13" s="1"/>
  <c r="AA7" i="13" s="1"/>
  <c r="C14" i="14"/>
  <c r="C19" i="13" s="1"/>
  <c r="AA19" i="13" s="1"/>
  <c r="C5" i="14"/>
  <c r="C10" i="13" s="1"/>
  <c r="AA10" i="13" s="1"/>
  <c r="C10" i="14"/>
  <c r="C15" i="13" s="1"/>
  <c r="AA15" i="13" s="1"/>
  <c r="C3" i="14"/>
  <c r="C8" i="13" s="1"/>
  <c r="AA8" i="13" s="1"/>
  <c r="C9" i="14"/>
  <c r="C14" i="13" s="1"/>
  <c r="AA14" i="13" s="1"/>
  <c r="C7" i="14"/>
  <c r="C12" i="13" s="1"/>
  <c r="AA12" i="13" s="1"/>
  <c r="C13" i="14"/>
  <c r="C18" i="13" s="1"/>
  <c r="AA18" i="13" s="1"/>
  <c r="C8" i="14"/>
  <c r="C13" i="13" s="1"/>
  <c r="AA13" i="13" s="1"/>
  <c r="C4" i="14"/>
  <c r="C9" i="13" s="1"/>
  <c r="AA9" i="13" s="1"/>
  <c r="C11" i="14" l="1"/>
  <c r="C16" i="13" s="1"/>
  <c r="AA16" i="13" s="1"/>
  <c r="C6" i="14"/>
  <c r="C11" i="13" s="1"/>
  <c r="D14" i="13"/>
  <c r="D7" i="13"/>
  <c r="E11" i="13"/>
  <c r="S12" i="13"/>
  <c r="E17" i="13"/>
  <c r="D8" i="13"/>
  <c r="E10" i="13"/>
  <c r="E7" i="13"/>
  <c r="E9" i="13"/>
  <c r="E8" i="13"/>
  <c r="D10" i="13"/>
  <c r="E13" i="13"/>
  <c r="AI14" i="13"/>
  <c r="W14" i="13"/>
  <c r="F93" i="7"/>
  <c r="S93" i="7" s="1"/>
  <c r="B12" i="5" l="1"/>
  <c r="AA11" i="13"/>
  <c r="B28" i="5" s="1"/>
  <c r="F95" i="7"/>
  <c r="S95" i="7" s="1"/>
  <c r="C4" i="7" s="1"/>
  <c r="AI12" i="13"/>
  <c r="W12" i="13"/>
  <c r="A6" i="3"/>
  <c r="A5" i="3"/>
  <c r="B28" i="8" s="1"/>
  <c r="B7" i="4" l="1"/>
  <c r="L17" i="13"/>
  <c r="L20" i="13"/>
  <c r="B10" i="4"/>
  <c r="B6" i="4"/>
  <c r="B16" i="4"/>
  <c r="B5" i="4"/>
  <c r="B13" i="4"/>
  <c r="B12" i="4"/>
  <c r="L8" i="13"/>
  <c r="B8" i="4"/>
  <c r="B11" i="4"/>
  <c r="L9" i="13"/>
  <c r="B14" i="4"/>
  <c r="L18" i="13"/>
  <c r="Q11" i="4" s="1"/>
  <c r="L11" i="13"/>
  <c r="L19" i="13"/>
  <c r="B18" i="4"/>
  <c r="L14" i="13"/>
  <c r="B9" i="4"/>
  <c r="L7" i="13"/>
  <c r="B17" i="4"/>
  <c r="B15" i="4"/>
  <c r="L16" i="13"/>
  <c r="L10" i="13"/>
  <c r="L12" i="13"/>
  <c r="L13" i="13"/>
  <c r="L15" i="13"/>
  <c r="C7" i="4" l="1"/>
  <c r="C19" i="9" s="1"/>
  <c r="T7" i="4"/>
  <c r="X7" i="4"/>
  <c r="U7" i="4"/>
  <c r="K7" i="4"/>
  <c r="M7" i="4"/>
  <c r="V7" i="4"/>
  <c r="S7" i="4"/>
  <c r="P7" i="4"/>
  <c r="B19" i="9"/>
  <c r="Q7" i="4"/>
  <c r="O7" i="4"/>
  <c r="H7" i="4"/>
  <c r="E7" i="4"/>
  <c r="I7" i="4"/>
  <c r="J7" i="4"/>
  <c r="R7" i="4"/>
  <c r="D7" i="4"/>
  <c r="AD13" i="13" s="1"/>
  <c r="R10" i="4"/>
  <c r="C10" i="4"/>
  <c r="U10" i="4"/>
  <c r="Q10" i="4"/>
  <c r="K10" i="4"/>
  <c r="O10" i="4"/>
  <c r="H10" i="4"/>
  <c r="S10" i="4"/>
  <c r="I10" i="4"/>
  <c r="V10" i="4"/>
  <c r="X10" i="4"/>
  <c r="M10" i="4"/>
  <c r="J10" i="4"/>
  <c r="D10" i="4"/>
  <c r="T10" i="4"/>
  <c r="P10" i="4"/>
  <c r="E10" i="4"/>
  <c r="J6" i="4"/>
  <c r="I6" i="4"/>
  <c r="D6" i="4"/>
  <c r="AD12" i="13" s="1"/>
  <c r="Q6" i="4"/>
  <c r="B18" i="9"/>
  <c r="T6" i="4"/>
  <c r="V6" i="4"/>
  <c r="M6" i="4"/>
  <c r="K6" i="4"/>
  <c r="H6" i="4"/>
  <c r="P6" i="4"/>
  <c r="S6" i="4"/>
  <c r="X6" i="4"/>
  <c r="E6" i="4"/>
  <c r="R6" i="4"/>
  <c r="C6" i="4"/>
  <c r="C18" i="9" s="1"/>
  <c r="U6" i="4"/>
  <c r="O6" i="4"/>
  <c r="C16" i="4"/>
  <c r="R16" i="4"/>
  <c r="S16" i="4"/>
  <c r="T16" i="4"/>
  <c r="V16" i="4"/>
  <c r="I16" i="4"/>
  <c r="O16" i="4"/>
  <c r="K16" i="4"/>
  <c r="D16" i="4"/>
  <c r="AD8" i="13" s="1"/>
  <c r="X16" i="4"/>
  <c r="M16" i="4"/>
  <c r="J16" i="4"/>
  <c r="E16" i="4"/>
  <c r="U16" i="4"/>
  <c r="H16" i="4"/>
  <c r="P16" i="4"/>
  <c r="Q16" i="4"/>
  <c r="O5" i="4"/>
  <c r="E5" i="4"/>
  <c r="J5" i="4"/>
  <c r="I5" i="4"/>
  <c r="V5" i="4"/>
  <c r="B5" i="5"/>
  <c r="X5" i="4"/>
  <c r="R5" i="4"/>
  <c r="M5" i="4"/>
  <c r="Q5" i="4"/>
  <c r="B17" i="9"/>
  <c r="C5" i="4"/>
  <c r="A5" i="9" s="1"/>
  <c r="U5" i="4"/>
  <c r="P5" i="4"/>
  <c r="T5" i="4"/>
  <c r="S5" i="4"/>
  <c r="H5" i="4"/>
  <c r="D5" i="4"/>
  <c r="K5" i="4"/>
  <c r="T13" i="4"/>
  <c r="K13" i="4"/>
  <c r="E13" i="4"/>
  <c r="S13" i="4"/>
  <c r="Q13" i="4"/>
  <c r="V13" i="4"/>
  <c r="H13" i="4"/>
  <c r="O13" i="4"/>
  <c r="I13" i="4"/>
  <c r="X13" i="4"/>
  <c r="M13" i="4"/>
  <c r="D13" i="4"/>
  <c r="AD20" i="13" s="1"/>
  <c r="AF20" i="13" s="1"/>
  <c r="W13" i="4" s="1"/>
  <c r="P13" i="4"/>
  <c r="J13" i="4"/>
  <c r="R13" i="4"/>
  <c r="U13" i="4"/>
  <c r="C13" i="4"/>
  <c r="S12" i="4"/>
  <c r="E12" i="4"/>
  <c r="O12" i="4"/>
  <c r="H12" i="4"/>
  <c r="J12" i="4"/>
  <c r="D12" i="4"/>
  <c r="AD9" i="13" s="1"/>
  <c r="T12" i="4"/>
  <c r="V12" i="4"/>
  <c r="Q12" i="4"/>
  <c r="U12" i="4"/>
  <c r="K12" i="4"/>
  <c r="R12" i="4"/>
  <c r="I12" i="4"/>
  <c r="C12" i="4"/>
  <c r="X12" i="4"/>
  <c r="P12" i="4"/>
  <c r="M12" i="4"/>
  <c r="V8" i="4"/>
  <c r="J8" i="4"/>
  <c r="R8" i="4"/>
  <c r="U8" i="4"/>
  <c r="Q8" i="4"/>
  <c r="I8" i="4"/>
  <c r="O8" i="4"/>
  <c r="E8" i="4"/>
  <c r="K8" i="4"/>
  <c r="H8" i="4"/>
  <c r="M8" i="4"/>
  <c r="C8" i="4"/>
  <c r="P8" i="4"/>
  <c r="S8" i="4"/>
  <c r="X8" i="4"/>
  <c r="T8" i="4"/>
  <c r="D8" i="4"/>
  <c r="AD14" i="13" s="1"/>
  <c r="O11" i="4"/>
  <c r="P11" i="4"/>
  <c r="V11" i="4"/>
  <c r="S11" i="4"/>
  <c r="K11" i="4"/>
  <c r="U11" i="4"/>
  <c r="X11" i="4"/>
  <c r="I11" i="4"/>
  <c r="J11" i="4"/>
  <c r="C11" i="4"/>
  <c r="T11" i="4"/>
  <c r="R11" i="4"/>
  <c r="M11" i="4"/>
  <c r="D11" i="4"/>
  <c r="AD18" i="13" s="1"/>
  <c r="H11" i="4"/>
  <c r="E11" i="4"/>
  <c r="U14" i="4"/>
  <c r="H14" i="4"/>
  <c r="M14" i="4"/>
  <c r="K14" i="4"/>
  <c r="D14" i="4"/>
  <c r="AD19" i="13" s="1"/>
  <c r="P14" i="4"/>
  <c r="O14" i="4"/>
  <c r="T14" i="4"/>
  <c r="E14" i="4"/>
  <c r="J14" i="4"/>
  <c r="I14" i="4"/>
  <c r="R14" i="4"/>
  <c r="S14" i="4"/>
  <c r="Q14" i="4"/>
  <c r="C14" i="4"/>
  <c r="V14" i="4"/>
  <c r="X14" i="4"/>
  <c r="P18" i="4"/>
  <c r="D18" i="4"/>
  <c r="AD16" i="13" s="1"/>
  <c r="E18" i="4"/>
  <c r="M18" i="4"/>
  <c r="Q18" i="4"/>
  <c r="U18" i="4"/>
  <c r="X18" i="4"/>
  <c r="O18" i="4"/>
  <c r="S18" i="4"/>
  <c r="J18" i="4"/>
  <c r="T18" i="4"/>
  <c r="H18" i="4"/>
  <c r="C18" i="4"/>
  <c r="I18" i="4"/>
  <c r="K18" i="4"/>
  <c r="R18" i="4"/>
  <c r="V18" i="4"/>
  <c r="P9" i="4"/>
  <c r="Q9" i="4"/>
  <c r="R9" i="4"/>
  <c r="E9" i="4"/>
  <c r="O9" i="4"/>
  <c r="K9" i="4"/>
  <c r="J9" i="4"/>
  <c r="D9" i="4"/>
  <c r="S9" i="4"/>
  <c r="M9" i="4"/>
  <c r="T9" i="4"/>
  <c r="U9" i="4"/>
  <c r="C9" i="4"/>
  <c r="I9" i="4"/>
  <c r="V9" i="4"/>
  <c r="H9" i="4"/>
  <c r="X9" i="4"/>
  <c r="R17" i="4"/>
  <c r="Q17" i="4"/>
  <c r="O17" i="4"/>
  <c r="J17" i="4"/>
  <c r="C17" i="4"/>
  <c r="T17" i="4"/>
  <c r="P17" i="4"/>
  <c r="K17" i="4"/>
  <c r="I17" i="4"/>
  <c r="E17" i="4"/>
  <c r="U17" i="4"/>
  <c r="S17" i="4"/>
  <c r="M17" i="4"/>
  <c r="H17" i="4"/>
  <c r="X17" i="4"/>
  <c r="D17" i="4"/>
  <c r="AD10" i="13" s="1"/>
  <c r="V17" i="4"/>
  <c r="X15" i="4"/>
  <c r="P15" i="4"/>
  <c r="V15" i="4"/>
  <c r="K15" i="4"/>
  <c r="E15" i="4"/>
  <c r="M15" i="4"/>
  <c r="U15" i="4"/>
  <c r="D15" i="4"/>
  <c r="AD17" i="13" s="1"/>
  <c r="O15" i="4"/>
  <c r="T15" i="4"/>
  <c r="C15" i="4"/>
  <c r="I15" i="4"/>
  <c r="R15" i="4"/>
  <c r="J15" i="4"/>
  <c r="H15" i="4"/>
  <c r="S15" i="4"/>
  <c r="Q15" i="4"/>
  <c r="A8" i="9"/>
  <c r="L7" i="4" l="1"/>
  <c r="F7" i="4"/>
  <c r="G7" i="4"/>
  <c r="X13" i="13" s="1"/>
  <c r="L10" i="4"/>
  <c r="F10" i="4"/>
  <c r="G10" i="4"/>
  <c r="X15" i="13" s="1"/>
  <c r="AD15" i="13"/>
  <c r="L6" i="4"/>
  <c r="G6" i="4"/>
  <c r="F6" i="4"/>
  <c r="L16" i="4"/>
  <c r="F16" i="4"/>
  <c r="G16" i="4"/>
  <c r="X8" i="13" s="1"/>
  <c r="N5" i="4"/>
  <c r="B15" i="5" s="1"/>
  <c r="N12" i="4"/>
  <c r="N13" i="4"/>
  <c r="N18" i="4"/>
  <c r="N15" i="4"/>
  <c r="N17" i="4"/>
  <c r="N16" i="4"/>
  <c r="N11" i="4"/>
  <c r="N9" i="4"/>
  <c r="N7" i="4"/>
  <c r="N14" i="4"/>
  <c r="D19" i="9"/>
  <c r="D18" i="9"/>
  <c r="N10" i="4"/>
  <c r="N6" i="4"/>
  <c r="B33" i="8"/>
  <c r="N8" i="4"/>
  <c r="C17" i="9"/>
  <c r="B6" i="5"/>
  <c r="B30" i="8"/>
  <c r="C21" i="8"/>
  <c r="F21" i="8" s="1"/>
  <c r="B21" i="8"/>
  <c r="A10" i="9"/>
  <c r="G5" i="4"/>
  <c r="F5" i="4"/>
  <c r="B8" i="5" s="1"/>
  <c r="L5" i="4"/>
  <c r="B31" i="8"/>
  <c r="B22" i="8"/>
  <c r="C22" i="8"/>
  <c r="F13" i="4"/>
  <c r="G13" i="4"/>
  <c r="X20" i="13" s="1"/>
  <c r="L13" i="4"/>
  <c r="L12" i="4"/>
  <c r="F12" i="4"/>
  <c r="G12" i="4"/>
  <c r="X9" i="13" s="1"/>
  <c r="F8" i="4"/>
  <c r="G8" i="4"/>
  <c r="L8" i="4"/>
  <c r="AD7" i="13"/>
  <c r="G11" i="4"/>
  <c r="X18" i="13" s="1"/>
  <c r="L11" i="4"/>
  <c r="F11" i="4"/>
  <c r="F14" i="4"/>
  <c r="G14" i="4"/>
  <c r="X19" i="13" s="1"/>
  <c r="AB19" i="13" s="1"/>
  <c r="L14" i="4"/>
  <c r="L18" i="4"/>
  <c r="F18" i="4"/>
  <c r="G18" i="4"/>
  <c r="X16" i="13" s="1"/>
  <c r="F9" i="4"/>
  <c r="L9" i="4"/>
  <c r="G9" i="4"/>
  <c r="F17" i="4"/>
  <c r="L17" i="4"/>
  <c r="G17" i="4"/>
  <c r="X10" i="13" s="1"/>
  <c r="L15" i="4"/>
  <c r="F15" i="4"/>
  <c r="G15" i="4"/>
  <c r="X17" i="13" s="1"/>
  <c r="T2" i="4"/>
  <c r="Y13" i="13"/>
  <c r="AE13" i="13"/>
  <c r="AE15" i="13"/>
  <c r="Y15" i="13"/>
  <c r="AE12" i="13"/>
  <c r="Y12" i="13"/>
  <c r="Y8" i="13"/>
  <c r="AE8" i="13"/>
  <c r="B10" i="5"/>
  <c r="AD11" i="13"/>
  <c r="AE11" i="13"/>
  <c r="Y11" i="13"/>
  <c r="B26" i="5" s="1"/>
  <c r="B11" i="5"/>
  <c r="Y20" i="13"/>
  <c r="AE20" i="13"/>
  <c r="AE9" i="13"/>
  <c r="Y9" i="13"/>
  <c r="AB9" i="13" s="1"/>
  <c r="AF9" i="13" s="1"/>
  <c r="W12" i="4" s="1"/>
  <c r="AE14" i="13"/>
  <c r="Y14" i="13"/>
  <c r="AE18" i="13"/>
  <c r="Y18" i="13"/>
  <c r="Y19" i="13"/>
  <c r="AE19" i="13"/>
  <c r="Y16" i="13"/>
  <c r="AE16" i="13"/>
  <c r="AE7" i="13"/>
  <c r="Y7" i="13"/>
  <c r="Y10" i="13"/>
  <c r="AE10" i="13"/>
  <c r="Y17" i="13"/>
  <c r="AB17" i="13" s="1"/>
  <c r="AF17" i="13" s="1"/>
  <c r="W15" i="4" s="1"/>
  <c r="AE17" i="13"/>
  <c r="X12" i="13" l="1"/>
  <c r="AB12" i="13" s="1"/>
  <c r="AF12" i="13" s="1"/>
  <c r="W6" i="4" s="1"/>
  <c r="X14" i="13"/>
  <c r="AB14" i="13" s="1"/>
  <c r="AF14" i="13" s="1"/>
  <c r="B9" i="5"/>
  <c r="X11" i="13"/>
  <c r="A3" i="4"/>
  <c r="B16" i="5"/>
  <c r="AB13" i="13"/>
  <c r="AF13" i="13" s="1"/>
  <c r="AB15" i="13"/>
  <c r="AF15" i="13" s="1"/>
  <c r="AB8" i="13"/>
  <c r="AF8" i="13" s="1"/>
  <c r="W16" i="4" s="1"/>
  <c r="AB20" i="13"/>
  <c r="AB16" i="13"/>
  <c r="AF16" i="13" s="1"/>
  <c r="W18" i="4" s="1"/>
  <c r="X7" i="13"/>
  <c r="AB7" i="13" s="1"/>
  <c r="AF7" i="13" s="1"/>
  <c r="AB18" i="13"/>
  <c r="AF18" i="13" s="1"/>
  <c r="W11" i="4" s="1"/>
  <c r="AF19" i="13"/>
  <c r="W14" i="4" s="1"/>
  <c r="AB10" i="13"/>
  <c r="AF10" i="13" s="1"/>
  <c r="W17" i="4" s="1"/>
  <c r="W8" i="4" l="1"/>
  <c r="W7" i="4"/>
  <c r="AB11" i="13"/>
  <c r="B25" i="5"/>
  <c r="W10" i="4"/>
  <c r="W9" i="4"/>
  <c r="AF11" i="13" l="1"/>
  <c r="B23" i="5"/>
  <c r="B7" i="5" l="1"/>
  <c r="W5" i="4"/>
</calcChain>
</file>

<file path=xl/sharedStrings.xml><?xml version="1.0" encoding="utf-8"?>
<sst xmlns="http://schemas.openxmlformats.org/spreadsheetml/2006/main" count="3240" uniqueCount="466">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</sst>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C6EFCE"/>
        </patternFill>
      </fill>
    </dxf>
    <dxf>
      <fill>
        <patternFill>
          <bgColor rgb="FFFFEB9C"/>
        </patternFill>
      </fill>
    </dxf>
    <dxf>
      <fill>
        <patternFill>
          <bgColor rgb="FFFFC7CE"/>
        </patternFill>
      </fill>
    </dxf>
    <dxf>
      <fill>
        <patternFill>
          <bgColor rgb="FFECECEC"/>
        </patternFill>
      </fill>
    </dxf>
    <dxf>
      <fill>
        <patternFill>
          <bgColor rgb="FFFFEB9C"/>
        </patternFill>
      </fill>
    </dxf>
    <dxf>
      <fill>
        <patternFill>
          <bgColor rgb="FFC6EFCE"/>
        </patternFill>
      </fill>
    </dxf>
    <dxf>
      <fill>
        <patternFill>
          <bgColor rgb="FFF8696B"/>
        </patternFill>
      </fill>
    </dxf>
    <dxf>
      <fill>
        <patternFill>
          <bgColor rgb="FFFCD5B4"/>
        </patternFill>
      </fill>
    </dxf>
    <dxf>
      <fill>
        <patternFill>
          <bgColor rgb="FFFFEB9C"/>
        </patternFill>
      </fill>
    </dxf>
    <dxf>
      <fill>
        <patternFill>
          <bgColor rgb="FFFFEB84"/>
        </patternFill>
      </fill>
    </dxf>
    <dxf>
      <fill>
        <patternFill>
          <bgColor rgb="FFC6EFCE"/>
        </patternFill>
      </fill>
    </dxf>
    <dxf>
      <fill>
        <patternFill>
          <bgColor rgb="FF63BE7B"/>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0" t="s">
        <v>185</v>
      </c>
      <c r="B1" s="146"/>
      <c r="C1" s="146"/>
      <c r="D1" s="146"/>
      <c r="E1" s="146"/>
      <c r="F1" s="146"/>
      <c r="G1" s="146"/>
      <c r="H1" s="146"/>
    </row>
    <row r="2" spans="1:8" ht="18" customHeight="1" x14ac:dyDescent="0.2">
      <c r="A2" s="148" t="s">
        <v>186</v>
      </c>
      <c r="B2" s="146"/>
      <c r="C2" s="146"/>
      <c r="D2" s="146"/>
      <c r="E2" s="146"/>
      <c r="F2" s="146"/>
      <c r="G2" s="146"/>
      <c r="H2" s="146"/>
    </row>
    <row r="3" spans="1:8" ht="48" customHeight="1" x14ac:dyDescent="0.2">
      <c r="A3" s="145" t="s">
        <v>187</v>
      </c>
      <c r="B3" s="146"/>
      <c r="C3" s="146"/>
      <c r="D3" s="146"/>
      <c r="E3" s="146"/>
      <c r="F3" s="146"/>
      <c r="G3" s="146"/>
      <c r="H3" s="146"/>
    </row>
    <row r="6" spans="1:8" ht="21.75" customHeight="1" x14ac:dyDescent="0.2">
      <c r="A6" s="149" t="s">
        <v>188</v>
      </c>
      <c r="B6" s="146"/>
      <c r="C6" s="146"/>
      <c r="D6" s="146"/>
      <c r="E6" s="146"/>
      <c r="F6" s="146"/>
      <c r="G6" s="146"/>
      <c r="H6" s="146"/>
    </row>
    <row r="7" spans="1:8" ht="51" customHeight="1" x14ac:dyDescent="0.2">
      <c r="A7" s="25" t="s">
        <v>189</v>
      </c>
      <c r="B7" s="147" t="s">
        <v>190</v>
      </c>
      <c r="C7" s="146"/>
      <c r="D7" s="146"/>
      <c r="E7" s="146"/>
      <c r="F7" s="146"/>
      <c r="G7" s="146"/>
      <c r="H7" s="146"/>
    </row>
    <row r="8" spans="1:8" ht="36" customHeight="1" x14ac:dyDescent="0.2">
      <c r="A8" s="26" t="s">
        <v>191</v>
      </c>
      <c r="B8" s="147" t="s">
        <v>192</v>
      </c>
      <c r="C8" s="146"/>
      <c r="D8" s="146"/>
      <c r="E8" s="146"/>
      <c r="F8" s="146"/>
      <c r="G8" s="146"/>
      <c r="H8" s="146"/>
    </row>
    <row r="9" spans="1:8" ht="21" customHeight="1" x14ac:dyDescent="0.2">
      <c r="A9" s="25" t="s">
        <v>189</v>
      </c>
      <c r="B9" s="147" t="s">
        <v>193</v>
      </c>
      <c r="C9" s="146"/>
      <c r="D9" s="146"/>
      <c r="E9" s="146"/>
      <c r="F9" s="146"/>
      <c r="G9" s="146"/>
      <c r="H9" s="146"/>
    </row>
    <row r="10" spans="1:8" ht="36" customHeight="1" x14ac:dyDescent="0.2">
      <c r="A10" s="26" t="s">
        <v>191</v>
      </c>
      <c r="B10" s="147" t="s">
        <v>194</v>
      </c>
      <c r="C10" s="146"/>
      <c r="D10" s="146"/>
      <c r="E10" s="146"/>
      <c r="F10" s="146"/>
      <c r="G10" s="146"/>
      <c r="H10" s="146"/>
    </row>
    <row r="12" spans="1:8" ht="21.75" customHeight="1" x14ac:dyDescent="0.2">
      <c r="A12" s="149" t="s">
        <v>195</v>
      </c>
      <c r="B12" s="146"/>
      <c r="C12" s="146"/>
      <c r="D12" s="146"/>
      <c r="E12" s="146"/>
      <c r="F12" s="146"/>
      <c r="G12" s="146"/>
      <c r="H12" s="146"/>
    </row>
    <row r="13" spans="1:8" ht="36" customHeight="1" x14ac:dyDescent="0.2">
      <c r="A13" s="25" t="s">
        <v>189</v>
      </c>
      <c r="B13" s="147" t="s">
        <v>196</v>
      </c>
      <c r="C13" s="146"/>
      <c r="D13" s="146"/>
      <c r="E13" s="146"/>
      <c r="F13" s="146"/>
      <c r="G13" s="146"/>
      <c r="H13" s="146"/>
    </row>
    <row r="14" spans="1:8" ht="36" customHeight="1" x14ac:dyDescent="0.2">
      <c r="A14" s="26" t="s">
        <v>191</v>
      </c>
      <c r="B14" s="147" t="s">
        <v>197</v>
      </c>
      <c r="C14" s="146"/>
      <c r="D14" s="146"/>
      <c r="E14" s="146"/>
      <c r="F14" s="146"/>
      <c r="G14" s="146"/>
      <c r="H14" s="146"/>
    </row>
    <row r="15" spans="1:8" ht="21" customHeight="1" x14ac:dyDescent="0.2">
      <c r="A15" s="25" t="s">
        <v>189</v>
      </c>
      <c r="B15" s="147" t="s">
        <v>198</v>
      </c>
      <c r="C15" s="146"/>
      <c r="D15" s="146"/>
      <c r="E15" s="146"/>
      <c r="F15" s="146"/>
      <c r="G15" s="146"/>
      <c r="H15" s="146"/>
    </row>
    <row r="16" spans="1:8" ht="36" customHeight="1" x14ac:dyDescent="0.2">
      <c r="A16" s="26" t="s">
        <v>191</v>
      </c>
      <c r="B16" s="147" t="s">
        <v>199</v>
      </c>
      <c r="C16" s="146"/>
      <c r="D16" s="146"/>
      <c r="E16" s="146"/>
      <c r="F16" s="146"/>
      <c r="G16" s="146"/>
      <c r="H16" s="146"/>
    </row>
    <row r="18" spans="1:8" ht="21.75" customHeight="1" x14ac:dyDescent="0.2">
      <c r="A18" s="149" t="s">
        <v>200</v>
      </c>
      <c r="B18" s="146"/>
      <c r="C18" s="146"/>
      <c r="D18" s="146"/>
      <c r="E18" s="146"/>
      <c r="F18" s="146"/>
      <c r="G18" s="146"/>
      <c r="H18" s="146"/>
    </row>
    <row r="19" spans="1:8" ht="21" customHeight="1" x14ac:dyDescent="0.2">
      <c r="A19" s="25" t="s">
        <v>189</v>
      </c>
      <c r="B19" s="147" t="s">
        <v>201</v>
      </c>
      <c r="C19" s="146"/>
      <c r="D19" s="146"/>
      <c r="E19" s="146"/>
      <c r="F19" s="146"/>
      <c r="G19" s="146"/>
      <c r="H19" s="146"/>
    </row>
    <row r="20" spans="1:8" ht="51" customHeight="1" x14ac:dyDescent="0.2">
      <c r="A20" s="26" t="s">
        <v>191</v>
      </c>
      <c r="B20" s="147" t="s">
        <v>202</v>
      </c>
      <c r="C20" s="146"/>
      <c r="D20" s="146"/>
      <c r="E20" s="146"/>
      <c r="F20" s="146"/>
      <c r="G20" s="146"/>
      <c r="H20" s="146"/>
    </row>
    <row r="21" spans="1:8" ht="21" customHeight="1" x14ac:dyDescent="0.2">
      <c r="A21" s="25" t="s">
        <v>189</v>
      </c>
      <c r="B21" s="147" t="s">
        <v>203</v>
      </c>
      <c r="C21" s="146"/>
      <c r="D21" s="146"/>
      <c r="E21" s="146"/>
      <c r="F21" s="146"/>
      <c r="G21" s="146"/>
      <c r="H21" s="146"/>
    </row>
    <row r="22" spans="1:8" ht="51" customHeight="1" x14ac:dyDescent="0.2">
      <c r="A22" s="26" t="s">
        <v>191</v>
      </c>
      <c r="B22" s="147" t="s">
        <v>204</v>
      </c>
      <c r="C22" s="146"/>
      <c r="D22" s="146"/>
      <c r="E22" s="146"/>
      <c r="F22" s="146"/>
      <c r="G22" s="146"/>
      <c r="H22" s="146"/>
    </row>
    <row r="24" spans="1:8" ht="21.75" customHeight="1" x14ac:dyDescent="0.2">
      <c r="A24" s="149" t="s">
        <v>205</v>
      </c>
      <c r="B24" s="146"/>
      <c r="C24" s="146"/>
      <c r="D24" s="146"/>
      <c r="E24" s="146"/>
      <c r="F24" s="146"/>
      <c r="G24" s="146"/>
      <c r="H24" s="146"/>
    </row>
    <row r="25" spans="1:8" ht="21" customHeight="1" x14ac:dyDescent="0.2">
      <c r="A25" s="25" t="s">
        <v>189</v>
      </c>
      <c r="B25" s="147" t="s">
        <v>206</v>
      </c>
      <c r="C25" s="146"/>
      <c r="D25" s="146"/>
      <c r="E25" s="146"/>
      <c r="F25" s="146"/>
      <c r="G25" s="146"/>
      <c r="H25" s="146"/>
    </row>
    <row r="26" spans="1:8" ht="51" customHeight="1" x14ac:dyDescent="0.2">
      <c r="A26" s="26" t="s">
        <v>191</v>
      </c>
      <c r="B26" s="147" t="s">
        <v>207</v>
      </c>
      <c r="C26" s="146"/>
      <c r="D26" s="146"/>
      <c r="E26" s="146"/>
      <c r="F26" s="146"/>
      <c r="G26" s="146"/>
      <c r="H26" s="146"/>
    </row>
    <row r="27" spans="1:8" ht="21" customHeight="1" x14ac:dyDescent="0.2">
      <c r="A27" s="25" t="s">
        <v>189</v>
      </c>
      <c r="B27" s="147" t="s">
        <v>208</v>
      </c>
      <c r="C27" s="146"/>
      <c r="D27" s="146"/>
      <c r="E27" s="146"/>
      <c r="F27" s="146"/>
      <c r="G27" s="146"/>
      <c r="H27" s="146"/>
    </row>
    <row r="28" spans="1:8" ht="51" customHeight="1" x14ac:dyDescent="0.2">
      <c r="A28" s="26" t="s">
        <v>191</v>
      </c>
      <c r="B28" s="147" t="s">
        <v>209</v>
      </c>
      <c r="C28" s="146"/>
      <c r="D28" s="146"/>
      <c r="E28" s="146"/>
      <c r="F28" s="146"/>
      <c r="G28" s="146"/>
      <c r="H28" s="146"/>
    </row>
    <row r="29" spans="1:8" ht="21" customHeight="1" x14ac:dyDescent="0.2">
      <c r="A29" s="25" t="s">
        <v>189</v>
      </c>
      <c r="B29" s="147" t="s">
        <v>210</v>
      </c>
      <c r="C29" s="146"/>
      <c r="D29" s="146"/>
      <c r="E29" s="146"/>
      <c r="F29" s="146"/>
      <c r="G29" s="146"/>
      <c r="H29" s="146"/>
    </row>
    <row r="30" spans="1:8" ht="36" customHeight="1" x14ac:dyDescent="0.2">
      <c r="A30" s="26" t="s">
        <v>191</v>
      </c>
      <c r="B30" s="147" t="s">
        <v>211</v>
      </c>
      <c r="C30" s="146"/>
      <c r="D30" s="146"/>
      <c r="E30" s="146"/>
      <c r="F30" s="146"/>
      <c r="G30" s="146"/>
      <c r="H30" s="146"/>
    </row>
    <row r="32" spans="1:8" ht="21.75" customHeight="1" x14ac:dyDescent="0.2">
      <c r="A32" s="149" t="s">
        <v>212</v>
      </c>
      <c r="B32" s="146"/>
      <c r="C32" s="146"/>
      <c r="D32" s="146"/>
      <c r="E32" s="146"/>
      <c r="F32" s="146"/>
      <c r="G32" s="146"/>
      <c r="H32" s="146"/>
    </row>
    <row r="33" spans="1:8" ht="21" customHeight="1" x14ac:dyDescent="0.2">
      <c r="A33" s="25" t="s">
        <v>189</v>
      </c>
      <c r="B33" s="147" t="s">
        <v>213</v>
      </c>
      <c r="C33" s="146"/>
      <c r="D33" s="146"/>
      <c r="E33" s="146"/>
      <c r="F33" s="146"/>
      <c r="G33" s="146"/>
      <c r="H33" s="146"/>
    </row>
    <row r="34" spans="1:8" ht="51" customHeight="1" x14ac:dyDescent="0.2">
      <c r="A34" s="26" t="s">
        <v>191</v>
      </c>
      <c r="B34" s="147" t="s">
        <v>214</v>
      </c>
      <c r="C34" s="146"/>
      <c r="D34" s="146"/>
      <c r="E34" s="146"/>
      <c r="F34" s="146"/>
      <c r="G34" s="146"/>
      <c r="H34" s="146"/>
    </row>
    <row r="35" spans="1:8" ht="21" customHeight="1" x14ac:dyDescent="0.2">
      <c r="A35" s="25" t="s">
        <v>189</v>
      </c>
      <c r="B35" s="147" t="s">
        <v>215</v>
      </c>
      <c r="C35" s="146"/>
      <c r="D35" s="146"/>
      <c r="E35" s="146"/>
      <c r="F35" s="146"/>
      <c r="G35" s="146"/>
      <c r="H35" s="146"/>
    </row>
    <row r="36" spans="1:8" ht="36" customHeight="1" x14ac:dyDescent="0.2">
      <c r="A36" s="26" t="s">
        <v>191</v>
      </c>
      <c r="B36" s="147" t="s">
        <v>216</v>
      </c>
      <c r="C36" s="146"/>
      <c r="D36" s="146"/>
      <c r="E36" s="146"/>
      <c r="F36" s="146"/>
      <c r="G36" s="146"/>
      <c r="H36" s="146"/>
    </row>
    <row r="37" spans="1:8" ht="21" customHeight="1" x14ac:dyDescent="0.2">
      <c r="A37" s="25" t="s">
        <v>189</v>
      </c>
      <c r="B37" s="147" t="s">
        <v>217</v>
      </c>
      <c r="C37" s="146"/>
      <c r="D37" s="146"/>
      <c r="E37" s="146"/>
      <c r="F37" s="146"/>
      <c r="G37" s="146"/>
      <c r="H37" s="146"/>
    </row>
    <row r="38" spans="1:8" ht="51" customHeight="1" x14ac:dyDescent="0.2">
      <c r="A38" s="26" t="s">
        <v>191</v>
      </c>
      <c r="B38" s="147" t="s">
        <v>218</v>
      </c>
      <c r="C38" s="146"/>
      <c r="D38" s="146"/>
      <c r="E38" s="146"/>
      <c r="F38" s="146"/>
      <c r="G38" s="146"/>
      <c r="H38" s="146"/>
    </row>
    <row r="39" spans="1:8" ht="21" customHeight="1" x14ac:dyDescent="0.2">
      <c r="A39" s="25" t="s">
        <v>189</v>
      </c>
      <c r="B39" s="147" t="s">
        <v>219</v>
      </c>
      <c r="C39" s="146"/>
      <c r="D39" s="146"/>
      <c r="E39" s="146"/>
      <c r="F39" s="146"/>
      <c r="G39" s="146"/>
      <c r="H39" s="146"/>
    </row>
    <row r="41" spans="1:8" ht="21.75" customHeight="1" x14ac:dyDescent="0.2">
      <c r="A41" s="149" t="s">
        <v>220</v>
      </c>
      <c r="B41" s="146"/>
      <c r="C41" s="146"/>
      <c r="D41" s="146"/>
      <c r="E41" s="146"/>
      <c r="F41" s="146"/>
      <c r="G41" s="146"/>
      <c r="H41" s="146"/>
    </row>
    <row r="42" spans="1:8" ht="21" customHeight="1" x14ac:dyDescent="0.2">
      <c r="A42" s="25" t="s">
        <v>189</v>
      </c>
      <c r="B42" s="147" t="s">
        <v>221</v>
      </c>
      <c r="C42" s="146"/>
      <c r="D42" s="146"/>
      <c r="E42" s="146"/>
      <c r="F42" s="146"/>
      <c r="G42" s="146"/>
      <c r="H42" s="146"/>
    </row>
    <row r="43" spans="1:8" ht="51" customHeight="1" x14ac:dyDescent="0.2">
      <c r="A43" s="26" t="s">
        <v>191</v>
      </c>
      <c r="B43" s="147" t="s">
        <v>222</v>
      </c>
      <c r="C43" s="146"/>
      <c r="D43" s="146"/>
      <c r="E43" s="146"/>
      <c r="F43" s="146"/>
      <c r="G43" s="146"/>
      <c r="H43" s="146"/>
    </row>
    <row r="44" spans="1:8" ht="21" customHeight="1" x14ac:dyDescent="0.2">
      <c r="A44" s="25" t="s">
        <v>189</v>
      </c>
      <c r="B44" s="147" t="s">
        <v>223</v>
      </c>
      <c r="C44" s="146"/>
      <c r="D44" s="146"/>
      <c r="E44" s="146"/>
      <c r="F44" s="146"/>
      <c r="G44" s="146"/>
      <c r="H44" s="146"/>
    </row>
    <row r="45" spans="1:8" ht="36" customHeight="1" x14ac:dyDescent="0.2">
      <c r="A45" s="26" t="s">
        <v>191</v>
      </c>
      <c r="B45" s="147" t="s">
        <v>224</v>
      </c>
      <c r="C45" s="146"/>
      <c r="D45" s="146"/>
      <c r="E45" s="146"/>
      <c r="F45" s="146"/>
      <c r="G45" s="146"/>
      <c r="H45" s="146"/>
    </row>
    <row r="46" spans="1:8" ht="21" customHeight="1" x14ac:dyDescent="0.2">
      <c r="A46" s="25" t="s">
        <v>189</v>
      </c>
      <c r="B46" s="147" t="s">
        <v>225</v>
      </c>
      <c r="C46" s="146"/>
      <c r="D46" s="146"/>
      <c r="E46" s="146"/>
      <c r="F46" s="146"/>
      <c r="G46" s="146"/>
      <c r="H46" s="146"/>
    </row>
    <row r="47" spans="1:8" ht="21" customHeight="1" x14ac:dyDescent="0.2">
      <c r="A47" s="26" t="s">
        <v>191</v>
      </c>
      <c r="B47" s="147" t="s">
        <v>226</v>
      </c>
      <c r="C47" s="146"/>
      <c r="D47" s="146"/>
      <c r="E47" s="146"/>
      <c r="F47" s="146"/>
      <c r="G47" s="146"/>
      <c r="H47" s="146"/>
    </row>
    <row r="49" spans="1:8" ht="21.75" customHeight="1" x14ac:dyDescent="0.2">
      <c r="A49" s="149" t="s">
        <v>227</v>
      </c>
      <c r="B49" s="146"/>
      <c r="C49" s="146"/>
      <c r="D49" s="146"/>
      <c r="E49" s="146"/>
      <c r="F49" s="146"/>
      <c r="G49" s="146"/>
      <c r="H49" s="146"/>
    </row>
    <row r="50" spans="1:8" ht="36" customHeight="1" x14ac:dyDescent="0.2">
      <c r="A50" s="25" t="s">
        <v>189</v>
      </c>
      <c r="B50" s="147" t="s">
        <v>228</v>
      </c>
      <c r="C50" s="146"/>
      <c r="D50" s="146"/>
      <c r="E50" s="146"/>
      <c r="F50" s="146"/>
      <c r="G50" s="146"/>
      <c r="H50" s="146"/>
    </row>
    <row r="51" spans="1:8" ht="21" customHeight="1" x14ac:dyDescent="0.2">
      <c r="A51" s="26" t="s">
        <v>191</v>
      </c>
      <c r="B51" s="147" t="s">
        <v>229</v>
      </c>
      <c r="C51" s="146"/>
      <c r="D51" s="146"/>
      <c r="E51" s="146"/>
      <c r="F51" s="146"/>
      <c r="G51" s="146"/>
      <c r="H51" s="146"/>
    </row>
    <row r="52" spans="1:8" ht="21" customHeight="1" x14ac:dyDescent="0.2">
      <c r="A52" s="25" t="s">
        <v>189</v>
      </c>
      <c r="B52" s="147"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3" t="s">
        <v>231</v>
      </c>
      <c r="B1" s="146"/>
      <c r="C1" s="146"/>
      <c r="D1" s="146"/>
      <c r="E1" s="146"/>
      <c r="G1" s="27"/>
      <c r="H1" s="27"/>
      <c r="I1" s="27"/>
    </row>
    <row r="2" spans="1:9" ht="28.5" customHeight="1" x14ac:dyDescent="0.2">
      <c r="A2" s="152" t="s">
        <v>232</v>
      </c>
      <c r="B2" s="146"/>
      <c r="C2" s="146"/>
      <c r="D2" s="146"/>
      <c r="E2" s="146"/>
      <c r="G2" s="27"/>
      <c r="H2" s="27"/>
      <c r="I2" s="27"/>
    </row>
    <row r="3" spans="1:9" ht="3" customHeight="1" x14ac:dyDescent="0.2">
      <c r="G3" s="27"/>
      <c r="H3" s="27"/>
      <c r="I3" s="27"/>
    </row>
    <row r="4" spans="1:9" ht="15" customHeight="1" x14ac:dyDescent="0.2">
      <c r="A4" s="151" t="s">
        <v>233</v>
      </c>
      <c r="B4" s="146"/>
      <c r="C4" s="146"/>
      <c r="D4" s="146"/>
      <c r="E4" s="146"/>
      <c r="G4" s="27"/>
      <c r="H4" s="27"/>
      <c r="I4" s="27"/>
    </row>
    <row r="5" spans="1:9" ht="24.75" customHeight="1" x14ac:dyDescent="0.2">
      <c r="A5" s="154" t="str">
        <f ca="1">'Sport Records'!$C$4</f>
        <v>Josh</v>
      </c>
      <c r="B5" s="146"/>
      <c r="C5" s="146"/>
      <c r="D5" s="146"/>
      <c r="E5" s="146"/>
      <c r="G5" s="27"/>
      <c r="H5" s="27"/>
      <c r="I5" s="27"/>
    </row>
    <row r="6" spans="1:9" ht="15" customHeight="1" x14ac:dyDescent="0.2">
      <c r="A6" s="156"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1255   |   39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5"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1093</v>
      </c>
      <c r="D10" s="31" t="str">
        <f>IF(OR($B10="—",$B10=""),"—",COUNTIFS('Match Log'!$D$4:$D$1510,$B10,'Match Log'!$C$4:$C$1510,$A10,'Match Log'!$E$4:$E$1510,"Win")&amp;"–"&amp;(COUNTIFS('Match Log'!$D$4:$D$1510,$B10,'Match Log'!$C$4:$C$1510,$A10)-COUNTIFS('Match Log'!$D$4:$D$1510,$B10,'Match Log'!$C$4:$C$1510,$A10,'Match Log'!$E$4:$E$1510,"Win")))</f>
        <v>7–0</v>
      </c>
      <c r="E10" s="31">
        <f>IFERROR('Sport Records'!$P$8,0)</f>
        <v>8</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25</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21</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1121</v>
      </c>
      <c r="D28" s="31" t="str">
        <f>IF(OR($B28="—",$B28=""),"—",COUNTIFS('Match Log'!$D$4:$D$1510,$B28,'Match Log'!$C$4:$C$1510,$A28,'Match Log'!$E$4:$E$1510,"Win")&amp;"–"&amp;(COUNTIFS('Match Log'!$D$4:$D$1510,$B28,'Match Log'!$C$4:$C$1510,$A28)-COUNTIFS('Match Log'!$D$4:$D$1510,$B28,'Match Log'!$C$4:$C$1510,$A28,'Match Log'!$E$4:$E$1510,"Win")))</f>
        <v>25–16</v>
      </c>
      <c r="E28" s="31">
        <f>IFERROR('Sport Records'!$P$26,0)</f>
        <v>57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C21" sqref="C2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317  ·  3 Oct 2026</v>
      </c>
      <c r="T2" s="49" t="str">
        <f ca="1">IF(COUNTIF($T$5:$T$18,"At risk")+COUNTIF($T$5:$T$18,"Inactive")=0,"Inactivity watch:  all players active ✓","⚠ Inactivity watch:  "&amp;(COUNTIF($T$5:$T$18,"At risk")+COUNTIF($T$5:$T$18,"Inactive"))&amp;" player(s) need a game — see Activity column")</f>
        <v>⚠ Inactivity watch:  5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ROW()-4</f>
        <v>1</v>
      </c>
      <c r="B5" s="53" t="str">
        <f ca="1">IFERROR(INDEX(Calcs!$A$7:$A$20,MATCH(LARGE(Calcs!$AI$7:$AI$20,ROW()-4),Calcs!$AI$7:$AI$20,0)),"")</f>
        <v>Josh</v>
      </c>
      <c r="C5" s="54">
        <f ca="1">IFERROR(INDEX(Calcs!$S$7:$S$20,MATCH($B5,Calcs!$A$7:$A$20,0)),"")</f>
        <v>1255.247020705217</v>
      </c>
      <c r="D5" s="55">
        <f ca="1">COUNTIF('Match Log'!$D$4:$D$1510,$B5)</f>
        <v>64</v>
      </c>
      <c r="E5" s="55">
        <f ca="1">COUNTIFS('Match Log'!$D$4:$D$1510,$B5,'Match Log'!$E$4:$E$1510,"Win")</f>
        <v>39</v>
      </c>
      <c r="F5" s="55">
        <f ca="1">$D5-$E5</f>
        <v>25</v>
      </c>
      <c r="G5" s="56">
        <f ca="1">IF($D5=0,"",$E5/$D5)</f>
        <v>0.609375</v>
      </c>
      <c r="H5" s="57">
        <f ca="1">SUMIF('Match Log'!$D$4:$D$1510,$B5,'Match Log'!$J$4:$J$1510)</f>
        <v>117.13086384741257</v>
      </c>
      <c r="I5" s="57">
        <f ca="1">SUMIF('Match Log'!$D$4:$D$1510,$B5,'Match Log'!$K$4:$K$1510)</f>
        <v>66.366156857804171</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1153.1121159880802</v>
      </c>
      <c r="N5" s="54">
        <f ca="1">MAX($C$5:$C$18)-$C5</f>
        <v>0</v>
      </c>
      <c r="O5" s="55" t="str">
        <f ca="1">IFERROR(INDEX(Calcs!$H$7:$H$20,MATCH($B5,Calcs!$A$7:$A$20,0)),"")</f>
        <v>W5</v>
      </c>
      <c r="P5" s="55" t="str">
        <f ca="1">IFERROR(INDEX(Calcs!$I$7:$I$20,MATCH($B5,Calcs!$A$7:$A$20,0)),"")</f>
        <v>WWWWW</v>
      </c>
      <c r="Q5" s="55" t="str">
        <f ca="1">IFERROR(IF(INDEX(Calcs!$L$7:$L$20,MATCH($B5,Calcs!$A$7:$A$20,0))&gt;0,"▲"&amp;INDEX(Calcs!$L$7:$L$20,MATCH($B5,Calcs!$A$7:$A$20,0)),IF(INDEX(Calcs!$L$7:$L$20,MATCH($B5,Calcs!$A$7:$A$20,0))&lt;0,"▼"&amp;ABS(INDEX(Calcs!$L$7:$L$20,MATCH($B5,Calcs!$A$7:$A$20,0))),"–")),"")</f>
        <v>▲1</v>
      </c>
      <c r="R5" s="55" t="str">
        <f ca="1">IFERROR(IF(INDEX(Calcs!$P$7:$P$20,MATCH($B5,Calcs!$A$7:$A$20,0))=0,"—",TEXT(INDEX(Calcs!$P$7:$P$20,MATCH($B5,Calcs!$A$7:$A$20,0)),"d mmm")),"")</f>
        <v>27 Sep</v>
      </c>
      <c r="S5" s="55">
        <f ca="1">IFERROR(ROUND(INDEX(Calcs!$Q$7:$Q$20,MATCH($B5,Calcs!$A$7:$A$20,0)),1),"")</f>
        <v>0.9</v>
      </c>
      <c r="T5" s="55" t="str">
        <f ca="1">IFERROR(INDEX(Calcs!$T$7:$T$20,MATCH($B5,Calcs!$A$7:$A$20,0)),"")</f>
        <v>Active</v>
      </c>
      <c r="U5">
        <f ca="1">IFERROR(ROUND(INDEX(Calcs!$R$7:$R$20,MATCH($B5,Calcs!$A$7:$A$20,0))+INDEX(Calcs!$U$7:$U$20,MATCH($B5,Calcs!$A$7:$A$20,0)),0),0)</f>
        <v>0</v>
      </c>
      <c r="V5" s="57">
        <f ca="1">IFERROR(ROUND(INDEX(Calcs!$S$7:$S$20,MATCH($B5,Calcs!$A$7:$A$20,0)),0),"")</f>
        <v>1255</v>
      </c>
      <c r="W5" s="55" t="str">
        <f ca="1">IFERROR(INDEX(Calcs!$AF$7:$AF$20,MATCH($B5,Calcs!$A$7:$A$20,0)),"")</f>
        <v>Elite</v>
      </c>
      <c r="X5" s="57">
        <f ca="1">IFERROR(ROUND(SUMIF('Poker Stake Ledger'!$C$18:$C$137,$B5,'Poker Stake Ledger'!$K$18:$K$137),1),0)</f>
        <v>21.8</v>
      </c>
    </row>
    <row r="6" spans="1:24" ht="15" customHeight="1" x14ac:dyDescent="0.2">
      <c r="A6" s="52">
        <f>ROW()-4</f>
        <v>2</v>
      </c>
      <c r="B6" s="53" t="str">
        <f ca="1">IFERROR(INDEX(Calcs!$A$7:$A$20,MATCH(LARGE(Calcs!$AI$7:$AI$20,ROW()-4),Calcs!$AI$7:$AI$20,0)),"")</f>
        <v>Shawn</v>
      </c>
      <c r="C6" s="54">
        <f ca="1">IFERROR(INDEX(Calcs!$S$7:$S$20,MATCH($B6,Calcs!$A$7:$A$20,0)),"")</f>
        <v>1217.6604830819899</v>
      </c>
      <c r="D6" s="55">
        <f ca="1">COUNTIF('Match Log'!$D$4:$D$1510,$B6)</f>
        <v>168</v>
      </c>
      <c r="E6" s="55">
        <f ca="1">COUNTIFS('Match Log'!$D$4:$D$1510,$B6,'Match Log'!$E$4:$E$1510,"Win")</f>
        <v>79</v>
      </c>
      <c r="F6" s="55">
        <f ca="1">$D6-$E6</f>
        <v>89</v>
      </c>
      <c r="G6" s="56">
        <f ca="1">IF($D6=0,"",$E6/$D6)</f>
        <v>0.47023809523809523</v>
      </c>
      <c r="H6" s="57">
        <f ca="1">SUMIF('Match Log'!$D$4:$D$1510,$B6,'Match Log'!$J$4:$J$1510)</f>
        <v>9.6546469650413798</v>
      </c>
      <c r="I6" s="57">
        <f ca="1">SUMIF('Match Log'!$D$4:$D$1510,$B6,'Match Log'!$K$4:$K$1510)</f>
        <v>18.755836116948835</v>
      </c>
      <c r="J6" s="57">
        <f ca="1">SUMIF('Match Log'!$D$4:$D$1510,$B6,'Match Log'!$L$4:$L$1510)</f>
        <v>193</v>
      </c>
      <c r="K6" s="55">
        <f ca="1">SUMPRODUCT(--(COUNTIFS('Match Log'!$D$4:$D$1510,$B6,'Match Log'!$C$4:$C$1510,Lists!$C$2:$C$26)&gt;0))</f>
        <v>19</v>
      </c>
      <c r="L6" s="55" t="str">
        <f ca="1">IF($D6=0,"No games",IF(AND($D6&gt;='Guide &amp; Settings'!$C$45,$K6&gt;='Guide &amp; Settings'!$C$46),"Eligible","Provisional"))</f>
        <v>Eligible</v>
      </c>
      <c r="M6" s="54">
        <f ca="1">IFERROR(INDEX(Calcs!$C$7:$C$20,MATCH($B6,Calcs!$A$7:$A$20,0)),"")</f>
        <v>1150.6857181465882</v>
      </c>
      <c r="N6" s="54">
        <f ca="1">MAX($C$5:$C$18)-$C6</f>
        <v>37.586537623227059</v>
      </c>
      <c r="O6" s="55" t="str">
        <f ca="1">IFERROR(INDEX(Calcs!$H$7:$H$20,MATCH($B6,Calcs!$A$7:$A$20,0)),"")</f>
        <v>W2</v>
      </c>
      <c r="P6" s="55" t="str">
        <f ca="1">IFERROR(INDEX(Calcs!$I$7:$I$20,MATCH($B6,Calcs!$A$7:$A$20,0)),"")</f>
        <v>LLLWW</v>
      </c>
      <c r="Q6" s="55" t="str">
        <f ca="1">IFERROR(IF(INDEX(Calcs!$L$7:$L$20,MATCH($B6,Calcs!$A$7:$A$20,0))&gt;0,"▲"&amp;INDEX(Calcs!$L$7:$L$20,MATCH($B6,Calcs!$A$7:$A$20,0)),IF(INDEX(Calcs!$L$7:$L$20,MATCH($B6,Calcs!$A$7:$A$20,0))&lt;0,"▼"&amp;ABS(INDEX(Calcs!$L$7:$L$20,MATCH($B6,Calcs!$A$7:$A$20,0))),"–")),"")</f>
        <v>▲4</v>
      </c>
      <c r="R6" s="55" t="str">
        <f ca="1">IFERROR(IF(INDEX(Calcs!$P$7:$P$20,MATCH($B6,Calcs!$A$7:$A$20,0))=0,"—",TEXT(INDEX(Calcs!$P$7:$P$20,MATCH($B6,Calcs!$A$7:$A$20,0)),"d mmm")),"")</f>
        <v>3 Oct</v>
      </c>
      <c r="S6" s="55">
        <f ca="1">IFERROR(ROUND(INDEX(Calcs!$Q$7:$Q$20,MATCH($B6,Calcs!$A$7:$A$20,0)),1),"")</f>
        <v>0</v>
      </c>
      <c r="T6" s="55" t="str">
        <f ca="1">IFERROR(INDEX(Calcs!$T$7:$T$20,MATCH($B6,Calcs!$A$7:$A$20,0)),"")</f>
        <v>Active</v>
      </c>
      <c r="U6">
        <f ca="1">IFERROR(ROUND(INDEX(Calcs!$R$7:$R$20,MATCH($B6,Calcs!$A$7:$A$20,0))+INDEX(Calcs!$U$7:$U$20,MATCH($B6,Calcs!$A$7:$A$20,0)),0),0)</f>
        <v>0</v>
      </c>
      <c r="V6" s="57">
        <f ca="1">IFERROR(ROUND(INDEX(Calcs!$S$7:$S$20,MATCH($B6,Calcs!$A$7:$A$20,0)),0),"")</f>
        <v>1218</v>
      </c>
      <c r="W6" s="55" t="str">
        <f ca="1">IFERROR(INDEX(Calcs!$AF$7:$AF$20,MATCH($B6,Calcs!$A$7:$A$20,0)),"")</f>
        <v>Elite</v>
      </c>
      <c r="X6" s="57">
        <f ca="1">IFERROR(ROUND(SUMIF('Poker Stake Ledger'!$C$18:$C$137,$B6,'Poker Stake Ledger'!$K$18:$K$137),1),0)</f>
        <v>-3.8</v>
      </c>
    </row>
    <row r="7" spans="1:24" ht="15" customHeight="1" x14ac:dyDescent="0.2">
      <c r="A7" s="52">
        <f>ROW()-4</f>
        <v>3</v>
      </c>
      <c r="B7" s="53" t="str">
        <f ca="1">IFERROR(INDEX(Calcs!$A$7:$A$20,MATCH(LARGE(Calcs!$AI$7:$AI$20,ROW()-4),Calcs!$AI$7:$AI$20,0)),"")</f>
        <v>Simon</v>
      </c>
      <c r="C7" s="54">
        <f ca="1">IFERROR(INDEX(Calcs!$S$7:$S$20,MATCH($B7,Calcs!$A$7:$A$20,0)),"")</f>
        <v>1210.4461816871431</v>
      </c>
      <c r="D7" s="55">
        <f ca="1">COUNTIF('Match Log'!$D$4:$D$1510,$B7)</f>
        <v>40</v>
      </c>
      <c r="E7" s="55">
        <f ca="1">COUNTIFS('Match Log'!$D$4:$D$1510,$B7,'Match Log'!$E$4:$E$1510,"Win")</f>
        <v>21</v>
      </c>
      <c r="F7" s="55">
        <f ca="1">$D7-$E7</f>
        <v>19</v>
      </c>
      <c r="G7" s="56">
        <f ca="1">IF($D7=0,"",$E7/$D7)</f>
        <v>0.52500000000000002</v>
      </c>
      <c r="H7" s="57">
        <f ca="1">SUMIF('Match Log'!$D$4:$D$1510,$B7,'Match Log'!$J$4:$J$1510)</f>
        <v>74.310240078644824</v>
      </c>
      <c r="I7" s="57">
        <f ca="1">SUMIF('Match Log'!$D$4:$D$1510,$B7,'Match Log'!$K$4:$K$1510)</f>
        <v>55.685941608498204</v>
      </c>
      <c r="J7" s="57">
        <f ca="1">SUMIF('Match Log'!$D$4:$D$1510,$B7,'Match Log'!$L$4:$L$1510)</f>
        <v>86</v>
      </c>
      <c r="K7" s="55">
        <f ca="1">SUMPRODUCT(--(COUNTIFS('Match Log'!$D$4:$D$1510,$B7,'Match Log'!$C$4:$C$1510,Lists!$C$2:$C$26)&gt;0))</f>
        <v>12</v>
      </c>
      <c r="L7" s="55" t="str">
        <f ca="1">IF($D7=0,"No games",IF(AND($D7&gt;='Guide &amp; Settings'!$C$45,$K7&gt;='Guide &amp; Settings'!$C$46),"Eligible","Provisional"))</f>
        <v>Eligible</v>
      </c>
      <c r="M7" s="54">
        <f ca="1">IFERROR(INDEX(Calcs!$C$7:$C$20,MATCH($B7,Calcs!$A$7:$A$20,0)),"")</f>
        <v>1087.8631572235931</v>
      </c>
      <c r="N7" s="54">
        <f ca="1">MAX($C$5:$C$18)-$C7</f>
        <v>44.80083901807393</v>
      </c>
      <c r="O7" s="55" t="str">
        <f ca="1">IFERROR(INDEX(Calcs!$H$7:$H$20,MATCH($B7,Calcs!$A$7:$A$20,0)),"")</f>
        <v>W5</v>
      </c>
      <c r="P7" s="55" t="str">
        <f ca="1">IFERROR(INDEX(Calcs!$I$7:$I$20,MATCH($B7,Calcs!$A$7:$A$20,0)),"")</f>
        <v>WWWWW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6 Sep</v>
      </c>
      <c r="S7" s="55">
        <f ca="1">IFERROR(ROUND(INDEX(Calcs!$Q$7:$Q$20,MATCH($B7,Calcs!$A$7:$A$20,0)),1),"")</f>
        <v>3.9</v>
      </c>
      <c r="T7" s="55" t="str">
        <f ca="1">IFERROR(INDEX(Calcs!$T$7:$T$20,MATCH($B7,Calcs!$A$7:$A$20,0)),"")</f>
        <v>At risk</v>
      </c>
      <c r="U7">
        <f ca="1">IFERROR(ROUND(INDEX(Calcs!$R$7:$R$20,MATCH($B7,Calcs!$A$7:$A$20,0))+INDEX(Calcs!$U$7:$U$20,MATCH($B7,Calcs!$A$7:$A$20,0)),0),0)</f>
        <v>0</v>
      </c>
      <c r="V7" s="57">
        <f ca="1">IFERROR(ROUND(INDEX(Calcs!$S$7:$S$20,MATCH($B7,Calcs!$A$7:$A$20,0)),0),"")</f>
        <v>1210</v>
      </c>
      <c r="W7" s="55" t="str">
        <f ca="1">IFERROR(INDEX(Calcs!$AF$7:$AF$20,MATCH($B7,Calcs!$A$7:$A$20,0)),"")</f>
        <v>Elite</v>
      </c>
      <c r="X7" s="57">
        <f ca="1">IFERROR(ROUND(SUMIF('Poker Stake Ledger'!$C$18:$C$137,$B7,'Poker Stake Ledger'!$K$18:$K$137),1),0)</f>
        <v>-5.6</v>
      </c>
    </row>
    <row r="8" spans="1:24" ht="15" customHeight="1" x14ac:dyDescent="0.2">
      <c r="A8" s="52">
        <f>ROW()-4</f>
        <v>4</v>
      </c>
      <c r="B8" s="53" t="str">
        <f ca="1">IFERROR(INDEX(Calcs!$A$7:$A$20,MATCH(LARGE(Calcs!$AI$7:$AI$20,ROW()-4),Calcs!$AI$7:$AI$20,0)),"")</f>
        <v>Daniel (Ferret)</v>
      </c>
      <c r="C8" s="54">
        <f ca="1">IFERROR(INDEX(Calcs!$S$7:$S$20,MATCH($B8,Calcs!$A$7:$A$20,0)),"")</f>
        <v>1208.0027190435155</v>
      </c>
      <c r="D8" s="55">
        <f ca="1">COUNTIF('Match Log'!$D$4:$D$1510,$B8)</f>
        <v>158</v>
      </c>
      <c r="E8" s="55">
        <f ca="1">COUNTIFS('Match Log'!$D$4:$D$1510,$B8,'Match Log'!$E$4:$E$1510,"Win")</f>
        <v>68</v>
      </c>
      <c r="F8" s="55">
        <f ca="1">$D8-$E8</f>
        <v>90</v>
      </c>
      <c r="G8" s="56">
        <f ca="1">IF($D8=0,"",$E8/$D8)</f>
        <v>0.43037974683544306</v>
      </c>
      <c r="H8" s="57">
        <f ca="1">SUMIF('Match Log'!$D$4:$D$1510,$B8,'Match Log'!$J$4:$J$1510)</f>
        <v>-18.665630310181246</v>
      </c>
      <c r="I8" s="57">
        <f ca="1">SUMIF('Match Log'!$D$4:$D$1510,$B8,'Match Log'!$K$4:$K$1510)</f>
        <v>57.018349353696905</v>
      </c>
      <c r="J8" s="57">
        <f ca="1">SUMIF('Match Log'!$D$4:$D$1510,$B8,'Match Log'!$L$4:$L$1510)</f>
        <v>171</v>
      </c>
      <c r="K8" s="55">
        <f ca="1">SUMPRODUCT(--(COUNTIFS('Match Log'!$D$4:$D$1510,$B8,'Match Log'!$C$4:$C$1510,Lists!$C$2:$C$26)&gt;0))</f>
        <v>20</v>
      </c>
      <c r="L8" s="55" t="str">
        <f ca="1">IF($D8=0,"No games",IF(AND($D8&gt;='Guide &amp; Settings'!$C$45,$K8&gt;='Guide &amp; Settings'!$C$46),"Eligible","Provisional"))</f>
        <v>Eligible</v>
      </c>
      <c r="M8" s="54">
        <f ca="1">IFERROR(INDEX(Calcs!$C$7:$C$20,MATCH($B8,Calcs!$A$7:$A$20,0)),"")</f>
        <v>1168.7914974146538</v>
      </c>
      <c r="N8" s="54">
        <f ca="1">MAX($C$5:$C$18)-$C8</f>
        <v>47.244301661701456</v>
      </c>
      <c r="O8" s="55" t="str">
        <f ca="1">IFERROR(INDEX(Calcs!$H$7:$H$20,MATCH($B8,Calcs!$A$7:$A$20,0)),"")</f>
        <v>L1</v>
      </c>
      <c r="P8" s="55" t="str">
        <f ca="1">IFERROR(INDEX(Calcs!$I$7:$I$20,MATCH($B8,Calcs!$A$7:$A$20,0)),"")</f>
        <v>WWWWL</v>
      </c>
      <c r="Q8" s="55" t="str">
        <f ca="1">IFERROR(IF(INDEX(Calcs!$L$7:$L$20,MATCH($B8,Calcs!$A$7:$A$20,0))&gt;0,"▲"&amp;INDEX(Calcs!$L$7:$L$20,MATCH($B8,Calcs!$A$7:$A$20,0)),IF(INDEX(Calcs!$L$7:$L$20,MATCH($B8,Calcs!$A$7:$A$20,0))&lt;0,"▼"&amp;ABS(INDEX(Calcs!$L$7:$L$20,MATCH($B8,Calcs!$A$7:$A$20,0))),"–")),"")</f>
        <v>▼3</v>
      </c>
      <c r="R8" s="55" t="str">
        <f ca="1">IFERROR(IF(INDEX(Calcs!$P$7:$P$20,MATCH($B8,Calcs!$A$7:$A$20,0))=0,"—",TEXT(INDEX(Calcs!$P$7:$P$20,MATCH($B8,Calcs!$A$7:$A$20,0)),"d mmm")),"")</f>
        <v>3 Oct</v>
      </c>
      <c r="S8" s="55">
        <f ca="1">IFERROR(ROUND(INDEX(Calcs!$Q$7:$Q$20,MATCH($B8,Calcs!$A$7:$A$20,0)),1),"")</f>
        <v>0</v>
      </c>
      <c r="T8" s="55" t="str">
        <f ca="1">IFERROR(INDEX(Calcs!$T$7:$T$20,MATCH($B8,Calcs!$A$7:$A$20,0)),"")</f>
        <v>Active</v>
      </c>
      <c r="U8">
        <f ca="1">IFERROR(ROUND(INDEX(Calcs!$R$7:$R$20,MATCH($B8,Calcs!$A$7:$A$20,0))+INDEX(Calcs!$U$7:$U$20,MATCH($B8,Calcs!$A$7:$A$20,0)),0),0)</f>
        <v>0</v>
      </c>
      <c r="V8" s="57">
        <f ca="1">IFERROR(ROUND(INDEX(Calcs!$S$7:$S$20,MATCH($B8,Calcs!$A$7:$A$20,0)),0),"")</f>
        <v>1208</v>
      </c>
      <c r="W8" s="55" t="str">
        <f ca="1">IFERROR(INDEX(Calcs!$AF$7:$AF$20,MATCH($B8,Calcs!$A$7:$A$20,0)),"")</f>
        <v>Elite</v>
      </c>
      <c r="X8" s="57">
        <f ca="1">IFERROR(ROUND(SUMIF('Poker Stake Ledger'!$C$18:$C$137,$B8,'Poker Stake Ledger'!$K$18:$K$137),1),0)</f>
        <v>-1.4</v>
      </c>
    </row>
    <row r="9" spans="1:24" ht="15" customHeight="1" x14ac:dyDescent="0.2">
      <c r="A9" s="52">
        <f>ROW()-4</f>
        <v>5</v>
      </c>
      <c r="B9" s="53" t="str">
        <f ca="1">IFERROR(INDEX(Calcs!$A$7:$A$20,MATCH(LARGE(Calcs!$AI$7:$AI$20,ROW()-4),Calcs!$AI$7:$AI$20,0)),"")</f>
        <v>Aaron</v>
      </c>
      <c r="C9" s="54">
        <f ca="1">IFERROR(INDEX(Calcs!$S$7:$S$20,MATCH($B9,Calcs!$A$7:$A$20,0)),"")</f>
        <v>1188.5766156390553</v>
      </c>
      <c r="D9" s="55">
        <f ca="1">COUNTIF('Match Log'!$D$4:$D$1510,$B9)</f>
        <v>91</v>
      </c>
      <c r="E9" s="55">
        <f ca="1">COUNTIFS('Match Log'!$D$4:$D$1510,$B9,'Match Log'!$E$4:$E$1510,"Win")</f>
        <v>42</v>
      </c>
      <c r="F9" s="55">
        <f ca="1">$D9-$E9</f>
        <v>49</v>
      </c>
      <c r="G9" s="56">
        <f ca="1">IF($D9=0,"",$E9/$D9)</f>
        <v>0.46153846153846156</v>
      </c>
      <c r="H9" s="57">
        <f ca="1">SUMIF('Match Log'!$D$4:$D$1510,$B9,'Match Log'!$J$4:$J$1510)</f>
        <v>36.684656852727038</v>
      </c>
      <c r="I9" s="57">
        <f ca="1">SUMIF('Match Log'!$D$4:$D$1510,$B9,'Match Log'!$K$4:$K$1510)</f>
        <v>61.991958786328063</v>
      </c>
      <c r="J9" s="57">
        <f ca="1">SUMIF('Match Log'!$D$4:$D$1510,$B9,'Match Log'!$L$4:$L$1510)</f>
        <v>111</v>
      </c>
      <c r="K9" s="55">
        <f ca="1">SUMPRODUCT(--(COUNTIFS('Match Log'!$D$4:$D$1510,$B9,'Match Log'!$C$4:$C$1510,Lists!$C$2:$C$26)&gt;0))</f>
        <v>14</v>
      </c>
      <c r="L9" s="55" t="str">
        <f ca="1">IF($D9=0,"No games",IF(AND($D9&gt;='Guide &amp; Settings'!$C$45,$K9&gt;='Guide &amp; Settings'!$C$46),"Eligible","Provisional"))</f>
        <v>Eligible</v>
      </c>
      <c r="M9" s="54">
        <f ca="1">IFERROR(INDEX(Calcs!$C$7:$C$20,MATCH($B9,Calcs!$A$7:$A$20,0)),"")</f>
        <v>1166.5867926815431</v>
      </c>
      <c r="N9" s="54">
        <f ca="1">MAX($C$5:$C$18)-$C9</f>
        <v>66.67040506616172</v>
      </c>
      <c r="O9" s="55" t="str">
        <f ca="1">IFERROR(INDEX(Calcs!$H$7:$H$20,MATCH($B9,Calcs!$A$7:$A$20,0)),"")</f>
        <v>L7</v>
      </c>
      <c r="P9" s="55" t="str">
        <f ca="1">IFERROR(INDEX(Calcs!$I$7:$I$20,MATCH($B9,Calcs!$A$7:$A$20,0)),"")</f>
        <v>LLLLL</v>
      </c>
      <c r="Q9" s="55" t="str">
        <f ca="1">IFERROR(IF(INDEX(Calcs!$L$7:$L$20,MATCH($B9,Calcs!$A$7:$A$20,0))&gt;0,"▲"&amp;INDEX(Calcs!$L$7:$L$20,MATCH($B9,Calcs!$A$7:$A$20,0)),IF(INDEX(Calcs!$L$7:$L$20,MATCH($B9,Calcs!$A$7:$A$20,0))&lt;0,"▼"&amp;ABS(INDEX(Calcs!$L$7:$L$20,MATCH($B9,Calcs!$A$7:$A$20,0))),"–")),"")</f>
        <v>▼1</v>
      </c>
      <c r="R9" s="55" t="str">
        <f ca="1">IFERROR(IF(INDEX(Calcs!$P$7:$P$20,MATCH($B9,Calcs!$A$7:$A$20,0))=0,"—",TEXT(INDEX(Calcs!$P$7:$P$20,MATCH($B9,Calcs!$A$7:$A$20,0)),"d mmm")),"")</f>
        <v>2 Oct</v>
      </c>
      <c r="S9" s="55">
        <f ca="1">IFERROR(ROUND(INDEX(Calcs!$Q$7:$Q$20,MATCH($B9,Calcs!$A$7:$A$20,0)),1),"")</f>
        <v>0.1</v>
      </c>
      <c r="T9" s="55" t="str">
        <f ca="1">IFERROR(INDEX(Calcs!$T$7:$T$20,MATCH($B9,Calcs!$A$7:$A$20,0)),"")</f>
        <v>Active</v>
      </c>
      <c r="U9">
        <f ca="1">IFERROR(ROUND(INDEX(Calcs!$R$7:$R$20,MATCH($B9,Calcs!$A$7:$A$20,0))+INDEX(Calcs!$U$7:$U$20,MATCH($B9,Calcs!$A$7:$A$20,0)),0),0)</f>
        <v>10</v>
      </c>
      <c r="V9" s="57">
        <f ca="1">IFERROR(ROUND(INDEX(Calcs!$S$7:$S$20,MATCH($B9,Calcs!$A$7:$A$20,0)),0),"")</f>
        <v>1189</v>
      </c>
      <c r="W9" s="55" t="str">
        <f ca="1">IFERROR(INDEX(Calcs!$AF$7:$AF$20,MATCH($B9,Calcs!$A$7:$A$20,0)),"")</f>
        <v>Elite</v>
      </c>
      <c r="X9" s="57">
        <f ca="1">IFERROR(ROUND(SUMIF('Poker Stake Ledger'!$C$18:$C$137,$B9,'Poker Stake Ledger'!$K$18:$K$137),1),0)</f>
        <v>-11.1</v>
      </c>
    </row>
    <row r="10" spans="1:24" ht="15" customHeight="1" x14ac:dyDescent="0.2">
      <c r="A10" s="52">
        <f>ROW()-4</f>
        <v>6</v>
      </c>
      <c r="B10" s="53" t="str">
        <f ca="1">IFERROR(INDEX(Calcs!$A$7:$A$20,MATCH(LARGE(Calcs!$AI$7:$AI$20,ROW()-4),Calcs!$AI$7:$AI$20,0)),"")</f>
        <v>Dean B</v>
      </c>
      <c r="C10" s="54">
        <f ca="1">IFERROR(INDEX(Calcs!$S$7:$S$20,MATCH($B10,Calcs!$A$7:$A$20,0)),"")</f>
        <v>1187.9015417269482</v>
      </c>
      <c r="D10" s="55">
        <f ca="1">COUNTIF('Match Log'!$D$4:$D$1510,$B10)</f>
        <v>42</v>
      </c>
      <c r="E10" s="55">
        <f ca="1">COUNTIFS('Match Log'!$D$4:$D$1510,$B10,'Match Log'!$E$4:$E$1510,"Win")</f>
        <v>25</v>
      </c>
      <c r="F10" s="55">
        <f ca="1">$D10-$E10</f>
        <v>17</v>
      </c>
      <c r="G10" s="56">
        <f ca="1">IF($D10=0,"",$E10/$D10)</f>
        <v>0.59523809523809523</v>
      </c>
      <c r="H10" s="57">
        <f ca="1">SUMIF('Match Log'!$D$4:$D$1510,$B10,'Match Log'!$J$4:$J$1510)</f>
        <v>89.675227242644667</v>
      </c>
      <c r="I10" s="57">
        <f ca="1">SUMIF('Match Log'!$D$4:$D$1510,$B10,'Match Log'!$K$4:$K$1510)</f>
        <v>72.226314484303657</v>
      </c>
      <c r="J10" s="57">
        <f ca="1">SUMIF('Match Log'!$D$4:$D$1510,$B10,'Match Log'!$L$4:$L$1510)</f>
        <v>56</v>
      </c>
      <c r="K10" s="55">
        <f ca="1">SUMPRODUCT(--(COUNTIFS('Match Log'!$D$4:$D$1510,$B10,'Match Log'!$C$4:$C$1510,Lists!$C$2:$C$26)&gt;0))</f>
        <v>7</v>
      </c>
      <c r="L10" s="55" t="str">
        <f ca="1">IF($D10=0,"No games",IF(AND($D10&gt;='Guide &amp; Settings'!$C$45,$K10&gt;='Guide &amp; Settings'!$C$46),"Eligible","Provisional"))</f>
        <v>Eligible</v>
      </c>
      <c r="M10" s="54">
        <f ca="1">IFERROR(INDEX(Calcs!$C$7:$C$20,MATCH($B10,Calcs!$A$7:$A$20,0)),"")</f>
        <v>1146.509749769906</v>
      </c>
      <c r="N10" s="54">
        <f ca="1">MAX($C$5:$C$18)-$C10</f>
        <v>67.345478978268829</v>
      </c>
      <c r="O10" s="55" t="str">
        <f ca="1">IFERROR(INDEX(Calcs!$H$7:$H$20,MATCH($B10,Calcs!$A$7:$A$20,0)),"")</f>
        <v>L1</v>
      </c>
      <c r="P10" s="55" t="str">
        <f ca="1">IFERROR(INDEX(Calcs!$I$7:$I$20,MATCH($B10,Calcs!$A$7:$A$20,0)),"")</f>
        <v>WWLWL</v>
      </c>
      <c r="Q10" s="55" t="str">
        <f ca="1">IFERROR(IF(INDEX(Calcs!$L$7:$L$20,MATCH($B10,Calcs!$A$7:$A$20,0))&gt;0,"▲"&amp;INDEX(Calcs!$L$7:$L$20,MATCH($B10,Calcs!$A$7:$A$20,0)),IF(INDEX(Calcs!$L$7:$L$20,MATCH($B10,Calcs!$A$7:$A$20,0))&lt;0,"▼"&amp;ABS(INDEX(Calcs!$L$7:$L$20,MATCH($B10,Calcs!$A$7:$A$20,0))),"–")),"")</f>
        <v>▼1</v>
      </c>
      <c r="R10" s="55" t="str">
        <f ca="1">IFERROR(IF(INDEX(Calcs!$P$7:$P$20,MATCH($B10,Calcs!$A$7:$A$20,0))=0,"—",TEXT(INDEX(Calcs!$P$7:$P$20,MATCH($B10,Calcs!$A$7:$A$20,0)),"d mmm")),"")</f>
        <v>25 Sep</v>
      </c>
      <c r="S10" s="55">
        <f ca="1">IFERROR(ROUND(INDEX(Calcs!$Q$7:$Q$20,MATCH($B10,Calcs!$A$7:$A$20,0)),1),"")</f>
        <v>1.1000000000000001</v>
      </c>
      <c r="T10" s="55" t="str">
        <f ca="1">IFERROR(INDEX(Calcs!$T$7:$T$20,MATCH($B10,Calcs!$A$7:$A$20,0)),"")</f>
        <v>Active</v>
      </c>
      <c r="U10">
        <f ca="1">IFERROR(ROUND(INDEX(Calcs!$R$7:$R$20,MATCH($B10,Calcs!$A$7:$A$20,0))+INDEX(Calcs!$U$7:$U$20,MATCH($B10,Calcs!$A$7:$A$20,0)),0),0)</f>
        <v>30</v>
      </c>
      <c r="V10" s="57">
        <f ca="1">IFERROR(ROUND(INDEX(Calcs!$S$7:$S$20,MATCH($B10,Calcs!$A$7:$A$20,0)),0),"")</f>
        <v>1188</v>
      </c>
      <c r="W10" s="55" t="str">
        <f ca="1">IFERROR(INDEX(Calcs!$AF$7:$AF$20,MATCH($B10,Calcs!$A$7:$A$20,0)),"")</f>
        <v>Elite</v>
      </c>
      <c r="X10" s="57">
        <f ca="1">IFERROR(ROUND(SUMIF('Poker Stake Ledger'!$C$18:$C$137,$B10,'Poker Stake Ledger'!$K$18:$K$137),1),0)</f>
        <v>0</v>
      </c>
    </row>
    <row r="11" spans="1:24" ht="15" customHeight="1" x14ac:dyDescent="0.2">
      <c r="A11" s="52">
        <f>ROW()-4</f>
        <v>7</v>
      </c>
      <c r="B11" s="53" t="str">
        <f ca="1">IFERROR(INDEX(Calcs!$A$7:$A$20,MATCH(LARGE(Calcs!$AI$7:$AI$20,ROW()-4),Calcs!$AI$7:$AI$20,0)),"")</f>
        <v>Dean M</v>
      </c>
      <c r="C11" s="54">
        <f ca="1">IFERROR(INDEX(Calcs!$S$7:$S$20,MATCH($B11,Calcs!$A$7:$A$20,0)),"")</f>
        <v>1047.5488947064855</v>
      </c>
      <c r="D11" s="55">
        <f ca="1">COUNTIF('Match Log'!$D$4:$D$1510,$B11)</f>
        <v>15</v>
      </c>
      <c r="E11" s="55">
        <f ca="1">COUNTIFS('Match Log'!$D$4:$D$1510,$B11,'Match Log'!$E$4:$E$1510,"Win")</f>
        <v>7</v>
      </c>
      <c r="F11" s="55">
        <f ca="1">$D11-$E11</f>
        <v>8</v>
      </c>
      <c r="G11" s="56">
        <f ca="1">IF($D11=0,"",$E11/$D11)</f>
        <v>0.46666666666666667</v>
      </c>
      <c r="H11" s="57">
        <f ca="1">SUMIF('Match Log'!$D$4:$D$1510,$B11,'Match Log'!$J$4:$J$1510)</f>
        <v>28.076161354904098</v>
      </c>
      <c r="I11" s="57">
        <f ca="1">SUMIF('Match Log'!$D$4:$D$1510,$B11,'Match Log'!$K$4:$K$1510)</f>
        <v>24.47273335158134</v>
      </c>
      <c r="J11" s="57">
        <f ca="1">SUMIF('Match Log'!$D$4:$D$1510,$B11,'Match Log'!$L$4:$L$1510)</f>
        <v>35</v>
      </c>
      <c r="K11" s="55">
        <f ca="1">SUMPRODUCT(--(COUNTIFS('Match Log'!$D$4:$D$1510,$B11,'Match Log'!$C$4:$C$1510,Lists!$C$2:$C$26)&gt;0))</f>
        <v>4</v>
      </c>
      <c r="L11" s="55" t="str">
        <f ca="1">IF($D11=0,"No games",IF(AND($D11&gt;='Guide &amp; Settings'!$C$45,$K11&gt;='Guide &amp; Settings'!$C$46),"Eligible","Provisional"))</f>
        <v>Eligible</v>
      </c>
      <c r="M11" s="54">
        <f ca="1">IFERROR(INDEX(Calcs!$C$7:$C$20,MATCH($B11,Calcs!$A$7:$A$20,0)),"")</f>
        <v>1075.7192042081222</v>
      </c>
      <c r="N11" s="54">
        <f ca="1">MAX($C$5:$C$18)-$C11</f>
        <v>207.69812599873148</v>
      </c>
      <c r="O11" s="55" t="str">
        <f ca="1">IFERROR(INDEX(Calcs!$H$7:$H$20,MATCH($B11,Calcs!$A$7:$A$20,0)),"")</f>
        <v>W1</v>
      </c>
      <c r="P11" s="55" t="str">
        <f ca="1">IFERROR(INDEX(Calcs!$I$7:$I$20,MATCH($B11,Calcs!$A$7:$A$20,0)),"")</f>
        <v>LWWLW</v>
      </c>
      <c r="Q11" s="55" t="str">
        <f ca="1">IFERROR(IF(INDEX(Calcs!$L$7:$L$20,MATCH($B11,Calcs!$A$7:$A$20,0))&gt;0,"▲"&amp;INDEX(Calcs!$L$7:$L$20,MATCH($B11,Calcs!$A$7:$A$20,0)),IF(INDEX(Calcs!$L$7:$L$20,MATCH($B11,Calcs!$A$7:$A$20,0))&lt;0,"▼"&amp;ABS(INDEX(Calcs!$L$7:$L$20,MATCH($B11,Calcs!$A$7:$A$20,0))),"–")),"")</f>
        <v>▲1</v>
      </c>
      <c r="R11" s="55" t="str">
        <f ca="1">IFERROR(IF(INDEX(Calcs!$P$7:$P$20,MATCH($B11,Calcs!$A$7:$A$20,0))=0,"—",TEXT(INDEX(Calcs!$P$7:$P$20,MATCH($B11,Calcs!$A$7:$A$20,0)),"d mmm")),"")</f>
        <v>15 Aug</v>
      </c>
      <c r="S11" s="55">
        <f ca="1">IFERROR(ROUND(INDEX(Calcs!$Q$7:$Q$20,MATCH($B11,Calcs!$A$7:$A$20,0)),1),"")</f>
        <v>7</v>
      </c>
      <c r="T11" s="55" t="str">
        <f ca="1">IFERROR(INDEX(Calcs!$T$7:$T$20,MATCH($B11,Calcs!$A$7:$A$20,0)),"")</f>
        <v>Inactive</v>
      </c>
      <c r="U11">
        <f ca="1">IFERROR(ROUND(INDEX(Calcs!$R$7:$R$20,MATCH($B11,Calcs!$A$7:$A$20,0))+INDEX(Calcs!$U$7:$U$20,MATCH($B11,Calcs!$A$7:$A$20,0)),0),0)</f>
        <v>40</v>
      </c>
      <c r="V11" s="57">
        <f ca="1">IFERROR(ROUND(INDEX(Calcs!$S$7:$S$20,MATCH($B11,Calcs!$A$7:$A$20,0)),0),"")</f>
        <v>1048</v>
      </c>
      <c r="W11" s="55" t="str">
        <f ca="1">IFERROR(INDEX(Calcs!$AF$7:$AF$20,MATCH($B11,Calcs!$A$7:$A$20,0)),"")</f>
        <v>Strong</v>
      </c>
      <c r="X11" s="57">
        <f ca="1">IFERROR(ROUND(SUMIF('Poker Stake Ledger'!$C$18:$C$137,$B11,'Poker Stake Ledger'!$K$18:$K$137),1),0)</f>
        <v>0</v>
      </c>
    </row>
    <row r="12" spans="1:24" ht="15" customHeight="1" x14ac:dyDescent="0.2">
      <c r="A12" s="52">
        <f>ROW()-4</f>
        <v>8</v>
      </c>
      <c r="B12" s="53" t="str">
        <f ca="1">IFERROR(INDEX(Calcs!$A$7:$A$20,MATCH(LARGE(Calcs!$AI$7:$AI$20,ROW()-4),Calcs!$AI$7:$AI$20,0)),"")</f>
        <v>Chase</v>
      </c>
      <c r="C12" s="54">
        <f ca="1">IFERROR(INDEX(Calcs!$S$7:$S$20,MATCH($B12,Calcs!$A$7:$A$20,0)),"")</f>
        <v>1028.0761030598392</v>
      </c>
      <c r="D12" s="55">
        <f ca="1">COUNTIF('Match Log'!$D$4:$D$1510,$B12)</f>
        <v>23</v>
      </c>
      <c r="E12" s="55">
        <f ca="1">COUNTIFS('Match Log'!$D$4:$D$1510,$B12,'Match Log'!$E$4:$E$1510,"Win")</f>
        <v>9</v>
      </c>
      <c r="F12" s="55">
        <f ca="1">$D12-$E12</f>
        <v>14</v>
      </c>
      <c r="G12" s="56">
        <f ca="1">IF($D12=0,"",$E12/$D12)</f>
        <v>0.39130434782608697</v>
      </c>
      <c r="H12" s="57">
        <f ca="1">SUMIF('Match Log'!$D$4:$D$1510,$B12,'Match Log'!$J$4:$J$1510)</f>
        <v>9.3432383355777748</v>
      </c>
      <c r="I12" s="57">
        <f ca="1">SUMIF('Match Log'!$D$4:$D$1510,$B12,'Match Log'!$K$4:$K$1510)</f>
        <v>-8.2671352757385339</v>
      </c>
      <c r="J12" s="57">
        <f ca="1">SUMIF('Match Log'!$D$4:$D$1510,$B12,'Match Log'!$L$4:$L$1510)</f>
        <v>47</v>
      </c>
      <c r="K12" s="55">
        <f ca="1">SUMPRODUCT(--(COUNTIFS('Match Log'!$D$4:$D$1510,$B12,'Match Log'!$C$4:$C$1510,Lists!$C$2:$C$26)&gt;0))</f>
        <v>10</v>
      </c>
      <c r="L12" s="55" t="str">
        <f ca="1">IF($D12=0,"No games",IF(AND($D12&gt;='Guide &amp; Settings'!$C$45,$K12&gt;='Guide &amp; Settings'!$C$46),"Eligible","Provisional"))</f>
        <v>Eligible</v>
      </c>
      <c r="M12" s="54">
        <f ca="1">IFERROR(INDEX(Calcs!$C$7:$C$20,MATCH($B12,Calcs!$A$7:$A$20,0)),"")</f>
        <v>1163.6237155272313</v>
      </c>
      <c r="N12" s="54">
        <f ca="1">MAX($C$5:$C$18)-$C12</f>
        <v>227.17091764537781</v>
      </c>
      <c r="O12" s="55" t="str">
        <f ca="1">IFERROR(INDEX(Calcs!$H$7:$H$20,MATCH($B12,Calcs!$A$7:$A$20,0)),"")</f>
        <v>L4</v>
      </c>
      <c r="P12" s="55" t="str">
        <f ca="1">IFERROR(INDEX(Calcs!$I$7:$I$20,MATCH($B12,Calcs!$A$7:$A$20,0)),"")</f>
        <v>WLLLL</v>
      </c>
      <c r="Q12" s="55" t="str">
        <f ca="1">IFERROR(IF(INDEX(Calcs!$L$7:$L$20,MATCH($B12,Calcs!$A$7:$A$20,0))&gt;0,"▲"&amp;INDEX(Calcs!$L$7:$L$20,MATCH($B12,Calcs!$A$7:$A$20,0)),IF(INDEX(Calcs!$L$7:$L$20,MATCH($B12,Calcs!$A$7:$A$20,0))&lt;0,"▼"&amp;ABS(INDEX(Calcs!$L$7:$L$20,MATCH($B12,Calcs!$A$7:$A$20,0))),"–")),"")</f>
        <v>▼1</v>
      </c>
      <c r="R12" s="55" t="str">
        <f ca="1">IFERROR(IF(INDEX(Calcs!$P$7:$P$20,MATCH($B12,Calcs!$A$7:$A$20,0))=0,"—",TEXT(INDEX(Calcs!$P$7:$P$20,MATCH($B12,Calcs!$A$7:$A$20,0)),"d mmm")),"")</f>
        <v>2 Oct</v>
      </c>
      <c r="S12" s="55">
        <f ca="1">IFERROR(ROUND(INDEX(Calcs!$Q$7:$Q$20,MATCH($B12,Calcs!$A$7:$A$20,0)),1),"")</f>
        <v>0.1</v>
      </c>
      <c r="T12" s="55" t="str">
        <f ca="1">IFERROR(INDEX(Calcs!$T$7:$T$20,MATCH($B12,Calcs!$A$7:$A$20,0)),"")</f>
        <v>Active</v>
      </c>
      <c r="U12">
        <f ca="1">IFERROR(ROUND(INDEX(Calcs!$R$7:$R$20,MATCH($B12,Calcs!$A$7:$A$20,0))+INDEX(Calcs!$U$7:$U$20,MATCH($B12,Calcs!$A$7:$A$20,0)),0),0)</f>
        <v>20</v>
      </c>
      <c r="V12" s="57">
        <f ca="1">IFERROR(ROUND(INDEX(Calcs!$S$7:$S$20,MATCH($B12,Calcs!$A$7:$A$20,0)),0),"")</f>
        <v>1028</v>
      </c>
      <c r="W12" s="55" t="str">
        <f ca="1">IFERROR(INDEX(Calcs!$AF$7:$AF$20,MATCH($B12,Calcs!$A$7:$A$20,0)),"")</f>
        <v>Strong</v>
      </c>
      <c r="X12" s="57">
        <f ca="1">IFERROR(ROUND(SUMIF('Poker Stake Ledger'!$C$18:$C$137,$B12,'Poker Stake Ledger'!$K$18:$K$137),1),0)</f>
        <v>0</v>
      </c>
    </row>
    <row r="13" spans="1:24" ht="15" customHeight="1" x14ac:dyDescent="0.2">
      <c r="A13" s="52">
        <f>ROW()-4</f>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ca="1">$D13-$E13</f>
        <v>0</v>
      </c>
      <c r="G13" s="56" t="str">
        <f ca="1">IF($D13=0,"",$E13/$D13)</f>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ca="1">MAX($C$5:$C$18)-$C13</f>
        <v>255.24702070521698</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ROW()-4</f>
        <v>10</v>
      </c>
      <c r="B14" s="53" t="str">
        <f ca="1">IFERROR(INDEX(Calcs!$A$7:$A$20,MATCH(LARGE(Calcs!$AI$7:$AI$20,ROW()-4),Calcs!$AI$7:$AI$20,0)),"")</f>
        <v>Dylan A</v>
      </c>
      <c r="C14" s="54">
        <f ca="1">IFERROR(INDEX(Calcs!$S$7:$S$20,MATCH($B14,Calcs!$A$7:$A$20,0)),"")</f>
        <v>970.50724028215677</v>
      </c>
      <c r="D14" s="55">
        <f ca="1">COUNTIF('Match Log'!$D$4:$D$1510,$B14)</f>
        <v>17</v>
      </c>
      <c r="E14" s="55">
        <f ca="1">COUNTIFS('Match Log'!$D$4:$D$1510,$B14,'Match Log'!$E$4:$E$1510,"Win")</f>
        <v>6</v>
      </c>
      <c r="F14" s="55">
        <f ca="1">$D14-$E14</f>
        <v>11</v>
      </c>
      <c r="G14" s="56">
        <f ca="1">IF($D14=0,"",$E14/$D14)</f>
        <v>0.35294117647058826</v>
      </c>
      <c r="H14" s="57">
        <f ca="1">SUMIF('Match Log'!$D$4:$D$1510,$B14,'Match Log'!$J$4:$J$1510)</f>
        <v>-23.658438129506465</v>
      </c>
      <c r="I14" s="57">
        <f ca="1">SUMIF('Match Log'!$D$4:$D$1510,$B14,'Match Log'!$K$4:$K$1510)</f>
        <v>-2.8343215883365609</v>
      </c>
      <c r="J14" s="57">
        <f ca="1">SUMIF('Match Log'!$D$4:$D$1510,$B14,'Match Log'!$L$4:$L$1510)</f>
        <v>37</v>
      </c>
      <c r="K14" s="55">
        <f ca="1">SUMPRODUCT(--(COUNTIFS('Match Log'!$D$4:$D$1510,$B14,'Match Log'!$C$4:$C$1510,Lists!$C$2:$C$26)&gt;0))</f>
        <v>5</v>
      </c>
      <c r="L14" s="55" t="str">
        <f ca="1">IF($D14=0,"No games",IF(AND($D14&gt;='Guide &amp; Settings'!$C$45,$K14&gt;='Guide &amp; Settings'!$C$46),"Eligible","Provisional"))</f>
        <v>Eligible</v>
      </c>
      <c r="M14" s="54">
        <f ca="1">IFERROR(INDEX(Calcs!$C$7:$C$20,MATCH($B14,Calcs!$A$7:$A$20,0)),"")</f>
        <v>1129.2672773558011</v>
      </c>
      <c r="N14" s="54">
        <f ca="1">MAX($C$5:$C$18)-$C14</f>
        <v>284.73978042306021</v>
      </c>
      <c r="O14" s="55" t="str">
        <f ca="1">IFERROR(INDEX(Calcs!$H$7:$H$20,MATCH($B14,Calcs!$A$7:$A$20,0)),"")</f>
        <v>L8</v>
      </c>
      <c r="P14" s="55" t="str">
        <f ca="1">IFERROR(INDEX(Calcs!$I$7:$I$20,MATCH($B14,Calcs!$A$7:$A$20,0)),"")</f>
        <v>LLLLL</v>
      </c>
      <c r="Q14" s="55" t="str">
        <f ca="1">IFERROR(IF(INDEX(Calcs!$L$7:$L$20,MATCH($B14,Calcs!$A$7:$A$20,0))&gt;0,"▲"&amp;INDEX(Calcs!$L$7:$L$20,MATCH($B14,Calcs!$A$7:$A$20,0)),IF(INDEX(Calcs!$L$7:$L$20,MATCH($B14,Calcs!$A$7:$A$20,0))&lt;0,"▼"&amp;ABS(INDEX(Calcs!$L$7:$L$20,MATCH($B14,Calcs!$A$7:$A$20,0))),"–")),"")</f>
        <v>–</v>
      </c>
      <c r="R14" s="55" t="str">
        <f ca="1">IFERROR(IF(INDEX(Calcs!$P$7:$P$20,MATCH($B14,Calcs!$A$7:$A$20,0))=0,"—",TEXT(INDEX(Calcs!$P$7:$P$20,MATCH($B14,Calcs!$A$7:$A$20,0)),"d mmm")),"")</f>
        <v>3 Oct</v>
      </c>
      <c r="S14" s="55">
        <f ca="1">IFERROR(ROUND(INDEX(Calcs!$Q$7:$Q$20,MATCH($B14,Calcs!$A$7:$A$20,0)),1),"")</f>
        <v>0</v>
      </c>
      <c r="T14" s="55" t="str">
        <f ca="1">IFERROR(INDEX(Calcs!$T$7:$T$20,MATCH($B14,Calcs!$A$7:$A$20,0)),"")</f>
        <v>Active</v>
      </c>
      <c r="U14">
        <f ca="1">IFERROR(ROUND(INDEX(Calcs!$R$7:$R$20,MATCH($B14,Calcs!$A$7:$A$20,0))+INDEX(Calcs!$U$7:$U$20,MATCH($B14,Calcs!$A$7:$A$20,0)),0),0)</f>
        <v>40</v>
      </c>
      <c r="V14" s="57">
        <f ca="1">IFERROR(ROUND(INDEX(Calcs!$S$7:$S$20,MATCH($B14,Calcs!$A$7:$A$20,0)),0),"")</f>
        <v>971</v>
      </c>
      <c r="W14" s="55" t="str">
        <f ca="1">IFERROR(INDEX(Calcs!$AF$7:$AF$20,MATCH($B14,Calcs!$A$7:$A$20,0)),"")</f>
        <v>Mid</v>
      </c>
      <c r="X14" s="57">
        <f ca="1">IFERROR(ROUND(SUMIF('Poker Stake Ledger'!$C$18:$C$137,$B14,'Poker Stake Ledger'!$K$18:$K$137),1),0)</f>
        <v>0</v>
      </c>
    </row>
    <row r="15" spans="1:24" ht="15" customHeight="1" x14ac:dyDescent="0.2">
      <c r="A15" s="52">
        <f>ROW()-4</f>
        <v>11</v>
      </c>
      <c r="B15" s="53" t="str">
        <f ca="1">IFERROR(INDEX(Calcs!$A$7:$A$20,MATCH(LARGE(Calcs!$AI$7:$AI$20,ROW()-4),Calcs!$AI$7:$AI$20,0)),"")</f>
        <v>Oscar</v>
      </c>
      <c r="C15" s="54">
        <f ca="1">IFERROR(INDEX(Calcs!$S$7:$S$20,MATCH($B15,Calcs!$A$7:$A$20,0)),"")</f>
        <v>968.26132335618615</v>
      </c>
      <c r="D15" s="55">
        <f ca="1">COUNTIF('Match Log'!$D$4:$D$1510,$B15)</f>
        <v>83</v>
      </c>
      <c r="E15" s="55">
        <f ca="1">COUNTIFS('Match Log'!$D$4:$D$1510,$B15,'Match Log'!$E$4:$E$1510,"Win")</f>
        <v>29</v>
      </c>
      <c r="F15" s="55">
        <f ca="1">$D15-$E15</f>
        <v>54</v>
      </c>
      <c r="G15" s="56">
        <f ca="1">IF($D15=0,"",$E15/$D15)</f>
        <v>0.3493975903614458</v>
      </c>
      <c r="H15" s="57">
        <f ca="1">SUMIF('Match Log'!$D$4:$D$1510,$B15,'Match Log'!$J$4:$J$1510)</f>
        <v>-112.74117488122033</v>
      </c>
      <c r="I15" s="57">
        <f ca="1">SUMIF('Match Log'!$D$4:$D$1510,$B15,'Match Log'!$K$4:$K$1510)</f>
        <v>-38.997501762593693</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1183.7100705773742</v>
      </c>
      <c r="N15" s="54">
        <f ca="1">MAX($C$5:$C$18)-$C15</f>
        <v>286.98569734903083</v>
      </c>
      <c r="O15" s="55" t="str">
        <f ca="1">IFERROR(INDEX(Calcs!$H$7:$H$20,MATCH($B15,Calcs!$A$7:$A$20,0)),"")</f>
        <v>W1</v>
      </c>
      <c r="P15" s="55" t="str">
        <f ca="1">IFERROR(INDEX(Calcs!$I$7:$I$20,MATCH($B15,Calcs!$A$7:$A$20,0)),"")</f>
        <v>LLLLW</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26 Sep</v>
      </c>
      <c r="S15" s="55">
        <f ca="1">IFERROR(ROUND(INDEX(Calcs!$Q$7:$Q$20,MATCH($B15,Calcs!$A$7:$A$20,0)),1),"")</f>
        <v>1</v>
      </c>
      <c r="T15" s="55" t="str">
        <f ca="1">IFERROR(INDEX(Calcs!$T$7:$T$20,MATCH($B15,Calcs!$A$7:$A$20,0)),"")</f>
        <v>Active</v>
      </c>
      <c r="U15">
        <f ca="1">IFERROR(ROUND(INDEX(Calcs!$R$7:$R$20,MATCH($B15,Calcs!$A$7:$A$20,0))+INDEX(Calcs!$U$7:$U$20,MATCH($B15,Calcs!$A$7:$A$20,0)),0),0)</f>
        <v>0</v>
      </c>
      <c r="V15" s="57">
        <f ca="1">IFERROR(ROUND(INDEX(Calcs!$S$7:$S$20,MATCH($B15,Calcs!$A$7:$A$20,0)),0),"")</f>
        <v>968</v>
      </c>
      <c r="W15" s="55" t="str">
        <f ca="1">IFERROR(INDEX(Calcs!$AF$7:$AF$20,MATCH($B15,Calcs!$A$7:$A$20,0)),"")</f>
        <v>Mid</v>
      </c>
      <c r="X15" s="57">
        <f ca="1">IFERROR(ROUND(SUMIF('Poker Stake Ledger'!$C$18:$C$137,$B15,'Poker Stake Ledger'!$K$18:$K$137),1),0)</f>
        <v>0</v>
      </c>
    </row>
    <row r="16" spans="1:24" ht="15" customHeight="1" x14ac:dyDescent="0.2">
      <c r="A16" s="52">
        <f>ROW()-4</f>
        <v>12</v>
      </c>
      <c r="B16" s="53" t="str">
        <f ca="1">IFERROR(INDEX(Calcs!$A$7:$A$20,MATCH(LARGE(Calcs!$AI$7:$AI$20,ROW()-4),Calcs!$AI$7:$AI$20,0)),"")</f>
        <v>Beau</v>
      </c>
      <c r="C16" s="54">
        <f ca="1">IFERROR(INDEX(Calcs!$S$7:$S$20,MATCH($B16,Calcs!$A$7:$A$20,0)),"")</f>
        <v>909.51759653351382</v>
      </c>
      <c r="D16" s="55">
        <f ca="1">COUNTIF('Match Log'!$D$4:$D$1510,$B16)</f>
        <v>10</v>
      </c>
      <c r="E16" s="55">
        <f ca="1">COUNTIFS('Match Log'!$D$4:$D$1510,$B16,'Match Log'!$E$4:$E$1510,"Win")</f>
        <v>5</v>
      </c>
      <c r="F16" s="55">
        <f ca="1">$D16-$E16</f>
        <v>5</v>
      </c>
      <c r="G16" s="56">
        <f ca="1">IF($D16=0,"",$E16/$D16)</f>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1096.9405487541967</v>
      </c>
      <c r="N16" s="54">
        <f ca="1">MAX($C$5:$C$18)-$C16</f>
        <v>345.72942417170316</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15.7</v>
      </c>
      <c r="T16" s="55" t="str">
        <f ca="1">IFERROR(INDEX(Calcs!$T$7:$T$20,MATCH($B16,Calcs!$A$7:$A$20,0)),"")</f>
        <v>Inactive</v>
      </c>
      <c r="U16">
        <f ca="1">IFERROR(ROUND(INDEX(Calcs!$R$7:$R$20,MATCH($B16,Calcs!$A$7:$A$20,0))+INDEX(Calcs!$U$7:$U$20,MATCH($B16,Calcs!$A$7:$A$20,0)),0),0)</f>
        <v>120</v>
      </c>
      <c r="V16" s="57">
        <f ca="1">IFERROR(ROUND(INDEX(Calcs!$S$7:$S$20,MATCH($B16,Calcs!$A$7:$A$20,0)),0),"")</f>
        <v>910</v>
      </c>
      <c r="W16" s="55" t="str">
        <f ca="1">IFERROR(INDEX(Calcs!$AF$7:$AF$20,MATCH($B16,Calcs!$A$7:$A$20,0)),"")</f>
        <v>Developing</v>
      </c>
      <c r="X16" s="57">
        <f ca="1">IFERROR(ROUND(SUMIF('Poker Stake Ledger'!$C$18:$C$137,$B16,'Poker Stake Ledger'!$K$18:$K$137),1),0)</f>
        <v>0</v>
      </c>
    </row>
    <row r="17" spans="1:24" ht="15" customHeight="1" x14ac:dyDescent="0.2">
      <c r="A17" s="52">
        <f>ROW()-4</f>
        <v>13</v>
      </c>
      <c r="B17" s="53" t="str">
        <f ca="1">IFERROR(INDEX(Calcs!$A$7:$A$20,MATCH(LARGE(Calcs!$AI$7:$AI$20,ROW()-4),Calcs!$AI$7:$AI$20,0)),"")</f>
        <v>David</v>
      </c>
      <c r="C17" s="54">
        <f ca="1">IFERROR(INDEX(Calcs!$S$7:$S$20,MATCH($B17,Calcs!$A$7:$A$20,0)),"")</f>
        <v>857.03133644117429</v>
      </c>
      <c r="D17" s="55">
        <f ca="1">COUNTIF('Match Log'!$D$4:$D$1510,$B17)</f>
        <v>23</v>
      </c>
      <c r="E17" s="55">
        <f ca="1">COUNTIFS('Match Log'!$D$4:$D$1510,$B17,'Match Log'!$E$4:$E$1510,"Win")</f>
        <v>5</v>
      </c>
      <c r="F17" s="55">
        <f ca="1">$D17-$E17</f>
        <v>18</v>
      </c>
      <c r="G17" s="56">
        <f ca="1">IF($D17=0,"",$E17/$D17)</f>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1169.1431977115628</v>
      </c>
      <c r="N17" s="54">
        <f ca="1">MAX($C$5:$C$18)-$C17</f>
        <v>398.21568426404269</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6</v>
      </c>
      <c r="T17" s="55" t="str">
        <f ca="1">IFERROR(INDEX(Calcs!$T$7:$T$20,MATCH($B17,Calcs!$A$7:$A$20,0)),"")</f>
        <v>Inactive</v>
      </c>
      <c r="U17">
        <f ca="1">IFERROR(ROUND(INDEX(Calcs!$R$7:$R$20,MATCH($B17,Calcs!$A$7:$A$20,0))+INDEX(Calcs!$U$7:$U$20,MATCH($B17,Calcs!$A$7:$A$20,0)),0),0)</f>
        <v>50</v>
      </c>
      <c r="V17" s="57">
        <f ca="1">IFERROR(ROUND(INDEX(Calcs!$S$7:$S$20,MATCH($B17,Calcs!$A$7:$A$20,0)),0),"")</f>
        <v>857</v>
      </c>
      <c r="W17" s="55" t="str">
        <f ca="1">IFERROR(INDEX(Calcs!$AF$7:$AF$20,MATCH($B17,Calcs!$A$7:$A$20,0)),"")</f>
        <v>Developing</v>
      </c>
      <c r="X17" s="57">
        <f ca="1">IFERROR(ROUND(SUMIF('Poker Stake Ledger'!$C$18:$C$137,$B17,'Poker Stake Ledger'!$K$18:$K$137),1),0)</f>
        <v>0</v>
      </c>
    </row>
    <row r="18" spans="1:24" ht="15" customHeight="1" x14ac:dyDescent="0.2">
      <c r="A18" s="52">
        <f>ROW()-4</f>
        <v>14</v>
      </c>
      <c r="B18" s="53" t="str">
        <f ca="1">IFERROR(INDEX(Calcs!$A$7:$A$20,MATCH(LARGE(Calcs!$AI$7:$AI$20,ROW()-4),Calcs!$AI$7:$AI$20,0)),"")</f>
        <v>Cody</v>
      </c>
      <c r="C18" s="54">
        <f ca="1">IFERROR(INDEX(Calcs!$S$7:$S$20,MATCH($B18,Calcs!$A$7:$A$20,0)),"")</f>
        <v>782.22294373677494</v>
      </c>
      <c r="D18" s="55">
        <f ca="1">COUNTIF('Match Log'!$D$4:$D$1510,$B18)</f>
        <v>15</v>
      </c>
      <c r="E18" s="55">
        <f ca="1">COUNTIFS('Match Log'!$D$4:$D$1510,$B18,'Match Log'!$E$4:$E$1510,"Win")</f>
        <v>2</v>
      </c>
      <c r="F18" s="55">
        <f ca="1">$D18-$E18</f>
        <v>13</v>
      </c>
      <c r="G18" s="56">
        <f ca="1">IF($D18=0,"",$E18/$D18)</f>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1126.8108314936298</v>
      </c>
      <c r="N18" s="54">
        <f ca="1">MAX($C$5:$C$18)-$C18</f>
        <v>473.02407696844205</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10.9</v>
      </c>
      <c r="T18" s="55" t="str">
        <f ca="1">IFERROR(INDEX(Calcs!$T$7:$T$20,MATCH($B18,Calcs!$A$7:$A$20,0)),"")</f>
        <v>Inactive</v>
      </c>
      <c r="U18">
        <f ca="1">IFERROR(ROUND(INDEX(Calcs!$R$7:$R$20,MATCH($B18,Calcs!$A$7:$A$20,0))+INDEX(Calcs!$U$7:$U$20,MATCH($B18,Calcs!$A$7:$A$20,0)),0),0)</f>
        <v>80</v>
      </c>
      <c r="V18" s="57">
        <f ca="1">IFERROR(ROUND(INDEX(Calcs!$S$7:$S$20,MATCH($B18,Calcs!$A$7:$A$20,0)),0),"")</f>
        <v>782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1255.247020705217</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39–25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0.609375</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64</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1153.1121159880802</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W5</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27 Sep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91</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61</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88</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3">
      <formula>LEN($B$14)-LEN(SUBSTITUTE($B$14,"W",""))=5</formula>
    </cfRule>
    <cfRule type="expression" dxfId="18" priority="24">
      <formula>LEN($B$14)-LEN(SUBSTITUTE($B$14,"W",""))=4</formula>
    </cfRule>
    <cfRule type="expression" dxfId="17" priority="25">
      <formula>LEN($B$14)-LEN(SUBSTITUTE($B$14,"W",""))=3</formula>
    </cfRule>
    <cfRule type="expression" dxfId="16" priority="26">
      <formula>LEN($B$14)-LEN(SUBSTITUTE($B$14,"W",""))=2</formula>
    </cfRule>
    <cfRule type="expression" dxfId="15" priority="27">
      <formula>LEN($B$14)-LEN(SUBSTITUTE($B$14,"W",""))=1</formula>
    </cfRule>
    <cfRule type="expression" dxfId="14" priority="28">
      <formula>LEN($B$14)-LEN(SUBSTITUTE($B$14,"W",""))=0</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29" operator="equal">
      <formula>"Eligible"</formula>
    </cfRule>
    <cfRule type="cellIs" dxfId="12" priority="30" operator="equal">
      <formula>"Provisional"</formula>
    </cfRule>
    <cfRule type="cellIs" dxfId="11" priority="31" operator="equal">
      <formula>"No games"</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14:cfRule type="expression" priority="35" id="{69AF8C8B-3848-4CFD-8C94-22779E4887E7}">
            <xm:f>IFERROR(INDEX(Calcs!$Q$7:$Q$20,MATCH($B$3,Calcs!$A$7:$A$20,0)),0)&lt;6</xm:f>
            <x14:dxf>
              <fill>
                <patternFill>
                  <bgColor rgb="FFC6EF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59" t="s">
        <v>290</v>
      </c>
      <c r="B2" s="146"/>
      <c r="C2" s="146"/>
      <c r="D2" s="146"/>
      <c r="E2" s="146"/>
      <c r="F2" s="146"/>
      <c r="G2" s="146"/>
      <c r="H2" s="146"/>
      <c r="I2" s="146"/>
      <c r="J2" s="146"/>
      <c r="K2" s="146"/>
      <c r="L2" s="146"/>
      <c r="M2" s="146"/>
      <c r="N2" s="146"/>
      <c r="O2" s="146"/>
    </row>
    <row r="3" spans="1:15" ht="37.5" customHeight="1" x14ac:dyDescent="0.2">
      <c r="A3" s="157" t="s">
        <v>291</v>
      </c>
      <c r="B3" s="158"/>
      <c r="C3" s="158"/>
      <c r="D3" s="158"/>
      <c r="E3" s="158"/>
      <c r="F3" s="158"/>
      <c r="G3" s="158"/>
      <c r="H3" s="158"/>
      <c r="I3" s="158"/>
      <c r="J3" s="158"/>
      <c r="K3" s="158"/>
      <c r="L3" s="158"/>
      <c r="M3" s="158"/>
      <c r="N3" s="158"/>
      <c r="O3" s="158"/>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44% of 54</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52% of 27</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27% of 11</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63% of 32</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56% of 54</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73% of 11</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53% of 68</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55% of 33</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2</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48% of 27</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38% of 32</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47% of 68</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83% of 6</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45% of 33</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2</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17% of 6</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6</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60</v>
      </c>
      <c r="H22" s="77">
        <f>IF($A22=H$21,0,SUMPRODUCT(('Match Log'!$D$4:$D$1510=$A22)*(COUNTIFS('Match Log'!$A$4:$A$1510,'Match Log'!$A$4:$A$1510,'Match Log'!$D$4:$D$1510,H$21)&gt;0)))</f>
        <v>8</v>
      </c>
      <c r="I22" s="77">
        <f>IF($A22=I$21,0,SUMPRODUCT(('Match Log'!$D$4:$D$1510=$A22)*(COUNTIFS('Match Log'!$A$4:$A$1510,'Match Log'!$A$4:$A$1510,'Match Log'!$D$4:$D$1510,I$21)&gt;0)))</f>
        <v>38</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6</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13</v>
      </c>
      <c r="H24" s="77">
        <f>IF($A24=H$21,0,SUMPRODUCT(('Match Log'!$D$4:$D$1510=$A24)*(COUNTIFS('Match Log'!$A$4:$A$1510,'Match Log'!$A$4:$A$1510,'Match Log'!$D$4:$D$1510,H$21)&gt;0)))</f>
        <v>4</v>
      </c>
      <c r="I24" s="77">
        <f>IF($A24=I$21,0,SUMPRODUCT(('Match Log'!$D$4:$D$1510=$A24)*(COUNTIFS('Match Log'!$A$4:$A$1510,'Match Log'!$A$4:$A$1510,'Match Log'!$D$4:$D$1510,I$21)&gt;0)))</f>
        <v>12</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33</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60</v>
      </c>
      <c r="C27" s="77">
        <f>IF($A27=C$21,0,SUMPRODUCT(('Match Log'!$D$4:$D$1510=$A27)*(COUNTIFS('Match Log'!$A$4:$A$1510,'Match Log'!$A$4:$A$1510,'Match Log'!$D$4:$D$1510,C$21)&gt;0)))</f>
        <v>1</v>
      </c>
      <c r="D27" s="77">
        <f>IF($A27=D$21,0,SUMPRODUCT(('Match Log'!$D$4:$D$1510=$A27)*(COUNTIFS('Match Log'!$A$4:$A$1510,'Match Log'!$A$4:$A$1510,'Match Log'!$D$4:$D$1510,D$21)&gt;0)))</f>
        <v>13</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80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47</v>
      </c>
      <c r="M27" s="77">
        <f>IF($A27=M$21,0,SUMPRODUCT(('Match Log'!$D$4:$D$1510=$A27)*(COUNTIFS('Match Log'!$A$4:$A$1510,'Match Log'!$A$4:$A$1510,'Match Log'!$D$4:$D$1510,M$21)&gt;0)))</f>
        <v>1</v>
      </c>
      <c r="N27" s="77">
        <f>IF($A27=N$21,0,SUMPRODUCT(('Match Log'!$D$4:$D$1510=$A27)*(COUNTIFS('Match Log'!$A$4:$A$1510,'Match Log'!$A$4:$A$1510,'Match Log'!$D$4:$D$1510,N$21)&gt;0)))</f>
        <v>3</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38</v>
      </c>
      <c r="C29" s="77">
        <f>IF($A29=C$21,0,SUMPRODUCT(('Match Log'!$D$4:$D$1510=$A29)*(COUNTIFS('Match Log'!$A$4:$A$1510,'Match Log'!$A$4:$A$1510,'Match Log'!$D$4:$D$1510,C$21)&gt;0)))</f>
        <v>2</v>
      </c>
      <c r="D29" s="77">
        <f>IF($A29=D$21,0,SUMPRODUCT(('Match Log'!$D$4:$D$1510=$A29)*(COUNTIFS('Match Log'!$A$4:$A$1510,'Match Log'!$A$4:$A$1510,'Match Log'!$D$4:$D$1510,D$21)&gt;0)))</f>
        <v>12</v>
      </c>
      <c r="E29" s="77">
        <f>IF($A29=E$21,0,SUMPRODUCT(('Match Log'!$D$4:$D$1510=$A29)*(COUNTIFS('Match Log'!$A$4:$A$1510,'Match Log'!$A$4:$A$1510,'Match Log'!$D$4:$D$1510,E$21)&gt;0)))</f>
        <v>6</v>
      </c>
      <c r="F29" s="77">
        <f>IF($A29=F$21,0,SUMPRODUCT(('Match Log'!$D$4:$D$1510=$A29)*(COUNTIFS('Match Log'!$A$4:$A$1510,'Match Log'!$A$4:$A$1510,'Match Log'!$D$4:$D$1510,F$21)&gt;0)))</f>
        <v>33</v>
      </c>
      <c r="G29" s="77">
        <f>IF($A29=G$21,0,SUMPRODUCT(('Match Log'!$D$4:$D$1510=$A29)*(COUNTIFS('Match Log'!$A$4:$A$1510,'Match Log'!$A$4:$A$1510,'Match Log'!$D$4:$D$1510,G$21)&gt;0)))</f>
        <v>80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9</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47</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3</v>
      </c>
      <c r="H34" s="77">
        <f>IF($A34=H$21,0,SUMPRODUCT(('Match Log'!$D$4:$D$1510=$A34)*(COUNTIFS('Match Log'!$A$4:$A$1510,'Match Log'!$A$4:$A$1510,'Match Log'!$D$4:$D$1510,H$21)&gt;0)))</f>
        <v>2</v>
      </c>
      <c r="I34" s="77">
        <f>IF($A34=I$21,0,SUMPRODUCT(('Match Log'!$D$4:$D$1510=$A34)*(COUNTIFS('Match Log'!$A$4:$A$1510,'Match Log'!$A$4:$A$1510,'Match Log'!$D$4:$D$1510,I$21)&gt;0)))</f>
        <v>9</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2"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317</v>
      </c>
    </row>
    <row r="4" spans="1:18" ht="18.75" customHeight="1" x14ac:dyDescent="0.2">
      <c r="A4" s="43" t="s">
        <v>298</v>
      </c>
      <c r="C4" s="161" t="str">
        <f ca="1">INDEX($A$89:$A$102,MATCH(MAX($S$89:$S$102),$S$89:$S$102,0))</f>
        <v>Josh</v>
      </c>
      <c r="D4" s="146"/>
      <c r="E4" s="146"/>
      <c r="F4" s="146"/>
      <c r="G4" s="146"/>
    </row>
    <row r="6" spans="1:18" ht="15" customHeight="1" x14ac:dyDescent="0.2">
      <c r="A6" s="160"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3</v>
      </c>
      <c r="E8" s="83">
        <f>COUNTIFS('Match Log'!$D$4:$D$1510,E$7,'Match Log'!$C$4:$C$1510,$A8)</f>
        <v>0</v>
      </c>
      <c r="F8" s="83">
        <f>COUNTIFS('Match Log'!$D$4:$D$1510,F$7,'Match Log'!$C$4:$C$1510,$A8)</f>
        <v>0</v>
      </c>
      <c r="G8" s="83">
        <f>COUNTIFS('Match Log'!$D$4:$D$1510,G$7,'Match Log'!$C$4:$C$1510,$A8)</f>
        <v>7</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8</v>
      </c>
      <c r="Q8" s="85" t="str">
        <f t="shared" ref="Q8:Q32" si="0">IF($P8=0,"—",INDEX($B$34:$O$34,MATCH(MAX($B35:$O35),$B35:$O35,0)))</f>
        <v>Shawn</v>
      </c>
      <c r="R8" s="84">
        <f t="shared" ref="R8:R32" si="1">IF($P8=0,"—",MAX($B35:$O35))</f>
        <v>7</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11</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25</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14</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21</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16</v>
      </c>
      <c r="C26" s="83">
        <f>COUNTIFS('Match Log'!$D$4:$D$1510,C$7,'Match Log'!$C$4:$C$1510,$A26)</f>
        <v>0</v>
      </c>
      <c r="D26" s="83">
        <f>COUNTIFS('Match Log'!$D$4:$D$1510,D$7,'Match Log'!$C$4:$C$1510,$A26)</f>
        <v>10</v>
      </c>
      <c r="E26" s="83">
        <f>COUNTIFS('Match Log'!$D$4:$D$1510,E$7,'Match Log'!$C$4:$C$1510,$A26)</f>
        <v>0</v>
      </c>
      <c r="F26" s="83">
        <f>COUNTIFS('Match Log'!$D$4:$D$1510,F$7,'Match Log'!$C$4:$C$1510,$A26)</f>
        <v>4</v>
      </c>
      <c r="G26" s="83">
        <f>COUNTIFS('Match Log'!$D$4:$D$1510,G$7,'Match Log'!$C$4:$C$1510,$A26)</f>
        <v>48</v>
      </c>
      <c r="H26" s="83">
        <f>COUNTIFS('Match Log'!$D$4:$D$1510,H$7,'Match Log'!$C$4:$C$1510,$A26)</f>
        <v>1</v>
      </c>
      <c r="I26" s="83">
        <f>COUNTIFS('Match Log'!$D$4:$D$1510,I$7,'Match Log'!$C$4:$C$1510,$A26)</f>
        <v>41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2</v>
      </c>
      <c r="O26" s="83">
        <f>COUNTIFS('Match Log'!$D$4:$D$1510,O$7,'Match Log'!$C$4:$C$1510,$A26)</f>
        <v>0</v>
      </c>
      <c r="P26" s="84">
        <f>SUMPRODUCT(('Match Log'!$C$4:$C$1510=$A26)*('Match Log'!$D$4:$D$1510='Match Log'!$G$4:$G$1510)*('Match Log'!$D$4:$D$1510&lt;&gt;""))</f>
        <v>57</v>
      </c>
      <c r="Q26" s="85" t="str">
        <f t="shared" si="0"/>
        <v>Daniel (Ferret)</v>
      </c>
      <c r="R26" s="84">
        <f t="shared" si="1"/>
        <v>25</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0"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7</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23</v>
      </c>
      <c r="H53" s="83">
        <f>COUNTIFS('Match Log'!$D$4:$D$1510,H$34,'Match Log'!$C$4:$C$1510,$A53,'Match Log'!$E$4:$E$1510,"Win")</f>
        <v>0</v>
      </c>
      <c r="I53" s="83">
        <f>COUNTIFS('Match Log'!$D$4:$D$1510,I$34,'Match Log'!$C$4:$C$1510,$A53,'Match Log'!$E$4:$E$1510,"Win")</f>
        <v>25</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0"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0.33333333333333331</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0.45454545454545453</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0</v>
      </c>
      <c r="H75" s="86">
        <f t="shared" si="15"/>
        <v>0</v>
      </c>
      <c r="I75" s="86">
        <f t="shared" si="15"/>
        <v>0.42857142857142855</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0.1875</v>
      </c>
      <c r="C80" s="86" t="str">
        <f t="shared" si="20"/>
        <v/>
      </c>
      <c r="D80" s="86">
        <f t="shared" si="20"/>
        <v>0.4</v>
      </c>
      <c r="E80" s="86" t="str">
        <f t="shared" si="20"/>
        <v/>
      </c>
      <c r="F80" s="86">
        <f t="shared" si="20"/>
        <v>0.5</v>
      </c>
      <c r="G80" s="86">
        <f t="shared" si="20"/>
        <v>0.47916666666666669</v>
      </c>
      <c r="H80" s="86">
        <f t="shared" si="20"/>
        <v>0</v>
      </c>
      <c r="I80" s="86">
        <f t="shared" si="20"/>
        <v>0.6097560975609756</v>
      </c>
      <c r="J80" s="86" t="str">
        <f t="shared" si="20"/>
        <v/>
      </c>
      <c r="K80" s="86" t="str">
        <f t="shared" si="20"/>
        <v/>
      </c>
      <c r="L80" s="86">
        <f t="shared" si="20"/>
        <v>0.18181818181818182</v>
      </c>
      <c r="M80" s="86" t="str">
        <f t="shared" si="20"/>
        <v/>
      </c>
      <c r="N80" s="86">
        <f t="shared" si="20"/>
        <v>0</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0"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64</v>
      </c>
      <c r="C90" s="83">
        <f>SUMPRODUCT(--(COUNTIFS('Match Log'!$D$4:$D$1510,$A90,'Match Log'!$C$4:$C$1510,Lists!$C$2:$C$26)&gt;0))</f>
        <v>15</v>
      </c>
      <c r="D90" s="83">
        <f>COUNTIFS('Match Log'!$D$4:$D$1510,$A90,'Match Log'!$E$4:$E$1510,"Win")</f>
        <v>39</v>
      </c>
      <c r="E90" s="86">
        <f t="shared" si="27"/>
        <v>0.609375</v>
      </c>
      <c r="F90" s="88">
        <f ca="1">IFERROR(INDEX(Calcs!$S$7:$S$20,MATCH($A90,Calcs!$A$7:$A$20,0)),"")</f>
        <v>1255.247020705217</v>
      </c>
      <c r="G90" s="83" t="str">
        <f>IF($B90=0,"No games",IF(AND($B90&gt;='Guide &amp; Settings'!$C$45,$C90&gt;='Guide &amp; Settings'!$C$46),"Eligible","Provisional"))</f>
        <v>Eligible</v>
      </c>
      <c r="S90" s="89">
        <f ca="1">IF($G90="Eligible",IF(IFERROR(INDEX(Calcs!$T$7:$T$20,MATCH($A90,Calcs!$A$7:$A$20,0)),"")="Inactive",-1,$F90),-1)</f>
        <v>1255.247020705217</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83</v>
      </c>
      <c r="C92" s="83">
        <f>SUMPRODUCT(--(COUNTIFS('Match Log'!$D$4:$D$1510,$A92,'Match Log'!$C$4:$C$1510,Lists!$C$2:$C$26)&gt;0))</f>
        <v>14</v>
      </c>
      <c r="D92" s="83">
        <f>COUNTIFS('Match Log'!$D$4:$D$1510,$A92,'Match Log'!$E$4:$E$1510,"Win")</f>
        <v>29</v>
      </c>
      <c r="E92" s="86">
        <f t="shared" si="27"/>
        <v>0.3493975903614458</v>
      </c>
      <c r="F92" s="88">
        <f ca="1">IFERROR(INDEX(Calcs!$S$7:$S$20,MATCH($A92,Calcs!$A$7:$A$20,0)),"")</f>
        <v>968.26132335618615</v>
      </c>
      <c r="G92" s="83" t="str">
        <f>IF($B92=0,"No games",IF(AND($B92&gt;='Guide &amp; Settings'!$C$45,$C92&gt;='Guide &amp; Settings'!$C$46),"Eligible","Provisional"))</f>
        <v>Eligible</v>
      </c>
      <c r="S92" s="89">
        <f ca="1">IF($G92="Eligible",IF(IFERROR(INDEX(Calcs!$T$7:$T$20,MATCH($A92,Calcs!$A$7:$A$20,0)),"")="Inactive",-1,$F92),-1)</f>
        <v>968.26132335618615</v>
      </c>
    </row>
    <row r="93" spans="1:19" ht="15" customHeight="1" x14ac:dyDescent="0.2">
      <c r="A93" s="82" t="s">
        <v>22</v>
      </c>
      <c r="B93" s="83">
        <f>COUNTIF('Match Log'!$D$4:$D$1510,$A93)</f>
        <v>158</v>
      </c>
      <c r="C93" s="83">
        <f>SUMPRODUCT(--(COUNTIFS('Match Log'!$D$4:$D$1510,$A93,'Match Log'!$C$4:$C$1510,Lists!$C$2:$C$26)&gt;0))</f>
        <v>20</v>
      </c>
      <c r="D93" s="83">
        <f>COUNTIFS('Match Log'!$D$4:$D$1510,$A93,'Match Log'!$E$4:$E$1510,"Win")</f>
        <v>68</v>
      </c>
      <c r="E93" s="86">
        <f t="shared" si="27"/>
        <v>0.43037974683544306</v>
      </c>
      <c r="F93" s="88">
        <f ca="1">IFERROR(INDEX(Calcs!$S$7:$S$20,MATCH($A93,Calcs!$A$7:$A$20,0)),"")</f>
        <v>1208.0027190435155</v>
      </c>
      <c r="G93" s="83" t="str">
        <f>IF($B93=0,"No games",IF(AND($B93&gt;='Guide &amp; Settings'!$C$45,$C93&gt;='Guide &amp; Settings'!$C$46),"Eligible","Provisional"))</f>
        <v>Eligible</v>
      </c>
      <c r="S93" s="89">
        <f ca="1">IF($G93="Eligible",IF(IFERROR(INDEX(Calcs!$T$7:$T$20,MATCH($A93,Calcs!$A$7:$A$20,0)),"")="Inactive",-1,$F93),-1)</f>
        <v>1208.0027190435155</v>
      </c>
    </row>
    <row r="94" spans="1:19" ht="15" customHeight="1" x14ac:dyDescent="0.2">
      <c r="A94" s="82" t="s">
        <v>15</v>
      </c>
      <c r="B94" s="83">
        <f>COUNTIF('Match Log'!$D$4:$D$1510,$A94)</f>
        <v>91</v>
      </c>
      <c r="C94" s="83">
        <f>SUMPRODUCT(--(COUNTIFS('Match Log'!$D$4:$D$1510,$A94,'Match Log'!$C$4:$C$1510,Lists!$C$2:$C$26)&gt;0))</f>
        <v>14</v>
      </c>
      <c r="D94" s="83">
        <f>COUNTIFS('Match Log'!$D$4:$D$1510,$A94,'Match Log'!$E$4:$E$1510,"Win")</f>
        <v>42</v>
      </c>
      <c r="E94" s="86">
        <f t="shared" si="27"/>
        <v>0.46153846153846156</v>
      </c>
      <c r="F94" s="88">
        <f ca="1">IFERROR(INDEX(Calcs!$S$7:$S$20,MATCH($A94,Calcs!$A$7:$A$20,0)),"")</f>
        <v>1188.5766156390553</v>
      </c>
      <c r="G94" s="83" t="str">
        <f>IF($B94=0,"No games",IF(AND($B94&gt;='Guide &amp; Settings'!$C$45,$C94&gt;='Guide &amp; Settings'!$C$46),"Eligible","Provisional"))</f>
        <v>Eligible</v>
      </c>
      <c r="S94" s="89">
        <f ca="1">IF($G94="Eligible",IF(IFERROR(INDEX(Calcs!$T$7:$T$20,MATCH($A94,Calcs!$A$7:$A$20,0)),"")="Inactive",-1,$F94),-1)</f>
        <v>1188.5766156390553</v>
      </c>
    </row>
    <row r="95" spans="1:19" ht="15" customHeight="1" x14ac:dyDescent="0.2">
      <c r="A95" s="82" t="s">
        <v>20</v>
      </c>
      <c r="B95" s="83">
        <f>COUNTIF('Match Log'!$D$4:$D$1510,$A95)</f>
        <v>168</v>
      </c>
      <c r="C95" s="83">
        <f>SUMPRODUCT(--(COUNTIFS('Match Log'!$D$4:$D$1510,$A95,'Match Log'!$C$4:$C$1510,Lists!$C$2:$C$26)&gt;0))</f>
        <v>19</v>
      </c>
      <c r="D95" s="83">
        <f>COUNTIFS('Match Log'!$D$4:$D$1510,$A95,'Match Log'!$E$4:$E$1510,"Win")</f>
        <v>79</v>
      </c>
      <c r="E95" s="86">
        <f t="shared" si="27"/>
        <v>0.47023809523809523</v>
      </c>
      <c r="F95" s="88">
        <f ca="1">IFERROR(INDEX(Calcs!$S$7:$S$20,MATCH($A95,Calcs!$A$7:$A$20,0)),"")</f>
        <v>1217.6604830819899</v>
      </c>
      <c r="G95" s="83" t="str">
        <f>IF($B95=0,"No games",IF(AND($B95&gt;='Guide &amp; Settings'!$C$45,$C95&gt;='Guide &amp; Settings'!$C$46),"Eligible","Provisional"))</f>
        <v>Eligible</v>
      </c>
      <c r="S95" s="89">
        <f ca="1">IF($G95="Eligible",IF(IFERROR(INDEX(Calcs!$T$7:$T$20,MATCH($A95,Calcs!$A$7:$A$20,0)),"")="Inactive",-1,$F95),-1)</f>
        <v>1217.6604830819899</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909.51759653351382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1047.5488947064855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17</v>
      </c>
      <c r="C98" s="83">
        <f>SUMPRODUCT(--(COUNTIFS('Match Log'!$D$4:$D$1510,$A98,'Match Log'!$C$4:$C$1510,Lists!$C$2:$C$26)&gt;0))</f>
        <v>5</v>
      </c>
      <c r="D98" s="83">
        <f>COUNTIFS('Match Log'!$D$4:$D$1510,$A98,'Match Log'!$E$4:$E$1510,"Win")</f>
        <v>6</v>
      </c>
      <c r="E98" s="86">
        <f t="shared" si="27"/>
        <v>0.35294117647058826</v>
      </c>
      <c r="F98" s="88">
        <f ca="1">IFERROR(INDEX(Calcs!$S$7:$S$20,MATCH($A98,Calcs!$A$7:$A$20,0)),"")</f>
        <v>970.50724028215677</v>
      </c>
      <c r="G98" s="83" t="str">
        <f>IF($B98=0,"No games",IF(AND($B98&gt;='Guide &amp; Settings'!$C$45,$C98&gt;='Guide &amp; Settings'!$C$46),"Eligible","Provisional"))</f>
        <v>Eligible</v>
      </c>
      <c r="S98" s="89">
        <f ca="1">IF($G98="Eligible",IF(IFERROR(INDEX(Calcs!$T$7:$T$20,MATCH($A98,Calcs!$A$7:$A$20,0)),"")="Inactive",-1,$F98),-1)</f>
        <v>970.50724028215677</v>
      </c>
    </row>
    <row r="99" spans="1:19" ht="15" customHeight="1" x14ac:dyDescent="0.2">
      <c r="A99" s="82" t="s">
        <v>17</v>
      </c>
      <c r="B99" s="83">
        <f>COUNTIF('Match Log'!$D$4:$D$1510,$A99)</f>
        <v>23</v>
      </c>
      <c r="C99" s="83">
        <f>SUMPRODUCT(--(COUNTIFS('Match Log'!$D$4:$D$1510,$A99,'Match Log'!$C$4:$C$1510,Lists!$C$2:$C$26)&gt;0))</f>
        <v>10</v>
      </c>
      <c r="D99" s="83">
        <f>COUNTIFS('Match Log'!$D$4:$D$1510,$A99,'Match Log'!$E$4:$E$1510,"Win")</f>
        <v>9</v>
      </c>
      <c r="E99" s="86">
        <f t="shared" si="27"/>
        <v>0.39130434782608697</v>
      </c>
      <c r="F99" s="88">
        <f ca="1">IFERROR(INDEX(Calcs!$S$7:$S$20,MATCH($A99,Calcs!$A$7:$A$20,0)),"")</f>
        <v>1028.0761030598392</v>
      </c>
      <c r="G99" s="83" t="str">
        <f>IF($B99=0,"No games",IF(AND($B99&gt;='Guide &amp; Settings'!$C$45,$C99&gt;='Guide &amp; Settings'!$C$46),"Eligible","Provisional"))</f>
        <v>Eligible</v>
      </c>
      <c r="S99" s="89">
        <f ca="1">IF($G99="Eligible",IF(IFERROR(INDEX(Calcs!$T$7:$T$20,MATCH($A99,Calcs!$A$7:$A$20,0)),"")="Inactive",-1,$F99),-1)</f>
        <v>1028.0761030598392</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857.03133644117429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782.22294373677494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0"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989.86518234106882</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1092.9660632793311</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988.04042504575511</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932.56437254594471</v>
      </c>
      <c r="C124" s="88" t="str">
        <f>IFERROR(LOOKUP(2,1/(('Match Log'!$D$4:$D$1510=C$105)*('Match Log'!$C$4:$C$1510=$A124)),'Match Log'!$AB$4:$AB$1510),"")</f>
        <v/>
      </c>
      <c r="D124" s="88">
        <f>IFERROR(LOOKUP(2,1/(('Match Log'!$D$4:$D$1510=D$105)*('Match Log'!$C$4:$C$1510=$A124)),'Match Log'!$AB$4:$AB$1510),"")</f>
        <v>1009.8415025288778</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1005.7273071221039</v>
      </c>
      <c r="H124" s="88">
        <f>IFERROR(LOOKUP(2,1/(('Match Log'!$D$4:$D$1510=H$105)*('Match Log'!$C$4:$C$1510=$A124)),'Match Log'!$AB$4:$AB$1510),"")</f>
        <v>995.11454772974389</v>
      </c>
      <c r="I124" s="88">
        <f>IFERROR(LOOKUP(2,1/(('Match Log'!$D$4:$D$1510=I$105)*('Match Log'!$C$4:$C$1510=$A124)),'Match Log'!$AB$4:$AB$1510),"")</f>
        <v>1120.7187948436672</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f>IFERROR(LOOKUP(2,1/(('Match Log'!$D$4:$D$1510=N$105)*('Match Log'!$C$4:$C$1510=$A124)),'Match Log'!$AB$4:$AB$1510),"")</f>
        <v>988.35118394454946</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3"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168</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57 games</v>
      </c>
      <c r="C23" s="37" t="str">
        <f>INDEX('Sport Records'!$A$8:$A$32,MATCH(MAX('Sport Records'!$P$8:$P$32),'Sport Records'!$P$8:$P$32,0))</f>
        <v>Mario Golf</v>
      </c>
      <c r="D23" s="37" t="s">
        <v>326</v>
      </c>
      <c r="E23" s="37" t="s">
        <v>326</v>
      </c>
      <c r="F23" s="37" t="s">
        <v>329</v>
      </c>
    </row>
    <row r="24" spans="1:8" ht="15" customHeight="1" x14ac:dyDescent="0.2">
      <c r="A24" s="93" t="s">
        <v>330</v>
      </c>
      <c r="B24" s="40" t="str">
        <f>MAX(Calcs!$O$7:$O$20)&amp;" wins"</f>
        <v>5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38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Dylan A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Shawn is surging — up 4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168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Daniel (Ferret) rules Mario Golf — the family's most-played game with 57 contests.</v>
      </c>
      <c r="B11" s="97"/>
      <c r="C11" s="97"/>
      <c r="D11" s="102"/>
      <c r="E11" s="103"/>
      <c r="F11" s="97"/>
    </row>
    <row r="12" spans="1:6" ht="15" customHeight="1" x14ac:dyDescent="0.2">
      <c r="A12" s="98" t="str">
        <f>"🎲  "&amp;MAX('Match Log'!$A$4:$A$1510)&amp;" games played across "&amp;COUNTIF('Sport Records'!$P$8:$P$32,"&gt;0")&amp;" different sports — and counting."</f>
        <v>🎲  317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1255</v>
      </c>
      <c r="D17" s="109" t="str">
        <f>"leader"</f>
        <v>leader</v>
      </c>
      <c r="E17" s="105"/>
      <c r="F17" s="27"/>
    </row>
    <row r="18" spans="1:6" ht="15" customHeight="1" x14ac:dyDescent="0.2">
      <c r="A18" s="110">
        <v>2</v>
      </c>
      <c r="B18" s="62" t="str">
        <f ca="1">Dashboard!$B$6</f>
        <v>Shawn</v>
      </c>
      <c r="C18" s="144">
        <f ca="1">ROUND(Dashboard!$C$6,0)</f>
        <v>1218</v>
      </c>
      <c r="D18" s="111" t="str">
        <f ca="1">ROUND(Dashboard!$C$5-Dashboard!$C$6,0)&amp;" behind"</f>
        <v>38 behind</v>
      </c>
      <c r="E18" s="105"/>
      <c r="F18" s="27"/>
    </row>
    <row r="19" spans="1:6" ht="15" customHeight="1" x14ac:dyDescent="0.2">
      <c r="A19" s="110">
        <v>3</v>
      </c>
      <c r="B19" s="62" t="str">
        <f ca="1">Dashboard!$B$7</f>
        <v>Simon</v>
      </c>
      <c r="C19" s="144">
        <f ca="1">ROUND(Dashboard!$C$7,0)</f>
        <v>1210</v>
      </c>
      <c r="D19" s="111" t="str">
        <f ca="1">ROUND(Dashboard!$C$5-Dashboard!$C$7,0)&amp;" behind"</f>
        <v>45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W</v>
      </c>
      <c r="D40" s="113" t="str">
        <f>IFERROR(IF(INDEX('Match Log'!$E$1:$E$1510,_xlfn.AGGREGATE(14,6,ROW('Match Log'!$A$4:$A$1510)/('Match Log'!$D$4:$D$1510=$A40),8))="Win","W","L"),"")</f>
        <v>W</v>
      </c>
      <c r="E40" s="113" t="str">
        <f>IFERROR(IF(INDEX('Match Log'!$E$1:$E$1510,_xlfn.AGGREGATE(14,6,ROW('Match Log'!$A$4:$A$1510)/('Match Log'!$D$4:$D$1510=$A40),7))="Win","W","L"),"")</f>
        <v>L</v>
      </c>
      <c r="F40" s="113" t="str">
        <f>IFERROR(IF(INDEX('Match Log'!$E$1:$E$1510,_xlfn.AGGREGATE(14,6,ROW('Match Log'!$A$4:$A$1510)/('Match Log'!$D$4:$D$1510=$A40),6))="Win","W","L"),"")</f>
        <v>L</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L</v>
      </c>
      <c r="C42" s="113" t="str">
        <f>IFERROR(IF(INDEX('Match Log'!$E$1:$E$1510,_xlfn.AGGREGATE(14,6,ROW('Match Log'!$A$4:$A$1510)/('Match Log'!$D$4:$D$1510=$A42),9))="Win","W","L"),"")</f>
        <v>L</v>
      </c>
      <c r="D42" s="113" t="str">
        <f>IFERROR(IF(INDEX('Match Log'!$E$1:$E$1510,_xlfn.AGGREGATE(14,6,ROW('Match Log'!$A$4:$A$1510)/('Match Log'!$D$4:$D$1510=$A42),8))="Win","W","L"),"")</f>
        <v>L</v>
      </c>
      <c r="E42" s="113" t="str">
        <f>IFERROR(IF(INDEX('Match Log'!$E$1:$E$1510,_xlfn.AGGREGATE(14,6,ROW('Match Log'!$A$4:$A$1510)/('Match Log'!$D$4:$D$1510=$A42),7))="Win","W","L"),"")</f>
        <v>L</v>
      </c>
      <c r="F42" s="113" t="str">
        <f>IFERROR(IF(INDEX('Match Log'!$E$1:$E$1510,_xlfn.AGGREGATE(14,6,ROW('Match Log'!$A$4:$A$1510)/('Match Log'!$D$4:$D$1510=$A42),6))="Win","W","L"),"")</f>
        <v>W</v>
      </c>
      <c r="G42" s="113" t="str">
        <f>IFERROR(IF(INDEX('Match Log'!$E$1:$E$1510,_xlfn.AGGREGATE(14,6,ROW('Match Log'!$A$4:$A$1510)/('Match Log'!$D$4:$D$1510=$A42),5))="Win","W","L"),"")</f>
        <v>W</v>
      </c>
      <c r="H42" s="113" t="str">
        <f>IFERROR(IF(INDEX('Match Log'!$E$1:$E$1510,_xlfn.AGGREGATE(14,6,ROW('Match Log'!$A$4:$A$1510)/('Match Log'!$D$4:$D$1510=$A42),4))="Win","W","L"),"")</f>
        <v>L</v>
      </c>
      <c r="I42" s="113" t="str">
        <f>IFERROR(IF(INDEX('Match Log'!$E$1:$E$1510,_xlfn.AGGREGATE(14,6,ROW('Match Log'!$A$4:$A$1510)/('Match Log'!$D$4:$D$1510=$A42),3))="Win","W","L"),"")</f>
        <v>L</v>
      </c>
      <c r="J42" s="113" t="str">
        <f>IFERROR(IF(INDEX('Match Log'!$E$1:$E$1510,_xlfn.AGGREGATE(14,6,ROW('Match Log'!$A$4:$A$1510)/('Match Log'!$D$4:$D$1510=$A42),2))="Win","W","L"),"")</f>
        <v>L</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L</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W</v>
      </c>
      <c r="D45" s="113" t="str">
        <f>IFERROR(IF(INDEX('Match Log'!$E$1:$E$1510,_xlfn.AGGREGATE(14,6,ROW('Match Log'!$A$4:$A$1510)/('Match Log'!$D$4:$D$1510=$A45),8))="Win","W","L"),"")</f>
        <v>W</v>
      </c>
      <c r="E45" s="113" t="str">
        <f>IFERROR(IF(INDEX('Match Log'!$E$1:$E$1510,_xlfn.AGGREGATE(14,6,ROW('Match Log'!$A$4:$A$1510)/('Match Log'!$D$4:$D$1510=$A45),7))="Win","W","L"),"")</f>
        <v>W</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L</v>
      </c>
      <c r="J45" s="113" t="str">
        <f>IFERROR(IF(INDEX('Match Log'!$E$1:$E$1510,_xlfn.AGGREGATE(14,6,ROW('Match Log'!$A$4:$A$1510)/('Match Log'!$D$4:$D$1510=$A45),2))="Win","W","L"),"")</f>
        <v>W</v>
      </c>
      <c r="K45" s="113" t="str">
        <f>IFERROR(IF(INDEX('Match Log'!$E$1:$E$1510,_xlfn.AGGREGATE(14,6,ROW('Match Log'!$A$4:$A$1510)/('Match Log'!$D$4:$D$1510=$A45),1))="Win","W","L"),"")</f>
        <v>W</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W</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L</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W</v>
      </c>
      <c r="I47" s="113" t="str">
        <f>IFERROR(IF(INDEX('Match Log'!$E$1:$E$1510,_xlfn.AGGREGATE(14,6,ROW('Match Log'!$A$4:$A$1510)/('Match Log'!$D$4:$D$1510=$A47),3))="Win","W","L"),"")</f>
        <v>W</v>
      </c>
      <c r="J47" s="113" t="str">
        <f>IFERROR(IF(INDEX('Match Log'!$E$1:$E$1510,_xlfn.AGGREGATE(14,6,ROW('Match Log'!$A$4:$A$1510)/('Match Log'!$D$4:$D$1510=$A47),2))="Win","W","L"),"")</f>
        <v>W</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W</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W</v>
      </c>
      <c r="D52" s="113" t="str">
        <f>IFERROR(IF(INDEX('Match Log'!$E$1:$E$1510,_xlfn.AGGREGATE(14,6,ROW('Match Log'!$A$4:$A$1510)/('Match Log'!$D$4:$D$1510=$A52),8))="Win","W","L"),"")</f>
        <v>L</v>
      </c>
      <c r="E52" s="113" t="str">
        <f>IFERROR(IF(INDEX('Match Log'!$E$1:$E$1510,_xlfn.AGGREGATE(14,6,ROW('Match Log'!$A$4:$A$1510)/('Match Log'!$D$4:$D$1510=$A52),7))="Win","W","L"),"")</f>
        <v>L</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0.1875</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0.33333333333333331</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0.4</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0.47916666666666669</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0.45454545454545453</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0.6097560975609756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f>IFERROR(INDEX('Sport Records'!$B$62:$O$86,MATCH($T$57,'Sport Records'!$A$62:$A$86,0),MATCH($A70,'Sport Records'!$B$61:$O$61,0)),"")</f>
        <v>0</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714" activePane="bottomRight" state="frozen"/>
      <selection pane="topRight" activeCell="F1" sqref="F1"/>
      <selection pane="bottomLeft" activeCell="A442" sqref="A442"/>
      <selection pane="bottomRight" activeCell="A739" sqref="A739:XFD752"/>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64" t="s">
        <v>346</v>
      </c>
      <c r="B1" s="146"/>
      <c r="C1" s="146"/>
      <c r="D1" s="146"/>
      <c r="E1" s="146"/>
      <c r="F1" s="146"/>
      <c r="G1" s="146"/>
      <c r="H1" s="146"/>
      <c r="I1" s="146"/>
      <c r="J1" s="146"/>
      <c r="K1" s="146"/>
      <c r="L1" s="146"/>
      <c r="M1" s="146"/>
      <c r="N1" s="146"/>
      <c r="O1" s="146"/>
    </row>
    <row r="2" spans="1:32" ht="15" customHeight="1" x14ac:dyDescent="0.2">
      <c r="A2" s="165"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v>307</v>
      </c>
      <c r="B725" s="118">
        <v>46293</v>
      </c>
      <c r="C725" s="119" t="s">
        <v>33</v>
      </c>
      <c r="D725" s="119" t="s">
        <v>20</v>
      </c>
      <c r="E725" s="117" t="s">
        <v>370</v>
      </c>
      <c r="F725" s="120">
        <f t="shared" si="220"/>
        <v>2</v>
      </c>
      <c r="G725" s="121" t="str">
        <f t="shared" si="221"/>
        <v>Shawn</v>
      </c>
      <c r="H725" s="122">
        <f>IF($D725="",0,IFERROR(LOOKUP(2,1/(($D$3:D724=$D725)*($A$3:A724&lt;$A725)),$N$3:N724),'Guide &amp; Settings'!$C$41))</f>
        <v>1132.8537274164212</v>
      </c>
      <c r="I725" s="123">
        <f t="shared" si="222"/>
        <v>0.63636363636363635</v>
      </c>
      <c r="J725" s="124">
        <f>IF($D725="",0,IF($F725&lt;2,0,IF($E725="Win",('Guide &amp; Settings'!$C$42/(($F725-1)*COUNTIFS($A$4:$A$1510,$A725,$E$4:$E$1510,"Win")))*SUMIFS($X$4:$X$1510,$A$4:$A$1510,$A725,$E$4:$E$1510,"Loss"),-('Guide &amp; Settings'!$C$42/($F725-1))*$X725)))</f>
        <v>13.911278449150011</v>
      </c>
      <c r="K725" s="124">
        <f>IF($D725="",0,'Guide &amp; Settings'!$C$43*(IF($E725="Win",1,0)-$I725))</f>
        <v>4.3636363636363633</v>
      </c>
      <c r="L725" s="125">
        <f>IF($D725="",0,'Guide &amp; Settings'!$C$44*IF($F725&gt;=3,$F725,0))</f>
        <v>0</v>
      </c>
      <c r="M725" s="124">
        <f t="shared" si="223"/>
        <v>18.274914812786374</v>
      </c>
      <c r="N725" s="122">
        <f t="shared" si="224"/>
        <v>1151.1286422292076</v>
      </c>
      <c r="O725" s="121" t="str">
        <f t="shared" si="225"/>
        <v>OK</v>
      </c>
      <c r="P725">
        <f t="shared" si="226"/>
        <v>1132.8537274164212</v>
      </c>
      <c r="Q725">
        <f t="shared" si="227"/>
        <v>0.5</v>
      </c>
      <c r="R725">
        <f t="shared" si="228"/>
        <v>0.875</v>
      </c>
      <c r="S725">
        <f t="shared" si="229"/>
        <v>1.375</v>
      </c>
      <c r="T725" s="89">
        <f t="shared" si="230"/>
        <v>6</v>
      </c>
      <c r="U725" s="126">
        <f>IF($D725="",0,IFERROR(LOOKUP(2,1/(($D$3:D724=$D725)*($C$3:C724=$C725)*($A$3:A724&lt;$A725)),$AB$3:AB724),1000))</f>
        <v>1080.5069404636042</v>
      </c>
      <c r="V725" s="126">
        <f t="shared" si="231"/>
        <v>1104.3009345330665</v>
      </c>
      <c r="W725">
        <f t="shared" si="232"/>
        <v>1104.3009345330665</v>
      </c>
      <c r="X725">
        <f t="shared" si="233"/>
        <v>0.5</v>
      </c>
      <c r="Y725">
        <f t="shared" si="234"/>
        <v>1080.5069404636042</v>
      </c>
      <c r="Z725">
        <f t="shared" si="235"/>
        <v>0.5</v>
      </c>
      <c r="AA725">
        <f>IF($D725="",0,IF($F725&lt;2,0,IF($E725="Win",('Guide &amp; Settings'!$C$42/(($F725-1)*COUNTIFS($A$4:$A$1510,$A725,$E$4:$E$1510,"Win")))*SUMIFS($Z$4:$Z$1510,$A$4:$A$1510,$A725,$E$4:$E$1510,"Loss"),-('Guide &amp; Settings'!$C$42/($F725-1))*$Z725)))</f>
        <v>12.459122815727019</v>
      </c>
      <c r="AB725" s="126">
        <f t="shared" si="236"/>
        <v>1092.9660632793311</v>
      </c>
      <c r="AC725" s="126">
        <f>IF($D725="","",IF($AD725=0,0,IF(COUNTIFS($D$4:$D725,$D725,$B$4:$B725,$B725)&gt;1,0,IF($B725&lt;'Guide &amp; Settings'!$C$50,0,IF(($B725-$AD725)/7-'Guide &amp; Settings'!$C$48&gt;=0,(INT(($B725-$AD725)/7-'Guide &amp; Settings'!$C$48)+1)*'Guide &amp; Settings'!$C$49,0)))))</f>
        <v>0</v>
      </c>
      <c r="AD725" s="142">
        <f t="shared" si="237"/>
        <v>46291</v>
      </c>
      <c r="AE725">
        <f t="shared" si="238"/>
        <v>1</v>
      </c>
      <c r="AF725">
        <f t="shared" si="239"/>
        <v>0</v>
      </c>
    </row>
    <row r="726" spans="1:32" x14ac:dyDescent="0.2">
      <c r="A726" s="117">
        <v>307</v>
      </c>
      <c r="B726" s="118">
        <v>46293</v>
      </c>
      <c r="C726" s="119" t="s">
        <v>33</v>
      </c>
      <c r="D726" s="119" t="s">
        <v>17</v>
      </c>
      <c r="E726" s="117" t="s">
        <v>371</v>
      </c>
      <c r="F726" s="120">
        <f t="shared" si="220"/>
        <v>2</v>
      </c>
      <c r="G726" s="121" t="str">
        <f t="shared" si="221"/>
        <v>Shawn</v>
      </c>
      <c r="H726" s="122">
        <f>IF($D726="",0,IFERROR(LOOKUP(2,1/(($D$3:D725=$D726)*($A$3:A725&lt;$A726)),$N$3:N725),'Guide &amp; Settings'!$C$41))</f>
        <v>1081.2287215286424</v>
      </c>
      <c r="I726" s="123">
        <f t="shared" si="222"/>
        <v>0.36363636363636365</v>
      </c>
      <c r="J726" s="124">
        <f>IF($D726="",0,IF($F726&lt;2,0,IF($E726="Win",('Guide &amp; Settings'!$C$42/(($F726-1)*COUNTIFS($A$4:$A$1510,$A726,$E$4:$E$1510,"Win")))*SUMIFS($X$4:$X$1510,$A$4:$A$1510,$A726,$E$4:$E$1510,"Loss"),-('Guide &amp; Settings'!$C$42/($F726-1))*$X726)))</f>
        <v>-13.911278449150011</v>
      </c>
      <c r="K726" s="124">
        <f>IF($D726="",0,'Guide &amp; Settings'!$C$43*(IF($E726="Win",1,0)-$I726))</f>
        <v>-4.3636363636363633</v>
      </c>
      <c r="L726" s="125">
        <f>IF($D726="",0,'Guide &amp; Settings'!$C$44*IF($F726&gt;=3,$F726,0))</f>
        <v>0</v>
      </c>
      <c r="M726" s="124">
        <f t="shared" si="223"/>
        <v>-18.274914812786374</v>
      </c>
      <c r="N726" s="122">
        <f t="shared" si="224"/>
        <v>1062.953806715856</v>
      </c>
      <c r="O726" s="121" t="str">
        <f t="shared" si="225"/>
        <v>OK</v>
      </c>
      <c r="P726">
        <f t="shared" si="226"/>
        <v>1132.8537274164212</v>
      </c>
      <c r="Q726">
        <f t="shared" si="227"/>
        <v>0.42624763028439649</v>
      </c>
      <c r="R726">
        <f t="shared" si="228"/>
        <v>0.5</v>
      </c>
      <c r="S726">
        <f t="shared" si="229"/>
        <v>1.375</v>
      </c>
      <c r="T726" s="89">
        <f t="shared" si="230"/>
        <v>2</v>
      </c>
      <c r="U726" s="126">
        <f>IF($D726="",0,IFERROR(LOOKUP(2,1/(($D$3:D725=$D726)*($C$3:C725=$C726)*($A$3:A725&lt;$A726)),$AB$3:AB725),1000))</f>
        <v>1002.3243051567958</v>
      </c>
      <c r="V726" s="126">
        <f t="shared" si="231"/>
        <v>1058.6846025652576</v>
      </c>
      <c r="W726">
        <f t="shared" si="232"/>
        <v>1104.3009345330665</v>
      </c>
      <c r="X726">
        <f t="shared" si="233"/>
        <v>0.43472745153593784</v>
      </c>
      <c r="Y726">
        <f t="shared" si="234"/>
        <v>1080.5069404636042</v>
      </c>
      <c r="Z726">
        <f t="shared" si="235"/>
        <v>0.38934758799146935</v>
      </c>
      <c r="AA726">
        <f>IF($D726="",0,IF($F726&lt;2,0,IF($E726="Win",('Guide &amp; Settings'!$C$42/(($F726-1)*COUNTIFS($A$4:$A$1510,$A726,$E$4:$E$1510,"Win")))*SUMIFS($Z$4:$Z$1510,$A$4:$A$1510,$A726,$E$4:$E$1510,"Loss"),-('Guide &amp; Settings'!$C$42/($F726-1))*$Z726)))</f>
        <v>-12.459122815727019</v>
      </c>
      <c r="AB726" s="126">
        <f t="shared" si="236"/>
        <v>989.86518234106882</v>
      </c>
      <c r="AC726" s="126">
        <f>IF($D726="","",IF($AD726=0,0,IF(COUNTIFS($D$4:$D726,$D726,$B$4:$B726,$B726)&gt;1,0,IF($B726&lt;'Guide &amp; Settings'!$C$50,0,IF(($B726-$AD726)/7-'Guide &amp; Settings'!$C$48&gt;=0,(INT(($B726-$AD726)/7-'Guide &amp; Settings'!$C$48)+1)*'Guide &amp; Settings'!$C$49,0)))))</f>
        <v>0</v>
      </c>
      <c r="AD726" s="142">
        <f t="shared" si="237"/>
        <v>46274</v>
      </c>
      <c r="AE726">
        <f t="shared" si="238"/>
        <v>1</v>
      </c>
      <c r="AF726">
        <f t="shared" si="239"/>
        <v>0</v>
      </c>
    </row>
    <row r="727" spans="1:32" x14ac:dyDescent="0.2">
      <c r="A727" s="117">
        <v>308</v>
      </c>
      <c r="B727" s="118">
        <v>46297</v>
      </c>
      <c r="C727" s="119" t="s">
        <v>50</v>
      </c>
      <c r="D727" s="119" t="s">
        <v>20</v>
      </c>
      <c r="E727" s="117" t="s">
        <v>371</v>
      </c>
      <c r="F727" s="120">
        <f t="shared" si="220"/>
        <v>3</v>
      </c>
      <c r="G727" s="121" t="str">
        <f t="shared" si="221"/>
        <v>Daniel (Ferret)</v>
      </c>
      <c r="H727" s="122">
        <f>IF($D727="",0,IFERROR(LOOKUP(2,1/(($D$3:D726=$D727)*($A$3:A726&lt;$A727)),$N$3:N726),'Guide &amp; Settings'!$C$41))</f>
        <v>1151.1286422292076</v>
      </c>
      <c r="I727" s="123">
        <f t="shared" si="222"/>
        <v>0.35685828116106999</v>
      </c>
      <c r="J727" s="124">
        <f>IF($D727="",0,IF($F727&lt;2,0,IF($E727="Win",('Guide &amp; Settings'!$C$42/(($F727-1)*COUNTIFS($A$4:$A$1510,$A727,$E$4:$E$1510,"Win")))*SUMIFS($X$4:$X$1510,$A$4:$A$1510,$A727,$E$4:$E$1510,"Loss"),-('Guide &amp; Settings'!$C$42/($F727-1))*$X727)))</f>
        <v>-4.7303234943132466</v>
      </c>
      <c r="K727" s="124">
        <f>IF($D727="",0,'Guide &amp; Settings'!$C$43*(IF($E727="Win",1,0)-$I727))</f>
        <v>-4.2822993739328403</v>
      </c>
      <c r="L727" s="125">
        <f>IF($D727="",0,'Guide &amp; Settings'!$C$44*IF($F727&gt;=3,$F727,0))</f>
        <v>3</v>
      </c>
      <c r="M727" s="124">
        <f t="shared" si="223"/>
        <v>-6.0126228682460869</v>
      </c>
      <c r="N727" s="122">
        <f t="shared" si="224"/>
        <v>1145.1160193609614</v>
      </c>
      <c r="O727" s="121" t="str">
        <f t="shared" si="225"/>
        <v>OK</v>
      </c>
      <c r="P727">
        <f t="shared" si="226"/>
        <v>1180.164112777554</v>
      </c>
      <c r="Q727">
        <f t="shared" si="227"/>
        <v>0.45831160548896299</v>
      </c>
      <c r="R727">
        <f t="shared" si="228"/>
        <v>0.47499999999999998</v>
      </c>
      <c r="S727">
        <f t="shared" si="229"/>
        <v>1.3310606060606061</v>
      </c>
      <c r="T727" s="89">
        <f t="shared" si="230"/>
        <v>38</v>
      </c>
      <c r="U727" s="126">
        <f>IF($D727="",0,IFERROR(LOOKUP(2,1/(($D$3:D726=$D727)*($C$3:C726=$C727)*($A$3:A726&lt;$A727)),$AB$3:AB726),1000))</f>
        <v>962.4492002901444</v>
      </c>
      <c r="V727" s="126">
        <f t="shared" si="231"/>
        <v>984.38867028305867</v>
      </c>
      <c r="W727">
        <f t="shared" si="232"/>
        <v>1135.1969134290423</v>
      </c>
      <c r="X727">
        <f t="shared" si="233"/>
        <v>0.29564521839457791</v>
      </c>
      <c r="Y727">
        <f t="shared" si="234"/>
        <v>1127.9441393405727</v>
      </c>
      <c r="Z727">
        <f t="shared" si="235"/>
        <v>0.27834909469923974</v>
      </c>
      <c r="AA727">
        <f>IF($D727="",0,IF($F727&lt;2,0,IF($E727="Win",('Guide &amp; Settings'!$C$42/(($F727-1)*COUNTIFS($A$4:$A$1510,$A727,$E$4:$E$1510,"Win")))*SUMIFS($Z$4:$Z$1510,$A$4:$A$1510,$A727,$E$4:$E$1510,"Loss"),-('Guide &amp; Settings'!$C$42/($F727-1))*$Z727)))</f>
        <v>-4.4535855151878359</v>
      </c>
      <c r="AB727" s="126">
        <f t="shared" si="236"/>
        <v>957.99561477495661</v>
      </c>
      <c r="AC727" s="126">
        <f>IF($D727="","",IF($AD727=0,0,IF(COUNTIFS($D$4:$D727,$D727,$B$4:$B727,$B727)&gt;1,0,IF($B727&lt;'Guide &amp; Settings'!$C$50,0,IF(($B727-$AD727)/7-'Guide &amp; Settings'!$C$48&gt;=0,(INT(($B727-$AD727)/7-'Guide &amp; Settings'!$C$48)+1)*'Guide &amp; Settings'!$C$49,0)))))</f>
        <v>0</v>
      </c>
      <c r="AD727" s="142">
        <f t="shared" si="237"/>
        <v>46293</v>
      </c>
      <c r="AE727">
        <f t="shared" si="238"/>
        <v>1</v>
      </c>
      <c r="AF727">
        <f t="shared" si="239"/>
        <v>0</v>
      </c>
    </row>
    <row r="728" spans="1:32" x14ac:dyDescent="0.2">
      <c r="A728" s="117">
        <v>308</v>
      </c>
      <c r="B728" s="118">
        <v>46297</v>
      </c>
      <c r="C728" s="119" t="s">
        <v>50</v>
      </c>
      <c r="D728" s="119" t="s">
        <v>15</v>
      </c>
      <c r="E728" s="117" t="s">
        <v>371</v>
      </c>
      <c r="F728" s="120">
        <f t="shared" si="220"/>
        <v>3</v>
      </c>
      <c r="G728" s="121" t="str">
        <f t="shared" si="221"/>
        <v>Daniel (Ferret)</v>
      </c>
      <c r="H728" s="122">
        <f>IF($D728="",0,IFERROR(LOOKUP(2,1/(($D$3:D727=$D728)*($A$3:A727&lt;$A728)),$N$3:N727),'Guide &amp; Settings'!$C$41))</f>
        <v>1217.5573388632245</v>
      </c>
      <c r="I728" s="123">
        <f t="shared" si="222"/>
        <v>0.18782014797951052</v>
      </c>
      <c r="J728" s="124">
        <f>IF($D728="",0,IF($F728&lt;2,0,IF($E728="Win",('Guide &amp; Settings'!$C$42/(($F728-1)*COUNTIFS($A$4:$A$1510,$A728,$E$4:$E$1510,"Win")))*SUMIFS($X$4:$X$1510,$A$4:$A$1510,$A728,$E$4:$E$1510,"Loss"),-('Guide &amp; Settings'!$C$42/($F728-1))*$X728)))</f>
        <v>-5.3227510688971282</v>
      </c>
      <c r="K728" s="124">
        <f>IF($D728="",0,'Guide &amp; Settings'!$C$43*(IF($E728="Win",1,0)-$I728))</f>
        <v>-2.2538417757541263</v>
      </c>
      <c r="L728" s="125">
        <f>IF($D728="",0,'Guide &amp; Settings'!$C$44*IF($F728&gt;=3,$F728,0))</f>
        <v>3</v>
      </c>
      <c r="M728" s="124">
        <f t="shared" si="223"/>
        <v>-4.5765928446512545</v>
      </c>
      <c r="N728" s="122">
        <f t="shared" si="224"/>
        <v>1212.9807460185732</v>
      </c>
      <c r="O728" s="121" t="str">
        <f t="shared" si="225"/>
        <v>OK</v>
      </c>
      <c r="P728">
        <f t="shared" si="226"/>
        <v>1180.164112777554</v>
      </c>
      <c r="Q728">
        <f t="shared" si="227"/>
        <v>0.55360635589438034</v>
      </c>
      <c r="R728">
        <f t="shared" si="228"/>
        <v>0.25</v>
      </c>
      <c r="S728">
        <f t="shared" si="229"/>
        <v>1.3310606060606061</v>
      </c>
      <c r="T728" s="89">
        <f t="shared" si="230"/>
        <v>14</v>
      </c>
      <c r="U728" s="126">
        <f>IF($D728="",0,IFERROR(LOOKUP(2,1/(($D$3:D727=$D728)*($C$3:C727=$C728)*($A$3:A727&lt;$A728)),$AB$3:AB727),1000))</f>
        <v>941.66416056941034</v>
      </c>
      <c r="V728" s="126">
        <f t="shared" si="231"/>
        <v>1014.2676285414668</v>
      </c>
      <c r="W728">
        <f t="shared" si="232"/>
        <v>1135.1969134290423</v>
      </c>
      <c r="X728">
        <f t="shared" si="233"/>
        <v>0.33267194180607051</v>
      </c>
      <c r="Y728">
        <f t="shared" si="234"/>
        <v>1127.9441393405727</v>
      </c>
      <c r="Z728">
        <f t="shared" si="235"/>
        <v>0.25496332090948021</v>
      </c>
      <c r="AA728">
        <f>IF($D728="",0,IF($F728&lt;2,0,IF($E728="Win",('Guide &amp; Settings'!$C$42/(($F728-1)*COUNTIFS($A$4:$A$1510,$A728,$E$4:$E$1510,"Win")))*SUMIFS($Z$4:$Z$1510,$A$4:$A$1510,$A728,$E$4:$E$1510,"Loss"),-('Guide &amp; Settings'!$C$42/($F728-1))*$Z728)))</f>
        <v>-4.0794131345516833</v>
      </c>
      <c r="AB728" s="126">
        <f t="shared" si="236"/>
        <v>937.58474743485863</v>
      </c>
      <c r="AC728" s="126">
        <f>IF($D728="","",IF($AD728=0,0,IF(COUNTIFS($D$4:$D728,$D728,$B$4:$B728,$B728)&gt;1,0,IF($B728&lt;'Guide &amp; Settings'!$C$50,0,IF(($B728-$AD728)/7-'Guide &amp; Settings'!$C$48&gt;=0,(INT(($B728-$AD728)/7-'Guide &amp; Settings'!$C$48)+1)*'Guide &amp; Settings'!$C$49,0)))))</f>
        <v>0</v>
      </c>
      <c r="AD728" s="142">
        <f t="shared" si="237"/>
        <v>46290</v>
      </c>
      <c r="AE728">
        <f t="shared" si="238"/>
        <v>1</v>
      </c>
      <c r="AF728">
        <f t="shared" si="239"/>
        <v>0</v>
      </c>
    </row>
    <row r="729" spans="1:32" x14ac:dyDescent="0.2">
      <c r="A729" s="117">
        <v>308</v>
      </c>
      <c r="B729" s="118">
        <v>46297</v>
      </c>
      <c r="C729" s="119" t="s">
        <v>50</v>
      </c>
      <c r="D729" s="119" t="s">
        <v>22</v>
      </c>
      <c r="E729" s="117" t="s">
        <v>370</v>
      </c>
      <c r="F729" s="120">
        <f t="shared" si="220"/>
        <v>3</v>
      </c>
      <c r="G729" s="121" t="str">
        <f t="shared" si="221"/>
        <v>Daniel (Ferret)</v>
      </c>
      <c r="H729" s="122">
        <f>IF($D729="",0,IFERROR(LOOKUP(2,1/(($D$3:D728=$D729)*($A$3:A728&lt;$A729)),$N$3:N728),'Guide &amp; Settings'!$C$41))</f>
        <v>1180.164112777554</v>
      </c>
      <c r="I729" s="123">
        <f t="shared" si="222"/>
        <v>0.45532157085941949</v>
      </c>
      <c r="J729" s="124">
        <f>IF($D729="",0,IF($F729&lt;2,0,IF($E729="Win",('Guide &amp; Settings'!$C$42/(($F729-1)*COUNTIFS($A$4:$A$1510,$A729,$E$4:$E$1510,"Win")))*SUMIFS($X$4:$X$1510,$A$4:$A$1510,$A729,$E$4:$E$1510,"Loss"),-('Guide &amp; Settings'!$C$42/($F729-1))*$X729)))</f>
        <v>10.053074563210375</v>
      </c>
      <c r="K729" s="124">
        <f>IF($D729="",0,'Guide &amp; Settings'!$C$43*(IF($E729="Win",1,0)-$I729))</f>
        <v>6.5361411496869657</v>
      </c>
      <c r="L729" s="125">
        <f>IF($D729="",0,'Guide &amp; Settings'!$C$44*IF($F729&gt;=3,$F729,0))</f>
        <v>3</v>
      </c>
      <c r="M729" s="124">
        <f t="shared" si="223"/>
        <v>19.589215712897342</v>
      </c>
      <c r="N729" s="122">
        <f t="shared" si="224"/>
        <v>1199.7533284904514</v>
      </c>
      <c r="O729" s="121" t="str">
        <f t="shared" si="225"/>
        <v>OK</v>
      </c>
      <c r="P729">
        <f t="shared" si="226"/>
        <v>1180.164112777554</v>
      </c>
      <c r="Q729">
        <f t="shared" si="227"/>
        <v>0.5</v>
      </c>
      <c r="R729">
        <f t="shared" si="228"/>
        <v>0.60606060606060608</v>
      </c>
      <c r="S729">
        <f t="shared" si="229"/>
        <v>1.3310606060606061</v>
      </c>
      <c r="T729" s="89">
        <f t="shared" si="230"/>
        <v>31</v>
      </c>
      <c r="U729" s="126">
        <f>IF($D729="",0,IFERROR(LOOKUP(2,1/(($D$3:D728=$D729)*($C$3:C728=$C729)*($A$3:A728&lt;$A729)),$AB$3:AB728),1000))</f>
        <v>1127.9441393405727</v>
      </c>
      <c r="V729" s="126">
        <f t="shared" si="231"/>
        <v>1135.1969134290423</v>
      </c>
      <c r="W729">
        <f t="shared" si="232"/>
        <v>1135.1969134290423</v>
      </c>
      <c r="X729">
        <f t="shared" si="233"/>
        <v>0.5</v>
      </c>
      <c r="Y729">
        <f t="shared" si="234"/>
        <v>1127.9441393405727</v>
      </c>
      <c r="Z729">
        <f t="shared" si="235"/>
        <v>0.5</v>
      </c>
      <c r="AA729">
        <f>IF($D729="",0,IF($F729&lt;2,0,IF($E729="Win",('Guide &amp; Settings'!$C$42/(($F729-1)*COUNTIFS($A$4:$A$1510,$A729,$E$4:$E$1510,"Win")))*SUMIFS($Z$4:$Z$1510,$A$4:$A$1510,$A729,$E$4:$E$1510,"Loss"),-('Guide &amp; Settings'!$C$42/($F729-1))*$Z729)))</f>
        <v>8.5329986497395183</v>
      </c>
      <c r="AB729" s="126">
        <f t="shared" si="236"/>
        <v>1136.4771379903123</v>
      </c>
      <c r="AC729" s="126">
        <f>IF($D729="","",IF($AD729=0,0,IF(COUNTIFS($D$4:$D729,$D729,$B$4:$B729,$B729)&gt;1,0,IF($B729&lt;'Guide &amp; Settings'!$C$50,0,IF(($B729-$AD729)/7-'Guide &amp; Settings'!$C$48&gt;=0,(INT(($B729-$AD729)/7-'Guide &amp; Settings'!$C$48)+1)*'Guide &amp; Settings'!$C$49,0)))))</f>
        <v>0</v>
      </c>
      <c r="AD729" s="142">
        <f t="shared" si="237"/>
        <v>46292</v>
      </c>
      <c r="AE729">
        <f t="shared" si="238"/>
        <v>1</v>
      </c>
      <c r="AF729">
        <f t="shared" si="239"/>
        <v>0</v>
      </c>
    </row>
    <row r="730" spans="1:32" x14ac:dyDescent="0.2">
      <c r="A730" s="117">
        <v>309</v>
      </c>
      <c r="B730" s="118">
        <v>46297</v>
      </c>
      <c r="C730" s="119" t="s">
        <v>50</v>
      </c>
      <c r="D730" s="119" t="s">
        <v>20</v>
      </c>
      <c r="E730" s="117" t="s">
        <v>370</v>
      </c>
      <c r="F730" s="120">
        <f t="shared" si="220"/>
        <v>4</v>
      </c>
      <c r="G730" s="121" t="str">
        <f t="shared" si="221"/>
        <v>Shawn</v>
      </c>
      <c r="H730" s="122">
        <f>IF($D730="",0,IFERROR(LOOKUP(2,1/(($D$3:D729=$D730)*($A$3:A729&lt;$A730)),$N$3:N729),'Guide &amp; Settings'!$C$41))</f>
        <v>1145.1160193609614</v>
      </c>
      <c r="I730" s="123">
        <f t="shared" si="222"/>
        <v>0.25513428120063192</v>
      </c>
      <c r="J730" s="124">
        <f>IF($D730="",0,IF($F730&lt;2,0,IF($E730="Win",('Guide &amp; Settings'!$C$42/(($F730-1)*COUNTIFS($A$4:$A$1510,$A730,$E$4:$E$1510,"Win")))*SUMIFS($X$4:$X$1510,$A$4:$A$1510,$A730,$E$4:$E$1510,"Loss"),-('Guide &amp; Settings'!$C$42/($F730-1))*$X730)))</f>
        <v>19.702307961326877</v>
      </c>
      <c r="K730" s="124">
        <f>IF($D730="",0,'Guide &amp; Settings'!$C$43*(IF($E730="Win",1,0)-$I730))</f>
        <v>8.9383886255924168</v>
      </c>
      <c r="L730" s="125">
        <f>IF($D730="",0,'Guide &amp; Settings'!$C$44*IF($F730&gt;=3,$F730,0))</f>
        <v>4</v>
      </c>
      <c r="M730" s="124">
        <f t="shared" si="223"/>
        <v>32.64069658691929</v>
      </c>
      <c r="N730" s="122">
        <f t="shared" si="224"/>
        <v>1177.7567159478808</v>
      </c>
      <c r="O730" s="121" t="str">
        <f t="shared" si="225"/>
        <v>OK</v>
      </c>
      <c r="P730">
        <f t="shared" si="226"/>
        <v>1145.1160193609614</v>
      </c>
      <c r="Q730">
        <f t="shared" si="227"/>
        <v>0.5</v>
      </c>
      <c r="R730">
        <f t="shared" si="228"/>
        <v>0.46341463414634149</v>
      </c>
      <c r="S730">
        <f t="shared" si="229"/>
        <v>1.8163558106169297</v>
      </c>
      <c r="T730" s="89">
        <f t="shared" si="230"/>
        <v>39</v>
      </c>
      <c r="U730" s="126">
        <f>IF($D730="",0,IFERROR(LOOKUP(2,1/(($D$3:D729=$D730)*($C$3:C729=$C730)*($A$3:A729&lt;$A730)),$AB$3:AB729),1000))</f>
        <v>957.99561477495661</v>
      </c>
      <c r="V730" s="126">
        <f t="shared" si="231"/>
        <v>979.25929711427534</v>
      </c>
      <c r="W730">
        <f t="shared" si="232"/>
        <v>979.25929711427534</v>
      </c>
      <c r="X730">
        <f t="shared" si="233"/>
        <v>0.5</v>
      </c>
      <c r="Y730">
        <f t="shared" si="234"/>
        <v>957.99561477495661</v>
      </c>
      <c r="Z730">
        <f t="shared" si="235"/>
        <v>0.5</v>
      </c>
      <c r="AA730">
        <f>IF($D730="",0,IF($F730&lt;2,0,IF($E730="Win",('Guide &amp; Settings'!$C$42/(($F730-1)*COUNTIFS($A$4:$A$1510,$A730,$E$4:$E$1510,"Win")))*SUMIFS($Z$4:$Z$1510,$A$4:$A$1510,$A730,$E$4:$E$1510,"Loss"),-('Guide &amp; Settings'!$C$42/($F730-1))*$Z730)))</f>
        <v>19.226955779671385</v>
      </c>
      <c r="AB730" s="126">
        <f t="shared" si="236"/>
        <v>977.22257055462796</v>
      </c>
      <c r="AC730" s="126">
        <f>IF($D730="","",IF($AD730=0,0,IF(COUNTIFS($D$4:$D730,$D730,$B$4:$B730,$B730)&gt;1,0,IF($B730&lt;'Guide &amp; Settings'!$C$50,0,IF(($B730-$AD730)/7-'Guide &amp; Settings'!$C$48&gt;=0,(INT(($B730-$AD730)/7-'Guide &amp; Settings'!$C$48)+1)*'Guide &amp; Settings'!$C$49,0)))))</f>
        <v>0</v>
      </c>
      <c r="AD730" s="142">
        <f t="shared" si="237"/>
        <v>46293</v>
      </c>
      <c r="AE730">
        <f t="shared" si="238"/>
        <v>1</v>
      </c>
      <c r="AF730">
        <f t="shared" si="239"/>
        <v>0</v>
      </c>
    </row>
    <row r="731" spans="1:32" x14ac:dyDescent="0.2">
      <c r="A731" s="117">
        <v>309</v>
      </c>
      <c r="B731" s="118">
        <v>46297</v>
      </c>
      <c r="C731" s="119" t="s">
        <v>50</v>
      </c>
      <c r="D731" s="119" t="s">
        <v>17</v>
      </c>
      <c r="E731" s="117" t="s">
        <v>371</v>
      </c>
      <c r="F731" s="120">
        <f t="shared" si="220"/>
        <v>4</v>
      </c>
      <c r="G731" s="121" t="str">
        <f t="shared" si="221"/>
        <v>Shawn</v>
      </c>
      <c r="H731" s="122">
        <f>IF($D731="",0,IFERROR(LOOKUP(2,1/(($D$3:D730=$D731)*($A$3:A730&lt;$A731)),$N$3:N730),'Guide &amp; Settings'!$C$41))</f>
        <v>1062.953806715856</v>
      </c>
      <c r="I731" s="123">
        <f t="shared" si="222"/>
        <v>0.27527646129541866</v>
      </c>
      <c r="J731" s="124">
        <f>IF($D731="",0,IF($F731&lt;2,0,IF($E731="Win",('Guide &amp; Settings'!$C$42/(($F731-1)*COUNTIFS($A$4:$A$1510,$A731,$E$4:$E$1510,"Win")))*SUMIFS($X$4:$X$1510,$A$4:$A$1510,$A731,$E$4:$E$1510,"Loss"),-('Guide &amp; Settings'!$C$42/($F731-1))*$X731)))</f>
        <v>-6.251695205093541</v>
      </c>
      <c r="K731" s="124">
        <f>IF($D731="",0,'Guide &amp; Settings'!$C$43*(IF($E731="Win",1,0)-$I731))</f>
        <v>-3.3033175355450242</v>
      </c>
      <c r="L731" s="125">
        <f>IF($D731="",0,'Guide &amp; Settings'!$C$44*IF($F731&gt;=3,$F731,0))</f>
        <v>4</v>
      </c>
      <c r="M731" s="124">
        <f t="shared" si="223"/>
        <v>-5.5550127406385652</v>
      </c>
      <c r="N731" s="122">
        <f t="shared" si="224"/>
        <v>1057.3987939752174</v>
      </c>
      <c r="O731" s="121" t="str">
        <f t="shared" si="225"/>
        <v>OK</v>
      </c>
      <c r="P731">
        <f t="shared" si="226"/>
        <v>1145.1160193609614</v>
      </c>
      <c r="Q731">
        <f t="shared" si="227"/>
        <v>0.38391501229890679</v>
      </c>
      <c r="R731">
        <f t="shared" si="228"/>
        <v>0.5</v>
      </c>
      <c r="S731">
        <f t="shared" si="229"/>
        <v>1.8163558106169297</v>
      </c>
      <c r="T731" s="89">
        <f t="shared" si="230"/>
        <v>8</v>
      </c>
      <c r="U731" s="126">
        <f>IF($D731="",0,IFERROR(LOOKUP(2,1/(($D$3:D730=$D731)*($C$3:C730=$C731)*($A$3:A730&lt;$A731)),$AB$3:AB730),1000))</f>
        <v>1025.1456607850155</v>
      </c>
      <c r="V731" s="126">
        <f t="shared" si="231"/>
        <v>1039.6872553738003</v>
      </c>
      <c r="W731">
        <f t="shared" si="232"/>
        <v>979.25929711427534</v>
      </c>
      <c r="X731">
        <f t="shared" si="233"/>
        <v>0.5860964254775195</v>
      </c>
      <c r="Y731">
        <f t="shared" si="234"/>
        <v>957.99561477495661</v>
      </c>
      <c r="Z731">
        <f t="shared" si="235"/>
        <v>0.59545112094928054</v>
      </c>
      <c r="AA731">
        <f>IF($D731="",0,IF($F731&lt;2,0,IF($E731="Win",('Guide &amp; Settings'!$C$42/(($F731-1)*COUNTIFS($A$4:$A$1510,$A731,$E$4:$E$1510,"Win")))*SUMIFS($Z$4:$Z$1510,$A$4:$A$1510,$A731,$E$4:$E$1510,"Loss"),-('Guide &amp; Settings'!$C$42/($F731-1))*$Z731)))</f>
        <v>-6.3514786234589922</v>
      </c>
      <c r="AB731" s="126">
        <f t="shared" si="236"/>
        <v>1018.7941821615565</v>
      </c>
      <c r="AC731" s="126">
        <f>IF($D731="","",IF($AD731=0,0,IF(COUNTIFS($D$4:$D731,$D731,$B$4:$B731,$B731)&gt;1,0,IF($B731&lt;'Guide &amp; Settings'!$C$50,0,IF(($B731-$AD731)/7-'Guide &amp; Settings'!$C$48&gt;=0,(INT(($B731-$AD731)/7-'Guide &amp; Settings'!$C$48)+1)*'Guide &amp; Settings'!$C$49,0)))))</f>
        <v>0</v>
      </c>
      <c r="AD731" s="142">
        <f t="shared" si="237"/>
        <v>46293</v>
      </c>
      <c r="AE731">
        <f t="shared" si="238"/>
        <v>1</v>
      </c>
      <c r="AF731">
        <f t="shared" si="239"/>
        <v>0</v>
      </c>
    </row>
    <row r="732" spans="1:32" x14ac:dyDescent="0.2">
      <c r="A732" s="117">
        <v>309</v>
      </c>
      <c r="B732" s="118">
        <v>46297</v>
      </c>
      <c r="C732" s="119" t="s">
        <v>50</v>
      </c>
      <c r="D732" s="119" t="s">
        <v>15</v>
      </c>
      <c r="E732" s="117" t="s">
        <v>371</v>
      </c>
      <c r="F732" s="120">
        <f t="shared" si="220"/>
        <v>4</v>
      </c>
      <c r="G732" s="121" t="str">
        <f t="shared" si="221"/>
        <v>Shawn</v>
      </c>
      <c r="H732" s="122">
        <f>IF($D732="",0,IFERROR(LOOKUP(2,1/(($D$3:D731=$D732)*($A$3:A731&lt;$A732)),$N$3:N731),'Guide &amp; Settings'!$C$41))</f>
        <v>1212.9807460185732</v>
      </c>
      <c r="I732" s="123">
        <f t="shared" si="222"/>
        <v>0.12954186413902052</v>
      </c>
      <c r="J732" s="124">
        <f>IF($D732="",0,IF($F732&lt;2,0,IF($E732="Win",('Guide &amp; Settings'!$C$42/(($F732-1)*COUNTIFS($A$4:$A$1510,$A732,$E$4:$E$1510,"Win")))*SUMIFS($X$4:$X$1510,$A$4:$A$1510,$A732,$E$4:$E$1510,"Loss"),-('Guide &amp; Settings'!$C$42/($F732-1))*$X732)))</f>
        <v>-5.7496280098497383</v>
      </c>
      <c r="K732" s="124">
        <f>IF($D732="",0,'Guide &amp; Settings'!$C$43*(IF($E732="Win",1,0)-$I732))</f>
        <v>-1.5545023696682463</v>
      </c>
      <c r="L732" s="125">
        <f>IF($D732="",0,'Guide &amp; Settings'!$C$44*IF($F732&gt;=3,$F732,0))</f>
        <v>4</v>
      </c>
      <c r="M732" s="124">
        <f t="shared" si="223"/>
        <v>-3.3041303795179848</v>
      </c>
      <c r="N732" s="122">
        <f t="shared" si="224"/>
        <v>1209.6766156390552</v>
      </c>
      <c r="O732" s="121" t="str">
        <f t="shared" si="225"/>
        <v>OK</v>
      </c>
      <c r="P732">
        <f t="shared" si="226"/>
        <v>1145.1160193609614</v>
      </c>
      <c r="Q732">
        <f t="shared" si="227"/>
        <v>0.59644175606217342</v>
      </c>
      <c r="R732">
        <f t="shared" si="228"/>
        <v>0.23529411764705882</v>
      </c>
      <c r="S732">
        <f t="shared" si="229"/>
        <v>1.8163558106169297</v>
      </c>
      <c r="T732" s="89">
        <f t="shared" si="230"/>
        <v>15</v>
      </c>
      <c r="U732" s="126">
        <f>IF($D732="",0,IFERROR(LOOKUP(2,1/(($D$3:D731=$D732)*($C$3:C731=$C732)*($A$3:A731&lt;$A732)),$AB$3:AB731),1000))</f>
        <v>937.58474743485863</v>
      </c>
      <c r="V732" s="126">
        <f t="shared" si="231"/>
        <v>1006.4337470807873</v>
      </c>
      <c r="W732">
        <f t="shared" si="232"/>
        <v>979.25929711427534</v>
      </c>
      <c r="X732">
        <f t="shared" si="233"/>
        <v>0.53902762592341302</v>
      </c>
      <c r="Y732">
        <f t="shared" si="234"/>
        <v>957.99561477495661</v>
      </c>
      <c r="Z732">
        <f t="shared" si="235"/>
        <v>0.47066014583568389</v>
      </c>
      <c r="AA732">
        <f>IF($D732="",0,IF($F732&lt;2,0,IF($E732="Win",('Guide &amp; Settings'!$C$42/(($F732-1)*COUNTIFS($A$4:$A$1510,$A732,$E$4:$E$1510,"Win")))*SUMIFS($Z$4:$Z$1510,$A$4:$A$1510,$A732,$E$4:$E$1510,"Loss"),-('Guide &amp; Settings'!$C$42/($F732-1))*$Z732)))</f>
        <v>-5.0203748889139614</v>
      </c>
      <c r="AB732" s="126">
        <f t="shared" si="236"/>
        <v>932.56437254594471</v>
      </c>
      <c r="AC732" s="126">
        <f>IF($D732="","",IF($AD732=0,0,IF(COUNTIFS($D$4:$D732,$D732,$B$4:$B732,$B732)&gt;1,0,IF($B732&lt;'Guide &amp; Settings'!$C$50,0,IF(($B732-$AD732)/7-'Guide &amp; Settings'!$C$48&gt;=0,(INT(($B732-$AD732)/7-'Guide &amp; Settings'!$C$48)+1)*'Guide &amp; Settings'!$C$49,0)))))</f>
        <v>0</v>
      </c>
      <c r="AD732" s="142">
        <f t="shared" si="237"/>
        <v>46290</v>
      </c>
      <c r="AE732">
        <f t="shared" si="238"/>
        <v>1</v>
      </c>
      <c r="AF732">
        <f t="shared" si="239"/>
        <v>0</v>
      </c>
    </row>
    <row r="733" spans="1:32" x14ac:dyDescent="0.2">
      <c r="A733" s="117">
        <v>309</v>
      </c>
      <c r="B733" s="118">
        <v>46297</v>
      </c>
      <c r="C733" s="119" t="s">
        <v>50</v>
      </c>
      <c r="D733" s="119" t="s">
        <v>22</v>
      </c>
      <c r="E733" s="117" t="s">
        <v>371</v>
      </c>
      <c r="F733" s="120">
        <f t="shared" si="220"/>
        <v>4</v>
      </c>
      <c r="G733" s="121" t="str">
        <f t="shared" si="221"/>
        <v>Shawn</v>
      </c>
      <c r="H733" s="122">
        <f>IF($D733="",0,IFERROR(LOOKUP(2,1/(($D$3:D732=$D733)*($A$3:A732&lt;$A733)),$N$3:N732),'Guide &amp; Settings'!$C$41))</f>
        <v>1199.7533284904514</v>
      </c>
      <c r="I733" s="123">
        <f t="shared" si="222"/>
        <v>0.3400473933649289</v>
      </c>
      <c r="J733" s="124">
        <f>IF($D733="",0,IF($F733&lt;2,0,IF($E733="Win",('Guide &amp; Settings'!$C$42/(($F733-1)*COUNTIFS($A$4:$A$1510,$A733,$E$4:$E$1510,"Win")))*SUMIFS($X$4:$X$1510,$A$4:$A$1510,$A733,$E$4:$E$1510,"Loss"),-('Guide &amp; Settings'!$C$42/($F733-1))*$X733)))</f>
        <v>-7.7009847463835985</v>
      </c>
      <c r="K733" s="124">
        <f>IF($D733="",0,'Guide &amp; Settings'!$C$43*(IF($E733="Win",1,0)-$I733))</f>
        <v>-4.080568720379147</v>
      </c>
      <c r="L733" s="125">
        <f>IF($D733="",0,'Guide &amp; Settings'!$C$44*IF($F733&gt;=3,$F733,0))</f>
        <v>4</v>
      </c>
      <c r="M733" s="124">
        <f t="shared" si="223"/>
        <v>-7.7815534667627446</v>
      </c>
      <c r="N733" s="122">
        <f t="shared" si="224"/>
        <v>1191.9717750236887</v>
      </c>
      <c r="O733" s="121" t="str">
        <f t="shared" si="225"/>
        <v>OK</v>
      </c>
      <c r="P733">
        <f t="shared" si="226"/>
        <v>1145.1160193609614</v>
      </c>
      <c r="Q733">
        <f t="shared" si="227"/>
        <v>0.57798757954569868</v>
      </c>
      <c r="R733">
        <f t="shared" si="228"/>
        <v>0.61764705882352944</v>
      </c>
      <c r="S733">
        <f t="shared" si="229"/>
        <v>1.8163558106169297</v>
      </c>
      <c r="T733" s="89">
        <f t="shared" si="230"/>
        <v>32</v>
      </c>
      <c r="U733" s="126">
        <f>IF($D733="",0,IFERROR(LOOKUP(2,1/(($D$3:D732=$D733)*($C$3:C732=$C733)*($A$3:A732&lt;$A733)),$AB$3:AB732),1000))</f>
        <v>1136.4771379903123</v>
      </c>
      <c r="V733" s="126">
        <f t="shared" si="231"/>
        <v>1145.027974544385</v>
      </c>
      <c r="W733">
        <f t="shared" si="232"/>
        <v>979.25929711427534</v>
      </c>
      <c r="X733">
        <f t="shared" si="233"/>
        <v>0.72196731997346242</v>
      </c>
      <c r="Y733">
        <f t="shared" si="234"/>
        <v>957.99561477495661</v>
      </c>
      <c r="Z733">
        <f t="shared" si="235"/>
        <v>0.73641583755922801</v>
      </c>
      <c r="AA733">
        <f>IF($D733="",0,IF($F733&lt;2,0,IF($E733="Win",('Guide &amp; Settings'!$C$42/(($F733-1)*COUNTIFS($A$4:$A$1510,$A733,$E$4:$E$1510,"Win")))*SUMIFS($Z$4:$Z$1510,$A$4:$A$1510,$A733,$E$4:$E$1510,"Loss"),-('Guide &amp; Settings'!$C$42/($F733-1))*$Z733)))</f>
        <v>-7.8551022672984319</v>
      </c>
      <c r="AB733" s="126">
        <f t="shared" si="236"/>
        <v>1128.6220357230138</v>
      </c>
      <c r="AC733" s="126">
        <f>IF($D733="","",IF($AD733=0,0,IF(COUNTIFS($D$4:$D733,$D733,$B$4:$B733,$B733)&gt;1,0,IF($B733&lt;'Guide &amp; Settings'!$C$50,0,IF(($B733-$AD733)/7-'Guide &amp; Settings'!$C$48&gt;=0,(INT(($B733-$AD733)/7-'Guide &amp; Settings'!$C$48)+1)*'Guide &amp; Settings'!$C$49,0)))))</f>
        <v>0</v>
      </c>
      <c r="AD733" s="142">
        <f t="shared" si="237"/>
        <v>46292</v>
      </c>
      <c r="AE733">
        <f t="shared" si="238"/>
        <v>1</v>
      </c>
      <c r="AF733">
        <f t="shared" si="239"/>
        <v>0</v>
      </c>
    </row>
    <row r="734" spans="1:32" x14ac:dyDescent="0.2">
      <c r="A734" s="117">
        <v>310</v>
      </c>
      <c r="B734" s="118">
        <v>46297</v>
      </c>
      <c r="C734" s="119" t="s">
        <v>50</v>
      </c>
      <c r="D734" s="119" t="s">
        <v>20</v>
      </c>
      <c r="E734" s="117" t="s">
        <v>370</v>
      </c>
      <c r="F734" s="120">
        <f t="shared" si="220"/>
        <v>3</v>
      </c>
      <c r="G734" s="121" t="str">
        <f t="shared" si="221"/>
        <v>Shawn</v>
      </c>
      <c r="H734" s="122">
        <f>IF($D734="",0,IFERROR(LOOKUP(2,1/(($D$3:D733=$D734)*($A$3:A733&lt;$A734)),$N$3:N733),'Guide &amp; Settings'!$C$41))</f>
        <v>1177.7567159478808</v>
      </c>
      <c r="I734" s="123">
        <f t="shared" si="222"/>
        <v>0.31108597285067874</v>
      </c>
      <c r="J734" s="124">
        <f>IF($D734="",0,IF($F734&lt;2,0,IF($E734="Win",('Guide &amp; Settings'!$C$42/(($F734-1)*COUNTIFS($A$4:$A$1510,$A734,$E$4:$E$1510,"Win")))*SUMIFS($X$4:$X$1510,$A$4:$A$1510,$A734,$E$4:$E$1510,"Loss"),-('Guide &amp; Settings'!$C$42/($F734-1))*$X734)))</f>
        <v>19.768920997132291</v>
      </c>
      <c r="K734" s="124">
        <f>IF($D734="",0,'Guide &amp; Settings'!$C$43*(IF($E734="Win",1,0)-$I734))</f>
        <v>8.2669683257918543</v>
      </c>
      <c r="L734" s="125">
        <f>IF($D734="",0,'Guide &amp; Settings'!$C$44*IF($F734&gt;=3,$F734,0))</f>
        <v>3</v>
      </c>
      <c r="M734" s="124">
        <f t="shared" si="223"/>
        <v>31.035889322924145</v>
      </c>
      <c r="N734" s="122">
        <f t="shared" si="224"/>
        <v>1208.7926052708049</v>
      </c>
      <c r="O734" s="121" t="str">
        <f t="shared" si="225"/>
        <v>OK</v>
      </c>
      <c r="P734">
        <f t="shared" si="226"/>
        <v>1177.7567159478808</v>
      </c>
      <c r="Q734">
        <f t="shared" si="227"/>
        <v>0.5</v>
      </c>
      <c r="R734">
        <f t="shared" si="228"/>
        <v>0.47619047619047616</v>
      </c>
      <c r="S734">
        <f t="shared" si="229"/>
        <v>1.5307359307359305</v>
      </c>
      <c r="T734" s="89">
        <f t="shared" si="230"/>
        <v>40</v>
      </c>
      <c r="U734" s="126">
        <f>IF($D734="",0,IFERROR(LOOKUP(2,1/(($D$3:D733=$D734)*($C$3:C733=$C734)*($A$3:A733&lt;$A734)),$AB$3:AB733),1000))</f>
        <v>977.22257055462796</v>
      </c>
      <c r="V734" s="126">
        <f t="shared" si="231"/>
        <v>999.50414226498935</v>
      </c>
      <c r="W734">
        <f t="shared" si="232"/>
        <v>999.50414226498935</v>
      </c>
      <c r="X734">
        <f t="shared" si="233"/>
        <v>0.5</v>
      </c>
      <c r="Y734">
        <f t="shared" si="234"/>
        <v>977.22257055462796</v>
      </c>
      <c r="Z734">
        <f t="shared" si="235"/>
        <v>0.5</v>
      </c>
      <c r="AA734">
        <f>IF($D734="",0,IF($F734&lt;2,0,IF($E734="Win",('Guide &amp; Settings'!$C$42/(($F734-1)*COUNTIFS($A$4:$A$1510,$A734,$E$4:$E$1510,"Win")))*SUMIFS($Z$4:$Z$1510,$A$4:$A$1510,$A734,$E$4:$E$1510,"Loss"),-('Guide &amp; Settings'!$C$42/($F734-1))*$Z734)))</f>
        <v>20.23368760822008</v>
      </c>
      <c r="AB734" s="126">
        <f t="shared" si="236"/>
        <v>997.45625816284803</v>
      </c>
      <c r="AC734" s="126">
        <f>IF($D734="","",IF($AD734=0,0,IF(COUNTIFS($D$4:$D734,$D734,$B$4:$B734,$B734)&gt;1,0,IF($B734&lt;'Guide &amp; Settings'!$C$50,0,IF(($B734-$AD734)/7-'Guide &amp; Settings'!$C$48&gt;=0,(INT(($B734-$AD734)/7-'Guide &amp; Settings'!$C$48)+1)*'Guide &amp; Settings'!$C$49,0)))))</f>
        <v>0</v>
      </c>
      <c r="AD734" s="142">
        <f t="shared" si="237"/>
        <v>46293</v>
      </c>
      <c r="AE734">
        <f t="shared" si="238"/>
        <v>1</v>
      </c>
      <c r="AF734">
        <f t="shared" si="239"/>
        <v>0</v>
      </c>
    </row>
    <row r="735" spans="1:32" x14ac:dyDescent="0.2">
      <c r="A735" s="117">
        <v>310</v>
      </c>
      <c r="B735" s="118">
        <v>46297</v>
      </c>
      <c r="C735" s="119" t="s">
        <v>50</v>
      </c>
      <c r="D735" s="119" t="s">
        <v>17</v>
      </c>
      <c r="E735" s="117" t="s">
        <v>371</v>
      </c>
      <c r="F735" s="120">
        <f t="shared" si="220"/>
        <v>3</v>
      </c>
      <c r="G735" s="121" t="str">
        <f t="shared" si="221"/>
        <v>Shawn</v>
      </c>
      <c r="H735" s="122">
        <f>IF($D735="",0,IFERROR(LOOKUP(2,1/(($D$3:D734=$D735)*($A$3:A734&lt;$A735)),$N$3:N734),'Guide &amp; Settings'!$C$41))</f>
        <v>1057.3987939752174</v>
      </c>
      <c r="I735" s="123">
        <f t="shared" si="222"/>
        <v>0.29694570135746612</v>
      </c>
      <c r="J735" s="124">
        <f>IF($D735="",0,IF($F735&lt;2,0,IF($E735="Win",('Guide &amp; Settings'!$C$42/(($F735-1)*COUNTIFS($A$4:$A$1510,$A735,$E$4:$E$1510,"Win")))*SUMIFS($X$4:$X$1510,$A$4:$A$1510,$A735,$E$4:$E$1510,"Loss"),-('Guide &amp; Settings'!$C$42/($F735-1))*$X735)))</f>
        <v>-8.7593424990886799</v>
      </c>
      <c r="K735" s="124">
        <f>IF($D735="",0,'Guide &amp; Settings'!$C$43*(IF($E735="Win",1,0)-$I735))</f>
        <v>-3.5633484162895934</v>
      </c>
      <c r="L735" s="125">
        <f>IF($D735="",0,'Guide &amp; Settings'!$C$44*IF($F735&gt;=3,$F735,0))</f>
        <v>3</v>
      </c>
      <c r="M735" s="124">
        <f t="shared" si="223"/>
        <v>-9.3226909153782742</v>
      </c>
      <c r="N735" s="122">
        <f t="shared" si="224"/>
        <v>1048.0761030598392</v>
      </c>
      <c r="O735" s="121" t="str">
        <f t="shared" si="225"/>
        <v>OK</v>
      </c>
      <c r="P735">
        <f t="shared" si="226"/>
        <v>1177.7567159478808</v>
      </c>
      <c r="Q735">
        <f t="shared" si="227"/>
        <v>0.33340251206962984</v>
      </c>
      <c r="R735">
        <f t="shared" si="228"/>
        <v>0.45454545454545453</v>
      </c>
      <c r="S735">
        <f t="shared" si="229"/>
        <v>1.5307359307359305</v>
      </c>
      <c r="T735" s="89">
        <f t="shared" si="230"/>
        <v>9</v>
      </c>
      <c r="U735" s="126">
        <f>IF($D735="",0,IFERROR(LOOKUP(2,1/(($D$3:D734=$D735)*($C$3:C734=$C735)*($A$3:A734&lt;$A735)),$AB$3:AB734),1000))</f>
        <v>1018.7941821615565</v>
      </c>
      <c r="V735" s="126">
        <f t="shared" si="231"/>
        <v>1032.5815435235781</v>
      </c>
      <c r="W735">
        <f t="shared" si="232"/>
        <v>999.50414226498935</v>
      </c>
      <c r="X735">
        <f t="shared" si="233"/>
        <v>0.54745890619304249</v>
      </c>
      <c r="Y735">
        <f t="shared" si="234"/>
        <v>977.22257055462796</v>
      </c>
      <c r="Z735">
        <f t="shared" si="235"/>
        <v>0.55954247704241833</v>
      </c>
      <c r="AA735">
        <f>IF($D735="",0,IF($F735&lt;2,0,IF($E735="Win",('Guide &amp; Settings'!$C$42/(($F735-1)*COUNTIFS($A$4:$A$1510,$A735,$E$4:$E$1510,"Win")))*SUMIFS($Z$4:$Z$1510,$A$4:$A$1510,$A735,$E$4:$E$1510,"Loss"),-('Guide &amp; Settings'!$C$42/($F735-1))*$Z735)))</f>
        <v>-8.9526796326786933</v>
      </c>
      <c r="AB735" s="126">
        <f t="shared" si="236"/>
        <v>1009.8415025288778</v>
      </c>
      <c r="AC735" s="126">
        <f>IF($D735="","",IF($AD735=0,0,IF(COUNTIFS($D$4:$D735,$D735,$B$4:$B735,$B735)&gt;1,0,IF($B735&lt;'Guide &amp; Settings'!$C$50,0,IF(($B735-$AD735)/7-'Guide &amp; Settings'!$C$48&gt;=0,(INT(($B735-$AD735)/7-'Guide &amp; Settings'!$C$48)+1)*'Guide &amp; Settings'!$C$49,0)))))</f>
        <v>0</v>
      </c>
      <c r="AD735" s="142">
        <f t="shared" si="237"/>
        <v>46293</v>
      </c>
      <c r="AE735">
        <f t="shared" si="238"/>
        <v>1</v>
      </c>
      <c r="AF735">
        <f t="shared" si="239"/>
        <v>0</v>
      </c>
    </row>
    <row r="736" spans="1:32" x14ac:dyDescent="0.2">
      <c r="A736" s="117">
        <v>310</v>
      </c>
      <c r="B736" s="118">
        <v>46297</v>
      </c>
      <c r="C736" s="119" t="s">
        <v>50</v>
      </c>
      <c r="D736" s="119" t="s">
        <v>22</v>
      </c>
      <c r="E736" s="117" t="s">
        <v>371</v>
      </c>
      <c r="F736" s="120">
        <f t="shared" si="220"/>
        <v>3</v>
      </c>
      <c r="G736" s="121" t="str">
        <f t="shared" si="221"/>
        <v>Shawn</v>
      </c>
      <c r="H736" s="122">
        <f>IF($D736="",0,IFERROR(LOOKUP(2,1/(($D$3:D735=$D736)*($A$3:A735&lt;$A736)),$N$3:N735),'Guide &amp; Settings'!$C$41))</f>
        <v>1191.9717750236887</v>
      </c>
      <c r="I736" s="123">
        <f t="shared" si="222"/>
        <v>0.39196832579185525</v>
      </c>
      <c r="J736" s="124">
        <f>IF($D736="",0,IF($F736&lt;2,0,IF($E736="Win",('Guide &amp; Settings'!$C$42/(($F736-1)*COUNTIFS($A$4:$A$1510,$A736,$E$4:$E$1510,"Win")))*SUMIFS($X$4:$X$1510,$A$4:$A$1510,$A736,$E$4:$E$1510,"Loss"),-('Guide &amp; Settings'!$C$42/($F736-1))*$X736)))</f>
        <v>-11.009578498043609</v>
      </c>
      <c r="K736" s="124">
        <f>IF($D736="",0,'Guide &amp; Settings'!$C$43*(IF($E736="Win",1,0)-$I736))</f>
        <v>-4.7036199095022635</v>
      </c>
      <c r="L736" s="125">
        <f>IF($D736="",0,'Guide &amp; Settings'!$C$44*IF($F736&gt;=3,$F736,0))</f>
        <v>3</v>
      </c>
      <c r="M736" s="124">
        <f t="shared" si="223"/>
        <v>-12.713198407545873</v>
      </c>
      <c r="N736" s="122">
        <f t="shared" si="224"/>
        <v>1179.2585766161428</v>
      </c>
      <c r="O736" s="121" t="str">
        <f t="shared" si="225"/>
        <v>OK</v>
      </c>
      <c r="P736">
        <f t="shared" si="226"/>
        <v>1177.7567159478808</v>
      </c>
      <c r="Q736">
        <f t="shared" si="227"/>
        <v>0.52044570719717509</v>
      </c>
      <c r="R736">
        <f t="shared" si="228"/>
        <v>0.6</v>
      </c>
      <c r="S736">
        <f t="shared" si="229"/>
        <v>1.5307359307359305</v>
      </c>
      <c r="T736" s="89">
        <f t="shared" si="230"/>
        <v>33</v>
      </c>
      <c r="U736" s="126">
        <f>IF($D736="",0,IFERROR(LOOKUP(2,1/(($D$3:D735=$D736)*($C$3:C735=$C736)*($A$3:A735&lt;$A736)),$AB$3:AB735),1000))</f>
        <v>1128.6220357230138</v>
      </c>
      <c r="V736" s="126">
        <f t="shared" si="231"/>
        <v>1136.9575277362605</v>
      </c>
      <c r="W736">
        <f t="shared" si="232"/>
        <v>999.50414226498935</v>
      </c>
      <c r="X736">
        <f t="shared" si="233"/>
        <v>0.68809865612772558</v>
      </c>
      <c r="Y736">
        <f t="shared" si="234"/>
        <v>977.22257055462796</v>
      </c>
      <c r="Z736">
        <f t="shared" si="235"/>
        <v>0.70506299847133669</v>
      </c>
      <c r="AA736">
        <f>IF($D736="",0,IF($F736&lt;2,0,IF($E736="Win",('Guide &amp; Settings'!$C$42/(($F736-1)*COUNTIFS($A$4:$A$1510,$A736,$E$4:$E$1510,"Win")))*SUMIFS($Z$4:$Z$1510,$A$4:$A$1510,$A736,$E$4:$E$1510,"Loss"),-('Guide &amp; Settings'!$C$42/($F736-1))*$Z736)))</f>
        <v>-11.281007975541387</v>
      </c>
      <c r="AB736" s="126">
        <f t="shared" si="236"/>
        <v>1117.3410277474725</v>
      </c>
      <c r="AC736" s="126">
        <f>IF($D736="","",IF($AD736=0,0,IF(COUNTIFS($D$4:$D736,$D736,$B$4:$B736,$B736)&gt;1,0,IF($B736&lt;'Guide &amp; Settings'!$C$50,0,IF(($B736-$AD736)/7-'Guide &amp; Settings'!$C$48&gt;=0,(INT(($B736-$AD736)/7-'Guide &amp; Settings'!$C$48)+1)*'Guide &amp; Settings'!$C$49,0)))))</f>
        <v>0</v>
      </c>
      <c r="AD736" s="142">
        <f t="shared" si="237"/>
        <v>46292</v>
      </c>
      <c r="AE736">
        <f t="shared" si="238"/>
        <v>1</v>
      </c>
      <c r="AF736">
        <f t="shared" si="239"/>
        <v>0</v>
      </c>
    </row>
    <row r="737" spans="1:32" x14ac:dyDescent="0.2">
      <c r="A737" s="117">
        <v>311</v>
      </c>
      <c r="B737" s="118">
        <v>46297</v>
      </c>
      <c r="C737" s="119" t="s">
        <v>50</v>
      </c>
      <c r="D737" s="119" t="s">
        <v>20</v>
      </c>
      <c r="E737" s="117" t="s">
        <v>370</v>
      </c>
      <c r="F737" s="120">
        <f t="shared" si="220"/>
        <v>2</v>
      </c>
      <c r="G737" s="121" t="str">
        <f t="shared" si="221"/>
        <v>Shawn</v>
      </c>
      <c r="H737" s="122">
        <f>IF($D737="",0,IFERROR(LOOKUP(2,1/(($D$3:D736=$D737)*($A$3:A736&lt;$A737)),$N$3:N736),'Guide &amp; Settings'!$C$41))</f>
        <v>1208.7926052708049</v>
      </c>
      <c r="I737" s="123">
        <f t="shared" si="222"/>
        <v>0.4556962025316455</v>
      </c>
      <c r="J737" s="124">
        <f>IF($D737="",0,IF($F737&lt;2,0,IF($E737="Win",('Guide &amp; Settings'!$C$42/(($F737-1)*COUNTIFS($A$4:$A$1510,$A737,$E$4:$E$1510,"Win")))*SUMIFS($X$4:$X$1510,$A$4:$A$1510,$A737,$E$4:$E$1510,"Loss"),-('Guide &amp; Settings'!$C$42/($F737-1))*$X737)))</f>
        <v>20.687155090011228</v>
      </c>
      <c r="K737" s="124">
        <f>IF($D737="",0,'Guide &amp; Settings'!$C$43*(IF($E737="Win",1,0)-$I737))</f>
        <v>6.5316455696202533</v>
      </c>
      <c r="L737" s="125">
        <f>IF($D737="",0,'Guide &amp; Settings'!$C$44*IF($F737&gt;=3,$F737,0))</f>
        <v>0</v>
      </c>
      <c r="M737" s="124">
        <f t="shared" si="223"/>
        <v>27.21880065963148</v>
      </c>
      <c r="N737" s="122">
        <f t="shared" si="224"/>
        <v>1236.0114059304362</v>
      </c>
      <c r="O737" s="121" t="str">
        <f t="shared" si="225"/>
        <v>OK</v>
      </c>
      <c r="P737">
        <f t="shared" si="226"/>
        <v>1208.7926052708049</v>
      </c>
      <c r="Q737">
        <f t="shared" si="227"/>
        <v>0.5</v>
      </c>
      <c r="R737">
        <f t="shared" si="228"/>
        <v>0.48837209302325579</v>
      </c>
      <c r="S737">
        <f t="shared" si="229"/>
        <v>1.0717054263565893</v>
      </c>
      <c r="T737" s="89">
        <f t="shared" si="230"/>
        <v>41</v>
      </c>
      <c r="U737" s="126">
        <f>IF($D737="",0,IFERROR(LOOKUP(2,1/(($D$3:D736=$D737)*($C$3:C736=$C737)*($A$3:A736&lt;$A737)),$AB$3:AB736),1000))</f>
        <v>997.45625816284803</v>
      </c>
      <c r="V737" s="126">
        <f t="shared" si="231"/>
        <v>1020.4276002397999</v>
      </c>
      <c r="W737">
        <f t="shared" si="232"/>
        <v>1020.4276002397999</v>
      </c>
      <c r="X737">
        <f t="shared" si="233"/>
        <v>0.5</v>
      </c>
      <c r="Y737">
        <f t="shared" si="234"/>
        <v>997.45625816284803</v>
      </c>
      <c r="Z737">
        <f t="shared" si="235"/>
        <v>0.5</v>
      </c>
      <c r="AA737">
        <f>IF($D737="",0,IF($F737&lt;2,0,IF($E737="Win",('Guide &amp; Settings'!$C$42/(($F737-1)*COUNTIFS($A$4:$A$1510,$A737,$E$4:$E$1510,"Win")))*SUMIFS($Z$4:$Z$1510,$A$4:$A$1510,$A737,$E$4:$E$1510,"Loss"),-('Guide &amp; Settings'!$C$42/($F737-1))*$Z737)))</f>
        <v>21.311740402669862</v>
      </c>
      <c r="AB737" s="126">
        <f t="shared" si="236"/>
        <v>1018.7679985655179</v>
      </c>
      <c r="AC737" s="126">
        <f>IF($D737="","",IF($AD737=0,0,IF(COUNTIFS($D$4:$D737,$D737,$B$4:$B737,$B737)&gt;1,0,IF($B737&lt;'Guide &amp; Settings'!$C$50,0,IF(($B737-$AD737)/7-'Guide &amp; Settings'!$C$48&gt;=0,(INT(($B737-$AD737)/7-'Guide &amp; Settings'!$C$48)+1)*'Guide &amp; Settings'!$C$49,0)))))</f>
        <v>0</v>
      </c>
      <c r="AD737" s="142">
        <f t="shared" si="237"/>
        <v>46293</v>
      </c>
      <c r="AE737">
        <f t="shared" si="238"/>
        <v>1</v>
      </c>
      <c r="AF737">
        <f t="shared" si="239"/>
        <v>0</v>
      </c>
    </row>
    <row r="738" spans="1:32" x14ac:dyDescent="0.2">
      <c r="A738" s="117">
        <v>311</v>
      </c>
      <c r="B738" s="118">
        <v>46297</v>
      </c>
      <c r="C738" s="119" t="s">
        <v>50</v>
      </c>
      <c r="D738" s="119" t="s">
        <v>22</v>
      </c>
      <c r="E738" s="117" t="s">
        <v>371</v>
      </c>
      <c r="F738" s="120">
        <f t="shared" si="220"/>
        <v>2</v>
      </c>
      <c r="G738" s="121" t="str">
        <f t="shared" si="221"/>
        <v>Shawn</v>
      </c>
      <c r="H738" s="122">
        <f>IF($D738="",0,IFERROR(LOOKUP(2,1/(($D$3:D737=$D738)*($A$3:A737&lt;$A738)),$N$3:N737),'Guide &amp; Settings'!$C$41))</f>
        <v>1179.2585766161428</v>
      </c>
      <c r="I738" s="123">
        <f t="shared" si="222"/>
        <v>0.54430379746835444</v>
      </c>
      <c r="J738" s="124">
        <f>IF($D738="",0,IF($F738&lt;2,0,IF($E738="Win",('Guide &amp; Settings'!$C$42/(($F738-1)*COUNTIFS($A$4:$A$1510,$A738,$E$4:$E$1510,"Win")))*SUMIFS($X$4:$X$1510,$A$4:$A$1510,$A738,$E$4:$E$1510,"Loss"),-('Guide &amp; Settings'!$C$42/($F738-1))*$X738)))</f>
        <v>-20.687155090011228</v>
      </c>
      <c r="K738" s="124">
        <f>IF($D738="",0,'Guide &amp; Settings'!$C$43*(IF($E738="Win",1,0)-$I738))</f>
        <v>-6.5316455696202533</v>
      </c>
      <c r="L738" s="125">
        <f>IF($D738="",0,'Guide &amp; Settings'!$C$44*IF($F738&gt;=3,$F738,0))</f>
        <v>0</v>
      </c>
      <c r="M738" s="124">
        <f t="shared" si="223"/>
        <v>-27.21880065963148</v>
      </c>
      <c r="N738" s="122">
        <f t="shared" si="224"/>
        <v>1152.0397759565114</v>
      </c>
      <c r="O738" s="121" t="str">
        <f t="shared" si="225"/>
        <v>OK</v>
      </c>
      <c r="P738">
        <f t="shared" si="226"/>
        <v>1208.7926052708049</v>
      </c>
      <c r="Q738">
        <f t="shared" si="227"/>
        <v>0.4575991961400418</v>
      </c>
      <c r="R738">
        <f t="shared" si="228"/>
        <v>0.58333333333333337</v>
      </c>
      <c r="S738">
        <f t="shared" si="229"/>
        <v>1.0717054263565893</v>
      </c>
      <c r="T738" s="89">
        <f t="shared" si="230"/>
        <v>34</v>
      </c>
      <c r="U738" s="126">
        <f>IF($D738="",0,IFERROR(LOOKUP(2,1/(($D$3:D737=$D738)*($C$3:C737=$C738)*($A$3:A737&lt;$A738)),$AB$3:AB737),1000))</f>
        <v>1117.3410277474725</v>
      </c>
      <c r="V738" s="126">
        <f t="shared" si="231"/>
        <v>1125.2791750383276</v>
      </c>
      <c r="W738">
        <f t="shared" si="232"/>
        <v>1020.4276002397999</v>
      </c>
      <c r="X738">
        <f t="shared" si="233"/>
        <v>0.64647359656285086</v>
      </c>
      <c r="Y738">
        <f t="shared" si="234"/>
        <v>997.45625816284803</v>
      </c>
      <c r="Z738">
        <f t="shared" si="235"/>
        <v>0.6659918875834332</v>
      </c>
      <c r="AA738">
        <f>IF($D738="",0,IF($F738&lt;2,0,IF($E738="Win",('Guide &amp; Settings'!$C$42/(($F738-1)*COUNTIFS($A$4:$A$1510,$A738,$E$4:$E$1510,"Win")))*SUMIFS($Z$4:$Z$1510,$A$4:$A$1510,$A738,$E$4:$E$1510,"Loss"),-('Guide &amp; Settings'!$C$42/($F738-1))*$Z738)))</f>
        <v>-21.311740402669862</v>
      </c>
      <c r="AB738" s="126">
        <f t="shared" si="236"/>
        <v>1096.0292873448027</v>
      </c>
      <c r="AC738" s="126">
        <f>IF($D738="","",IF($AD738=0,0,IF(COUNTIFS($D$4:$D738,$D738,$B$4:$B738,$B738)&gt;1,0,IF($B738&lt;'Guide &amp; Settings'!$C$50,0,IF(($B738-$AD738)/7-'Guide &amp; Settings'!$C$48&gt;=0,(INT(($B738-$AD738)/7-'Guide &amp; Settings'!$C$48)+1)*'Guide &amp; Settings'!$C$49,0)))))</f>
        <v>0</v>
      </c>
      <c r="AD738" s="142">
        <f t="shared" si="237"/>
        <v>46292</v>
      </c>
      <c r="AE738">
        <f t="shared" si="238"/>
        <v>1</v>
      </c>
      <c r="AF738">
        <f t="shared" si="239"/>
        <v>0</v>
      </c>
    </row>
    <row r="739" spans="1:32" x14ac:dyDescent="0.2">
      <c r="A739" s="117">
        <v>312</v>
      </c>
      <c r="B739" s="118">
        <v>46298</v>
      </c>
      <c r="C739" s="119" t="s">
        <v>50</v>
      </c>
      <c r="D739" s="119" t="s">
        <v>20</v>
      </c>
      <c r="E739" s="117" t="s">
        <v>371</v>
      </c>
      <c r="F739" s="120">
        <f t="shared" si="220"/>
        <v>2</v>
      </c>
      <c r="G739" s="121" t="str">
        <f t="shared" si="221"/>
        <v>Daniel (Ferret)</v>
      </c>
      <c r="H739" s="122">
        <f>IF($D739="",0,IFERROR(LOOKUP(2,1/(($D$3:D738=$D739)*($A$3:A738&lt;$A739)),$N$3:N738),'Guide &amp; Settings'!$C$41))</f>
        <v>1236.0114059304362</v>
      </c>
      <c r="I739" s="123">
        <f t="shared" si="222"/>
        <v>0.46835443037974683</v>
      </c>
      <c r="J739" s="124">
        <f>IF($D739="",0,IF($F739&lt;2,0,IF($E739="Win",('Guide &amp; Settings'!$C$42/(($F739-1)*COUNTIFS($A$4:$A$1510,$A739,$E$4:$E$1510,"Win")))*SUMIFS($X$4:$X$1510,$A$4:$A$1510,$A739,$E$4:$E$1510,"Loss"),-('Guide &amp; Settings'!$C$42/($F739-1))*$X739)))</f>
        <v>-13.212589229343518</v>
      </c>
      <c r="K739" s="124">
        <f>IF($D739="",0,'Guide &amp; Settings'!$C$43*(IF($E739="Win",1,0)-$I739))</f>
        <v>-5.6202531645569618</v>
      </c>
      <c r="L739" s="125">
        <f>IF($D739="",0,'Guide &amp; Settings'!$C$44*IF($F739&gt;=3,$F739,0))</f>
        <v>0</v>
      </c>
      <c r="M739" s="124">
        <f t="shared" si="223"/>
        <v>-18.832842393900478</v>
      </c>
      <c r="N739" s="122">
        <f t="shared" si="224"/>
        <v>1217.1785635365359</v>
      </c>
      <c r="O739" s="121" t="str">
        <f t="shared" si="225"/>
        <v>OK</v>
      </c>
      <c r="P739">
        <f t="shared" si="226"/>
        <v>1152.0397759565114</v>
      </c>
      <c r="Q739">
        <f t="shared" si="227"/>
        <v>0.6185455901043827</v>
      </c>
      <c r="R739">
        <f t="shared" si="228"/>
        <v>0.5</v>
      </c>
      <c r="S739">
        <f t="shared" si="229"/>
        <v>1.0675675675675675</v>
      </c>
      <c r="T739" s="89">
        <f t="shared" si="230"/>
        <v>42</v>
      </c>
      <c r="U739" s="126">
        <f>IF($D739="",0,IFERROR(LOOKUP(2,1/(($D$3:D738=$D739)*($C$3:C738=$C739)*($A$3:A738&lt;$A739)),$AB$3:AB738),1000))</f>
        <v>1018.7679985655179</v>
      </c>
      <c r="V739" s="126">
        <f t="shared" si="231"/>
        <v>1041.87899934902</v>
      </c>
      <c r="W739">
        <f t="shared" si="232"/>
        <v>1103.0305984212664</v>
      </c>
      <c r="X739">
        <f t="shared" si="233"/>
        <v>0.41289341341698493</v>
      </c>
      <c r="Y739">
        <f t="shared" si="234"/>
        <v>1096.0292873448027</v>
      </c>
      <c r="Z739">
        <f t="shared" si="235"/>
        <v>0.39060931150133921</v>
      </c>
      <c r="AA739">
        <f>IF($D739="",0,IF($F739&lt;2,0,IF($E739="Win",('Guide &amp; Settings'!$C$42/(($F739-1)*COUNTIFS($A$4:$A$1510,$A739,$E$4:$E$1510,"Win")))*SUMIFS($Z$4:$Z$1510,$A$4:$A$1510,$A739,$E$4:$E$1510,"Loss"),-('Guide &amp; Settings'!$C$42/($F739-1))*$Z739)))</f>
        <v>-12.499497968042855</v>
      </c>
      <c r="AB739" s="126">
        <f t="shared" si="236"/>
        <v>1006.2685005974751</v>
      </c>
      <c r="AC739" s="126">
        <f>IF($D739="","",IF($AD739=0,0,IF(COUNTIFS($D$4:$D739,$D739,$B$4:$B739,$B739)&gt;1,0,IF($B739&lt;'Guide &amp; Settings'!$C$50,0,IF(($B739-$AD739)/7-'Guide &amp; Settings'!$C$48&gt;=0,(INT(($B739-$AD739)/7-'Guide &amp; Settings'!$C$48)+1)*'Guide &amp; Settings'!$C$49,0)))))</f>
        <v>0</v>
      </c>
      <c r="AD739" s="142">
        <f t="shared" si="237"/>
        <v>46297</v>
      </c>
      <c r="AE739">
        <f t="shared" si="238"/>
        <v>1</v>
      </c>
      <c r="AF739">
        <f t="shared" si="239"/>
        <v>0</v>
      </c>
    </row>
    <row r="740" spans="1:32" x14ac:dyDescent="0.2">
      <c r="A740" s="117">
        <v>312</v>
      </c>
      <c r="B740" s="118">
        <v>46298</v>
      </c>
      <c r="C740" s="119" t="s">
        <v>50</v>
      </c>
      <c r="D740" s="119" t="s">
        <v>22</v>
      </c>
      <c r="E740" s="117" t="s">
        <v>370</v>
      </c>
      <c r="F740" s="120">
        <f t="shared" si="220"/>
        <v>2</v>
      </c>
      <c r="G740" s="121" t="str">
        <f t="shared" si="221"/>
        <v>Daniel (Ferret)</v>
      </c>
      <c r="H740" s="122">
        <f>IF($D740="",0,IFERROR(LOOKUP(2,1/(($D$3:D739=$D740)*($A$3:A739&lt;$A740)),$N$3:N739),'Guide &amp; Settings'!$C$41))</f>
        <v>1152.0397759565114</v>
      </c>
      <c r="I740" s="123">
        <f t="shared" si="222"/>
        <v>0.53164556962025311</v>
      </c>
      <c r="J740" s="124">
        <f>IF($D740="",0,IF($F740&lt;2,0,IF($E740="Win",('Guide &amp; Settings'!$C$42/(($F740-1)*COUNTIFS($A$4:$A$1510,$A740,$E$4:$E$1510,"Win")))*SUMIFS($X$4:$X$1510,$A$4:$A$1510,$A740,$E$4:$E$1510,"Loss"),-('Guide &amp; Settings'!$C$42/($F740-1))*$X740)))</f>
        <v>13.212589229343518</v>
      </c>
      <c r="K740" s="124">
        <f>IF($D740="",0,'Guide &amp; Settings'!$C$43*(IF($E740="Win",1,0)-$I740))</f>
        <v>5.6202531645569627</v>
      </c>
      <c r="L740" s="125">
        <f>IF($D740="",0,'Guide &amp; Settings'!$C$44*IF($F740&gt;=3,$F740,0))</f>
        <v>0</v>
      </c>
      <c r="M740" s="124">
        <f t="shared" si="223"/>
        <v>18.832842393900481</v>
      </c>
      <c r="N740" s="122">
        <f t="shared" si="224"/>
        <v>1170.872618350412</v>
      </c>
      <c r="O740" s="121" t="str">
        <f t="shared" si="225"/>
        <v>OK</v>
      </c>
      <c r="P740">
        <f t="shared" si="226"/>
        <v>1152.0397759565114</v>
      </c>
      <c r="Q740">
        <f t="shared" si="227"/>
        <v>0.5</v>
      </c>
      <c r="R740">
        <f t="shared" si="228"/>
        <v>0.56756756756756754</v>
      </c>
      <c r="S740">
        <f t="shared" si="229"/>
        <v>1.0675675675675675</v>
      </c>
      <c r="T740" s="89">
        <f t="shared" si="230"/>
        <v>35</v>
      </c>
      <c r="U740" s="126">
        <f>IF($D740="",0,IFERROR(LOOKUP(2,1/(($D$3:D739=$D740)*($C$3:C739=$C740)*($A$3:A739&lt;$A740)),$AB$3:AB739),1000))</f>
        <v>1096.0292873448027</v>
      </c>
      <c r="V740" s="126">
        <f t="shared" si="231"/>
        <v>1103.0305984212664</v>
      </c>
      <c r="W740">
        <f t="shared" si="232"/>
        <v>1103.0305984212664</v>
      </c>
      <c r="X740">
        <f t="shared" si="233"/>
        <v>0.5</v>
      </c>
      <c r="Y740">
        <f t="shared" si="234"/>
        <v>1096.0292873448027</v>
      </c>
      <c r="Z740">
        <f t="shared" si="235"/>
        <v>0.5</v>
      </c>
      <c r="AA740">
        <f>IF($D740="",0,IF($F740&lt;2,0,IF($E740="Win",('Guide &amp; Settings'!$C$42/(($F740-1)*COUNTIFS($A$4:$A$1510,$A740,$E$4:$E$1510,"Win")))*SUMIFS($Z$4:$Z$1510,$A$4:$A$1510,$A740,$E$4:$E$1510,"Loss"),-('Guide &amp; Settings'!$C$42/($F740-1))*$Z740)))</f>
        <v>12.499497968042855</v>
      </c>
      <c r="AB740" s="126">
        <f t="shared" si="236"/>
        <v>1108.5287853128455</v>
      </c>
      <c r="AC740" s="126">
        <f>IF($D740="","",IF($AD740=0,0,IF(COUNTIFS($D$4:$D740,$D740,$B$4:$B740,$B740)&gt;1,0,IF($B740&lt;'Guide &amp; Settings'!$C$50,0,IF(($B740-$AD740)/7-'Guide &amp; Settings'!$C$48&gt;=0,(INT(($B740-$AD740)/7-'Guide &amp; Settings'!$C$48)+1)*'Guide &amp; Settings'!$C$49,0)))))</f>
        <v>0</v>
      </c>
      <c r="AD740" s="142">
        <f t="shared" si="237"/>
        <v>46297</v>
      </c>
      <c r="AE740">
        <f t="shared" si="238"/>
        <v>1</v>
      </c>
      <c r="AF740">
        <f t="shared" si="239"/>
        <v>0</v>
      </c>
    </row>
    <row r="741" spans="1:32" x14ac:dyDescent="0.2">
      <c r="A741" s="117">
        <v>313</v>
      </c>
      <c r="B741" s="118">
        <v>46298</v>
      </c>
      <c r="C741" s="119" t="s">
        <v>50</v>
      </c>
      <c r="D741" s="119" t="s">
        <v>20</v>
      </c>
      <c r="E741" s="117" t="s">
        <v>371</v>
      </c>
      <c r="F741" s="120">
        <f t="shared" si="220"/>
        <v>2</v>
      </c>
      <c r="G741" s="121" t="str">
        <f t="shared" si="221"/>
        <v>Daniel (Ferret)</v>
      </c>
      <c r="H741" s="122">
        <f>IF($D741="",0,IFERROR(LOOKUP(2,1/(($D$3:D740=$D741)*($A$3:A740&lt;$A741)),$N$3:N740),'Guide &amp; Settings'!$C$41))</f>
        <v>1217.1785635365359</v>
      </c>
      <c r="I741" s="123">
        <f t="shared" si="222"/>
        <v>0.45783132530120479</v>
      </c>
      <c r="J741" s="124">
        <f>IF($D741="",0,IF($F741&lt;2,0,IF($E741="Win",('Guide &amp; Settings'!$C$42/(($F741-1)*COUNTIFS($A$4:$A$1510,$A741,$E$4:$E$1510,"Win")))*SUMIFS($X$4:$X$1510,$A$4:$A$1510,$A741,$E$4:$E$1510,"Loss"),-('Guide &amp; Settings'!$C$42/($F741-1))*$X741)))</f>
        <v>-12.036551551838691</v>
      </c>
      <c r="K741" s="124">
        <f>IF($D741="",0,'Guide &amp; Settings'!$C$43*(IF($E741="Win",1,0)-$I741))</f>
        <v>-5.4939759036144578</v>
      </c>
      <c r="L741" s="125">
        <f>IF($D741="",0,'Guide &amp; Settings'!$C$44*IF($F741&gt;=3,$F741,0))</f>
        <v>0</v>
      </c>
      <c r="M741" s="124">
        <f t="shared" si="223"/>
        <v>-17.53052745545315</v>
      </c>
      <c r="N741" s="122">
        <f t="shared" si="224"/>
        <v>1199.6480360810826</v>
      </c>
      <c r="O741" s="121" t="str">
        <f t="shared" si="225"/>
        <v>OK</v>
      </c>
      <c r="P741">
        <f t="shared" si="226"/>
        <v>1170.872618350412</v>
      </c>
      <c r="Q741">
        <f t="shared" si="227"/>
        <v>0.56624781460668461</v>
      </c>
      <c r="R741">
        <f t="shared" si="228"/>
        <v>0.48888888888888887</v>
      </c>
      <c r="S741">
        <f t="shared" si="229"/>
        <v>1.0678362573099416</v>
      </c>
      <c r="T741" s="89">
        <f t="shared" si="230"/>
        <v>43</v>
      </c>
      <c r="U741" s="126">
        <f>IF($D741="",0,IFERROR(LOOKUP(2,1/(($D$3:D740=$D741)*($C$3:C740=$C741)*($A$3:A740&lt;$A741)),$AB$3:AB740),1000))</f>
        <v>1006.2685005974751</v>
      </c>
      <c r="V741" s="126">
        <f t="shared" si="231"/>
        <v>1028.2382988202939</v>
      </c>
      <c r="W741">
        <f t="shared" si="232"/>
        <v>1116.1316917808413</v>
      </c>
      <c r="X741">
        <f t="shared" si="233"/>
        <v>0.37614223599495911</v>
      </c>
      <c r="Y741">
        <f t="shared" si="234"/>
        <v>1108.5287853128455</v>
      </c>
      <c r="Z741">
        <f t="shared" si="235"/>
        <v>0.35694294126947435</v>
      </c>
      <c r="AA741">
        <f>IF($D741="",0,IF($F741&lt;2,0,IF($E741="Win",('Guide &amp; Settings'!$C$42/(($F741-1)*COUNTIFS($A$4:$A$1510,$A741,$E$4:$E$1510,"Win")))*SUMIFS($Z$4:$Z$1510,$A$4:$A$1510,$A741,$E$4:$E$1510,"Loss"),-('Guide &amp; Settings'!$C$42/($F741-1))*$Z741)))</f>
        <v>-11.422174120623179</v>
      </c>
      <c r="AB741" s="126">
        <f t="shared" si="236"/>
        <v>994.84632647685191</v>
      </c>
      <c r="AC741" s="126">
        <f>IF($D741="","",IF($AD741=0,0,IF(COUNTIFS($D$4:$D741,$D741,$B$4:$B741,$B741)&gt;1,0,IF($B741&lt;'Guide &amp; Settings'!$C$50,0,IF(($B741-$AD741)/7-'Guide &amp; Settings'!$C$48&gt;=0,(INT(($B741-$AD741)/7-'Guide &amp; Settings'!$C$48)+1)*'Guide &amp; Settings'!$C$49,0)))))</f>
        <v>0</v>
      </c>
      <c r="AD741" s="142">
        <f t="shared" si="237"/>
        <v>46297</v>
      </c>
      <c r="AE741">
        <f t="shared" si="238"/>
        <v>1</v>
      </c>
      <c r="AF741">
        <f t="shared" si="239"/>
        <v>0</v>
      </c>
    </row>
    <row r="742" spans="1:32" x14ac:dyDescent="0.2">
      <c r="A742" s="117">
        <v>313</v>
      </c>
      <c r="B742" s="118">
        <v>46298</v>
      </c>
      <c r="C742" s="119" t="s">
        <v>50</v>
      </c>
      <c r="D742" s="119" t="s">
        <v>22</v>
      </c>
      <c r="E742" s="117" t="s">
        <v>370</v>
      </c>
      <c r="F742" s="120">
        <f t="shared" si="220"/>
        <v>2</v>
      </c>
      <c r="G742" s="121" t="str">
        <f t="shared" si="221"/>
        <v>Daniel (Ferret)</v>
      </c>
      <c r="H742" s="122">
        <f>IF($D742="",0,IFERROR(LOOKUP(2,1/(($D$3:D741=$D742)*($A$3:A741&lt;$A742)),$N$3:N741),'Guide &amp; Settings'!$C$41))</f>
        <v>1170.872618350412</v>
      </c>
      <c r="I742" s="123">
        <f t="shared" si="222"/>
        <v>0.54216867469879515</v>
      </c>
      <c r="J742" s="124">
        <f>IF($D742="",0,IF($F742&lt;2,0,IF($E742="Win",('Guide &amp; Settings'!$C$42/(($F742-1)*COUNTIFS($A$4:$A$1510,$A742,$E$4:$E$1510,"Win")))*SUMIFS($X$4:$X$1510,$A$4:$A$1510,$A742,$E$4:$E$1510,"Loss"),-('Guide &amp; Settings'!$C$42/($F742-1))*$X742)))</f>
        <v>12.036551551838691</v>
      </c>
      <c r="K742" s="124">
        <f>IF($D742="",0,'Guide &amp; Settings'!$C$43*(IF($E742="Win",1,0)-$I742))</f>
        <v>5.4939759036144586</v>
      </c>
      <c r="L742" s="125">
        <f>IF($D742="",0,'Guide &amp; Settings'!$C$44*IF($F742&gt;=3,$F742,0))</f>
        <v>0</v>
      </c>
      <c r="M742" s="124">
        <f t="shared" si="223"/>
        <v>17.53052745545315</v>
      </c>
      <c r="N742" s="122">
        <f t="shared" si="224"/>
        <v>1188.4031458058653</v>
      </c>
      <c r="O742" s="121" t="str">
        <f t="shared" si="225"/>
        <v>OK</v>
      </c>
      <c r="P742">
        <f t="shared" si="226"/>
        <v>1170.872618350412</v>
      </c>
      <c r="Q742">
        <f t="shared" si="227"/>
        <v>0.5</v>
      </c>
      <c r="R742">
        <f t="shared" si="228"/>
        <v>0.57894736842105265</v>
      </c>
      <c r="S742">
        <f t="shared" si="229"/>
        <v>1.0678362573099416</v>
      </c>
      <c r="T742" s="89">
        <f t="shared" si="230"/>
        <v>36</v>
      </c>
      <c r="U742" s="126">
        <f>IF($D742="",0,IFERROR(LOOKUP(2,1/(($D$3:D741=$D742)*($C$3:C741=$C742)*($A$3:A741&lt;$A742)),$AB$3:AB741),1000))</f>
        <v>1108.5287853128455</v>
      </c>
      <c r="V742" s="126">
        <f t="shared" si="231"/>
        <v>1116.1316917808413</v>
      </c>
      <c r="W742">
        <f t="shared" si="232"/>
        <v>1116.1316917808413</v>
      </c>
      <c r="X742">
        <f t="shared" si="233"/>
        <v>0.5</v>
      </c>
      <c r="Y742">
        <f t="shared" si="234"/>
        <v>1108.5287853128455</v>
      </c>
      <c r="Z742">
        <f t="shared" si="235"/>
        <v>0.5</v>
      </c>
      <c r="AA742">
        <f>IF($D742="",0,IF($F742&lt;2,0,IF($E742="Win",('Guide &amp; Settings'!$C$42/(($F742-1)*COUNTIFS($A$4:$A$1510,$A742,$E$4:$E$1510,"Win")))*SUMIFS($Z$4:$Z$1510,$A$4:$A$1510,$A742,$E$4:$E$1510,"Loss"),-('Guide &amp; Settings'!$C$42/($F742-1))*$Z742)))</f>
        <v>11.422174120623179</v>
      </c>
      <c r="AB742" s="126">
        <f t="shared" si="236"/>
        <v>1119.9509594334686</v>
      </c>
      <c r="AC742" s="126">
        <f>IF($D742="","",IF($AD742=0,0,IF(COUNTIFS($D$4:$D742,$D742,$B$4:$B742,$B742)&gt;1,0,IF($B742&lt;'Guide &amp; Settings'!$C$50,0,IF(($B742-$AD742)/7-'Guide &amp; Settings'!$C$48&gt;=0,(INT(($B742-$AD742)/7-'Guide &amp; Settings'!$C$48)+1)*'Guide &amp; Settings'!$C$49,0)))))</f>
        <v>0</v>
      </c>
      <c r="AD742" s="142">
        <f t="shared" si="237"/>
        <v>46297</v>
      </c>
      <c r="AE742">
        <f t="shared" si="238"/>
        <v>1</v>
      </c>
      <c r="AF742">
        <f t="shared" si="239"/>
        <v>0</v>
      </c>
    </row>
    <row r="743" spans="1:32" x14ac:dyDescent="0.2">
      <c r="A743" s="117">
        <v>314</v>
      </c>
      <c r="B743" s="118">
        <v>46298</v>
      </c>
      <c r="C743" s="119" t="s">
        <v>50</v>
      </c>
      <c r="D743" s="119" t="s">
        <v>20</v>
      </c>
      <c r="E743" s="117" t="s">
        <v>371</v>
      </c>
      <c r="F743" s="120">
        <f t="shared" si="220"/>
        <v>2</v>
      </c>
      <c r="G743" s="121" t="str">
        <f t="shared" si="221"/>
        <v>Daniel (Ferret)</v>
      </c>
      <c r="H743" s="122">
        <f>IF($D743="",0,IFERROR(LOOKUP(2,1/(($D$3:D742=$D743)*($A$3:A742&lt;$A743)),$N$3:N742),'Guide &amp; Settings'!$C$41))</f>
        <v>1199.6480360810826</v>
      </c>
      <c r="I743" s="123">
        <f t="shared" si="222"/>
        <v>0.44780793319415452</v>
      </c>
      <c r="J743" s="124">
        <f>IF($D743="",0,IF($F743&lt;2,0,IF($E743="Win",('Guide &amp; Settings'!$C$42/(($F743-1)*COUNTIFS($A$4:$A$1510,$A743,$E$4:$E$1510,"Win")))*SUMIFS($X$4:$X$1510,$A$4:$A$1510,$A743,$E$4:$E$1510,"Loss"),-('Guide &amp; Settings'!$C$42/($F743-1))*$X743)))</f>
        <v>-10.998964265727814</v>
      </c>
      <c r="K743" s="124">
        <f>IF($D743="",0,'Guide &amp; Settings'!$C$43*(IF($E743="Win",1,0)-$I743))</f>
        <v>-5.3736951983298544</v>
      </c>
      <c r="L743" s="125">
        <f>IF($D743="",0,'Guide &amp; Settings'!$C$44*IF($F743&gt;=3,$F743,0))</f>
        <v>0</v>
      </c>
      <c r="M743" s="124">
        <f t="shared" si="223"/>
        <v>-16.372659464057669</v>
      </c>
      <c r="N743" s="122">
        <f t="shared" si="224"/>
        <v>1183.2753766170249</v>
      </c>
      <c r="O743" s="121" t="str">
        <f t="shared" si="225"/>
        <v>OK</v>
      </c>
      <c r="P743">
        <f t="shared" si="226"/>
        <v>1188.4031458058653</v>
      </c>
      <c r="Q743">
        <f t="shared" si="227"/>
        <v>0.51617704975627554</v>
      </c>
      <c r="R743">
        <f t="shared" si="228"/>
        <v>0.47826086956521741</v>
      </c>
      <c r="S743">
        <f t="shared" si="229"/>
        <v>1.0680044593088072</v>
      </c>
      <c r="T743" s="89">
        <f t="shared" si="230"/>
        <v>44</v>
      </c>
      <c r="U743" s="126">
        <f>IF($D743="",0,IFERROR(LOOKUP(2,1/(($D$3:D742=$D743)*($C$3:C742=$C743)*($A$3:A742&lt;$A743)),$AB$3:AB742),1000))</f>
        <v>994.84632647685191</v>
      </c>
      <c r="V743" s="126">
        <f t="shared" si="231"/>
        <v>1015.7444601099367</v>
      </c>
      <c r="W743">
        <f t="shared" si="232"/>
        <v>1128.1000292397064</v>
      </c>
      <c r="X743">
        <f t="shared" si="233"/>
        <v>0.34371763330399419</v>
      </c>
      <c r="Y743">
        <f t="shared" si="234"/>
        <v>1119.9509594334686</v>
      </c>
      <c r="Z743">
        <f t="shared" si="235"/>
        <v>0.32735771618316711</v>
      </c>
      <c r="AA743">
        <f>IF($D743="",0,IF($F743&lt;2,0,IF($E743="Win",('Guide &amp; Settings'!$C$42/(($F743-1)*COUNTIFS($A$4:$A$1510,$A743,$E$4:$E$1510,"Win")))*SUMIFS($Z$4:$Z$1510,$A$4:$A$1510,$A743,$E$4:$E$1510,"Loss"),-('Guide &amp; Settings'!$C$42/($F743-1))*$Z743)))</f>
        <v>-10.475446917861348</v>
      </c>
      <c r="AB743" s="126">
        <f t="shared" si="236"/>
        <v>984.37087955899051</v>
      </c>
      <c r="AC743" s="126">
        <f>IF($D743="","",IF($AD743=0,0,IF(COUNTIFS($D$4:$D743,$D743,$B$4:$B743,$B743)&gt;1,0,IF($B743&lt;'Guide &amp; Settings'!$C$50,0,IF(($B743-$AD743)/7-'Guide &amp; Settings'!$C$48&gt;=0,(INT(($B743-$AD743)/7-'Guide &amp; Settings'!$C$48)+1)*'Guide &amp; Settings'!$C$49,0)))))</f>
        <v>0</v>
      </c>
      <c r="AD743" s="142">
        <f t="shared" si="237"/>
        <v>46297</v>
      </c>
      <c r="AE743">
        <f t="shared" si="238"/>
        <v>1</v>
      </c>
      <c r="AF743">
        <f t="shared" si="239"/>
        <v>0</v>
      </c>
    </row>
    <row r="744" spans="1:32" x14ac:dyDescent="0.2">
      <c r="A744" s="117">
        <v>314</v>
      </c>
      <c r="B744" s="118">
        <v>46298</v>
      </c>
      <c r="C744" s="119" t="s">
        <v>50</v>
      </c>
      <c r="D744" s="119" t="s">
        <v>22</v>
      </c>
      <c r="E744" s="117" t="s">
        <v>370</v>
      </c>
      <c r="F744" s="120">
        <f t="shared" si="220"/>
        <v>2</v>
      </c>
      <c r="G744" s="121" t="str">
        <f t="shared" si="221"/>
        <v>Daniel (Ferret)</v>
      </c>
      <c r="H744" s="122">
        <f>IF($D744="",0,IFERROR(LOOKUP(2,1/(($D$3:D743=$D744)*($A$3:A743&lt;$A744)),$N$3:N743),'Guide &amp; Settings'!$C$41))</f>
        <v>1188.4031458058653</v>
      </c>
      <c r="I744" s="123">
        <f t="shared" si="222"/>
        <v>0.55219206680584554</v>
      </c>
      <c r="J744" s="124">
        <f>IF($D744="",0,IF($F744&lt;2,0,IF($E744="Win",('Guide &amp; Settings'!$C$42/(($F744-1)*COUNTIFS($A$4:$A$1510,$A744,$E$4:$E$1510,"Win")))*SUMIFS($X$4:$X$1510,$A$4:$A$1510,$A744,$E$4:$E$1510,"Loss"),-('Guide &amp; Settings'!$C$42/($F744-1))*$X744)))</f>
        <v>10.998964265727814</v>
      </c>
      <c r="K744" s="124">
        <f>IF($D744="",0,'Guide &amp; Settings'!$C$43*(IF($E744="Win",1,0)-$I744))</f>
        <v>5.3736951983298535</v>
      </c>
      <c r="L744" s="125">
        <f>IF($D744="",0,'Guide &amp; Settings'!$C$44*IF($F744&gt;=3,$F744,0))</f>
        <v>0</v>
      </c>
      <c r="M744" s="124">
        <f t="shared" si="223"/>
        <v>16.372659464057669</v>
      </c>
      <c r="N744" s="122">
        <f t="shared" si="224"/>
        <v>1204.775805269923</v>
      </c>
      <c r="O744" s="121" t="str">
        <f t="shared" si="225"/>
        <v>OK</v>
      </c>
      <c r="P744">
        <f t="shared" si="226"/>
        <v>1188.4031458058653</v>
      </c>
      <c r="Q744">
        <f t="shared" si="227"/>
        <v>0.5</v>
      </c>
      <c r="R744">
        <f t="shared" si="228"/>
        <v>0.58974358974358976</v>
      </c>
      <c r="S744">
        <f t="shared" si="229"/>
        <v>1.0680044593088072</v>
      </c>
      <c r="T744" s="89">
        <f t="shared" si="230"/>
        <v>37</v>
      </c>
      <c r="U744" s="126">
        <f>IF($D744="",0,IFERROR(LOOKUP(2,1/(($D$3:D743=$D744)*($C$3:C743=$C744)*($A$3:A743&lt;$A744)),$AB$3:AB743),1000))</f>
        <v>1119.9509594334686</v>
      </c>
      <c r="V744" s="126">
        <f t="shared" si="231"/>
        <v>1128.1000292397064</v>
      </c>
      <c r="W744">
        <f t="shared" si="232"/>
        <v>1128.1000292397064</v>
      </c>
      <c r="X744">
        <f t="shared" si="233"/>
        <v>0.5</v>
      </c>
      <c r="Y744">
        <f t="shared" si="234"/>
        <v>1119.9509594334686</v>
      </c>
      <c r="Z744">
        <f t="shared" si="235"/>
        <v>0.5</v>
      </c>
      <c r="AA744">
        <f>IF($D744="",0,IF($F744&lt;2,0,IF($E744="Win",('Guide &amp; Settings'!$C$42/(($F744-1)*COUNTIFS($A$4:$A$1510,$A744,$E$4:$E$1510,"Win")))*SUMIFS($Z$4:$Z$1510,$A$4:$A$1510,$A744,$E$4:$E$1510,"Loss"),-('Guide &amp; Settings'!$C$42/($F744-1))*$Z744)))</f>
        <v>10.475446917861348</v>
      </c>
      <c r="AB744" s="126">
        <f t="shared" si="236"/>
        <v>1130.4264063513299</v>
      </c>
      <c r="AC744" s="126">
        <f>IF($D744="","",IF($AD744=0,0,IF(COUNTIFS($D$4:$D744,$D744,$B$4:$B744,$B744)&gt;1,0,IF($B744&lt;'Guide &amp; Settings'!$C$50,0,IF(($B744-$AD744)/7-'Guide &amp; Settings'!$C$48&gt;=0,(INT(($B744-$AD744)/7-'Guide &amp; Settings'!$C$48)+1)*'Guide &amp; Settings'!$C$49,0)))))</f>
        <v>0</v>
      </c>
      <c r="AD744" s="142">
        <f t="shared" si="237"/>
        <v>46297</v>
      </c>
      <c r="AE744">
        <f t="shared" si="238"/>
        <v>1</v>
      </c>
      <c r="AF744">
        <f t="shared" si="239"/>
        <v>0</v>
      </c>
    </row>
    <row r="745" spans="1:32" x14ac:dyDescent="0.2">
      <c r="A745" s="117">
        <v>315</v>
      </c>
      <c r="B745" s="118">
        <v>46298</v>
      </c>
      <c r="C745" s="119" t="s">
        <v>50</v>
      </c>
      <c r="D745" s="119" t="s">
        <v>20</v>
      </c>
      <c r="E745" s="117" t="s">
        <v>371</v>
      </c>
      <c r="F745" s="120">
        <f t="shared" si="220"/>
        <v>3</v>
      </c>
      <c r="G745" s="121" t="str">
        <f t="shared" si="221"/>
        <v>Daniel (Ferret)</v>
      </c>
      <c r="H745" s="122">
        <f>IF($D745="",0,IFERROR(LOOKUP(2,1/(($D$3:D744=$D745)*($A$3:A744&lt;$A745)),$N$3:N744),'Guide &amp; Settings'!$C$41))</f>
        <v>1183.2753766170249</v>
      </c>
      <c r="I745" s="123">
        <f t="shared" si="222"/>
        <v>0.29850746268656714</v>
      </c>
      <c r="J745" s="124">
        <f>IF($D745="",0,IF($F745&lt;2,0,IF($E745="Win",('Guide &amp; Settings'!$C$42/(($F745-1)*COUNTIFS($A$4:$A$1510,$A745,$E$4:$E$1510,"Win")))*SUMIFS($X$4:$X$1510,$A$4:$A$1510,$A745,$E$4:$E$1510,"Loss"),-('Guide &amp; Settings'!$C$42/($F745-1))*$X745)))</f>
        <v>-5.0428155425800805</v>
      </c>
      <c r="K745" s="124">
        <f>IF($D745="",0,'Guide &amp; Settings'!$C$43*(IF($E745="Win",1,0)-$I745))</f>
        <v>-3.5820895522388057</v>
      </c>
      <c r="L745" s="125">
        <f>IF($D745="",0,'Guide &amp; Settings'!$C$44*IF($F745&gt;=3,$F745,0))</f>
        <v>3</v>
      </c>
      <c r="M745" s="124">
        <f t="shared" si="223"/>
        <v>-5.6249050948188852</v>
      </c>
      <c r="N745" s="122">
        <f t="shared" si="224"/>
        <v>1177.6504715222061</v>
      </c>
      <c r="O745" s="121" t="str">
        <f t="shared" si="225"/>
        <v>OK</v>
      </c>
      <c r="P745">
        <f t="shared" si="226"/>
        <v>1204.775805269923</v>
      </c>
      <c r="Q745">
        <f t="shared" si="227"/>
        <v>0.46909783280494377</v>
      </c>
      <c r="R745">
        <f t="shared" si="228"/>
        <v>0.46808510638297873</v>
      </c>
      <c r="S745">
        <f t="shared" si="229"/>
        <v>1.5680851063829788</v>
      </c>
      <c r="T745" s="89">
        <f t="shared" si="230"/>
        <v>45</v>
      </c>
      <c r="U745" s="126">
        <f>IF($D745="",0,IFERROR(LOOKUP(2,1/(($D$3:D744=$D745)*($C$3:C744=$C745)*($A$3:A744&lt;$A745)),$AB$3:AB744),1000))</f>
        <v>984.37087955899051</v>
      </c>
      <c r="V745" s="126">
        <f t="shared" si="231"/>
        <v>1004.2613292647939</v>
      </c>
      <c r="W745">
        <f t="shared" si="232"/>
        <v>1139.0716852953524</v>
      </c>
      <c r="X745">
        <f t="shared" si="233"/>
        <v>0.31517597141125503</v>
      </c>
      <c r="Y745">
        <f t="shared" si="234"/>
        <v>1130.4264063513299</v>
      </c>
      <c r="Z745">
        <f t="shared" si="235"/>
        <v>0.30137407026983154</v>
      </c>
      <c r="AA745">
        <f>IF($D745="",0,IF($F745&lt;2,0,IF($E745="Win",('Guide &amp; Settings'!$C$42/(($F745-1)*COUNTIFS($A$4:$A$1510,$A745,$E$4:$E$1510,"Win")))*SUMIFS($Z$4:$Z$1510,$A$4:$A$1510,$A745,$E$4:$E$1510,"Loss"),-('Guide &amp; Settings'!$C$42/($F745-1))*$Z745)))</f>
        <v>-4.8219851243173046</v>
      </c>
      <c r="AB745" s="126">
        <f t="shared" si="236"/>
        <v>979.54889443467323</v>
      </c>
      <c r="AC745" s="126">
        <f>IF($D745="","",IF($AD745=0,0,IF(COUNTIFS($D$4:$D745,$D745,$B$4:$B745,$B745)&gt;1,0,IF($B745&lt;'Guide &amp; Settings'!$C$50,0,IF(($B745-$AD745)/7-'Guide &amp; Settings'!$C$48&gt;=0,(INT(($B745-$AD745)/7-'Guide &amp; Settings'!$C$48)+1)*'Guide &amp; Settings'!$C$49,0)))))</f>
        <v>0</v>
      </c>
      <c r="AD745" s="142">
        <f t="shared" si="237"/>
        <v>46297</v>
      </c>
      <c r="AE745">
        <f t="shared" si="238"/>
        <v>1</v>
      </c>
      <c r="AF745">
        <f t="shared" si="239"/>
        <v>0</v>
      </c>
    </row>
    <row r="746" spans="1:32" x14ac:dyDescent="0.2">
      <c r="A746" s="117">
        <v>315</v>
      </c>
      <c r="B746" s="118">
        <v>46298</v>
      </c>
      <c r="C746" s="119" t="s">
        <v>50</v>
      </c>
      <c r="D746" s="119" t="s">
        <v>22</v>
      </c>
      <c r="E746" s="117" t="s">
        <v>370</v>
      </c>
      <c r="F746" s="120">
        <f t="shared" si="220"/>
        <v>3</v>
      </c>
      <c r="G746" s="121" t="str">
        <f t="shared" si="221"/>
        <v>Daniel (Ferret)</v>
      </c>
      <c r="H746" s="122">
        <f>IF($D746="",0,IFERROR(LOOKUP(2,1/(($D$3:D745=$D746)*($A$3:A745&lt;$A746)),$N$3:N745),'Guide &amp; Settings'!$C$41))</f>
        <v>1204.775805269923</v>
      </c>
      <c r="I746" s="123">
        <f t="shared" si="222"/>
        <v>0.38263229308005425</v>
      </c>
      <c r="J746" s="124">
        <f>IF($D746="",0,IF($F746&lt;2,0,IF($E746="Win",('Guide &amp; Settings'!$C$42/(($F746-1)*COUNTIFS($A$4:$A$1510,$A746,$E$4:$E$1510,"Win")))*SUMIFS($X$4:$X$1510,$A$4:$A$1510,$A746,$E$4:$E$1510,"Loss"),-('Guide &amp; Settings'!$C$42/($F746-1))*$X746)))</f>
        <v>10.469876225282881</v>
      </c>
      <c r="K746" s="124">
        <f>IF($D746="",0,'Guide &amp; Settings'!$C$43*(IF($E746="Win",1,0)-$I746))</f>
        <v>7.4084124830393483</v>
      </c>
      <c r="L746" s="125">
        <f>IF($D746="",0,'Guide &amp; Settings'!$C$44*IF($F746&gt;=3,$F746,0))</f>
        <v>3</v>
      </c>
      <c r="M746" s="124">
        <f t="shared" si="223"/>
        <v>20.878288708322231</v>
      </c>
      <c r="N746" s="122">
        <f t="shared" si="224"/>
        <v>1225.6540939782453</v>
      </c>
      <c r="O746" s="121" t="str">
        <f t="shared" si="225"/>
        <v>OK</v>
      </c>
      <c r="P746">
        <f t="shared" si="226"/>
        <v>1204.775805269923</v>
      </c>
      <c r="Q746">
        <f t="shared" si="227"/>
        <v>0.5</v>
      </c>
      <c r="R746">
        <f t="shared" si="228"/>
        <v>0.6</v>
      </c>
      <c r="S746">
        <f t="shared" si="229"/>
        <v>1.5680851063829788</v>
      </c>
      <c r="T746" s="89">
        <f t="shared" si="230"/>
        <v>38</v>
      </c>
      <c r="U746" s="126">
        <f>IF($D746="",0,IFERROR(LOOKUP(2,1/(($D$3:D745=$D746)*($C$3:C745=$C746)*($A$3:A745&lt;$A746)),$AB$3:AB745),1000))</f>
        <v>1130.4264063513299</v>
      </c>
      <c r="V746" s="126">
        <f t="shared" si="231"/>
        <v>1139.0716852953524</v>
      </c>
      <c r="W746">
        <f t="shared" si="232"/>
        <v>1139.0716852953524</v>
      </c>
      <c r="X746">
        <f t="shared" si="233"/>
        <v>0.5</v>
      </c>
      <c r="Y746">
        <f t="shared" si="234"/>
        <v>1130.4264063513299</v>
      </c>
      <c r="Z746">
        <f t="shared" si="235"/>
        <v>0.5</v>
      </c>
      <c r="AA746">
        <f>IF($D746="",0,IF($F746&lt;2,0,IF($E746="Win",('Guide &amp; Settings'!$C$42/(($F746-1)*COUNTIFS($A$4:$A$1510,$A746,$E$4:$E$1510,"Win")))*SUMIFS($Z$4:$Z$1510,$A$4:$A$1510,$A746,$E$4:$E$1510,"Loss"),-('Guide &amp; Settings'!$C$42/($F746-1))*$Z746)))</f>
        <v>9.9523555881577987</v>
      </c>
      <c r="AB746" s="126">
        <f t="shared" si="236"/>
        <v>1140.3787619394877</v>
      </c>
      <c r="AC746" s="126">
        <f>IF($D746="","",IF($AD746=0,0,IF(COUNTIFS($D$4:$D746,$D746,$B$4:$B746,$B746)&gt;1,0,IF($B746&lt;'Guide &amp; Settings'!$C$50,0,IF(($B746-$AD746)/7-'Guide &amp; Settings'!$C$48&gt;=0,(INT(($B746-$AD746)/7-'Guide &amp; Settings'!$C$48)+1)*'Guide &amp; Settings'!$C$49,0)))))</f>
        <v>0</v>
      </c>
      <c r="AD746" s="142">
        <f t="shared" si="237"/>
        <v>46297</v>
      </c>
      <c r="AE746">
        <f t="shared" si="238"/>
        <v>1</v>
      </c>
      <c r="AF746">
        <f t="shared" si="239"/>
        <v>0</v>
      </c>
    </row>
    <row r="747" spans="1:32" x14ac:dyDescent="0.2">
      <c r="A747" s="117">
        <v>315</v>
      </c>
      <c r="B747" s="118">
        <v>46298</v>
      </c>
      <c r="C747" s="119" t="s">
        <v>50</v>
      </c>
      <c r="D747" s="119" t="s">
        <v>27</v>
      </c>
      <c r="E747" s="117" t="s">
        <v>371</v>
      </c>
      <c r="F747" s="120">
        <f t="shared" si="220"/>
        <v>3</v>
      </c>
      <c r="G747" s="121" t="str">
        <f t="shared" si="221"/>
        <v>Daniel (Ferret)</v>
      </c>
      <c r="H747" s="122">
        <f>IF($D747="",0,IFERROR(LOOKUP(2,1/(($D$3:D746=$D747)*($A$3:A746&lt;$A747)),$N$3:N746),'Guide &amp; Settings'!$C$41))</f>
        <v>1023.2192605207141</v>
      </c>
      <c r="I747" s="123">
        <f t="shared" si="222"/>
        <v>0.31886024423337855</v>
      </c>
      <c r="J747" s="124">
        <f>IF($D747="",0,IF($F747&lt;2,0,IF($E747="Win",('Guide &amp; Settings'!$C$42/(($F747-1)*COUNTIFS($A$4:$A$1510,$A747,$E$4:$E$1510,"Win")))*SUMIFS($X$4:$X$1510,$A$4:$A$1510,$A747,$E$4:$E$1510,"Loss"),-('Guide &amp; Settings'!$C$42/($F747-1))*$X747)))</f>
        <v>-5.4270606827028018</v>
      </c>
      <c r="K747" s="124">
        <f>IF($D747="",0,'Guide &amp; Settings'!$C$43*(IF($E747="Win",1,0)-$I747))</f>
        <v>-3.8263229308005426</v>
      </c>
      <c r="L747" s="125">
        <f>IF($D747="",0,'Guide &amp; Settings'!$C$44*IF($F747&gt;=3,$F747,0))</f>
        <v>3</v>
      </c>
      <c r="M747" s="124">
        <f t="shared" si="223"/>
        <v>-6.2533836135033454</v>
      </c>
      <c r="N747" s="122">
        <f t="shared" si="224"/>
        <v>1016.9658769072107</v>
      </c>
      <c r="O747" s="121" t="str">
        <f t="shared" si="225"/>
        <v>OK</v>
      </c>
      <c r="P747">
        <f t="shared" si="226"/>
        <v>1204.775805269923</v>
      </c>
      <c r="Q747">
        <f t="shared" si="227"/>
        <v>0.26016262472906471</v>
      </c>
      <c r="R747">
        <f t="shared" si="228"/>
        <v>0.5</v>
      </c>
      <c r="S747">
        <f t="shared" si="229"/>
        <v>1.5680851063829788</v>
      </c>
      <c r="T747" s="89">
        <f t="shared" si="230"/>
        <v>0</v>
      </c>
      <c r="U747" s="126">
        <f>IF($D747="",0,IFERROR(LOOKUP(2,1/(($D$3:D746=$D747)*($C$3:C746=$C747)*($A$3:A746&lt;$A747)),$AB$3:AB746),1000))</f>
        <v>1000</v>
      </c>
      <c r="V747" s="126">
        <f t="shared" si="231"/>
        <v>1023.2192605207141</v>
      </c>
      <c r="W747">
        <f t="shared" si="232"/>
        <v>1139.0716852953524</v>
      </c>
      <c r="X747">
        <f t="shared" si="233"/>
        <v>0.33919129266892512</v>
      </c>
      <c r="Y747">
        <f t="shared" si="234"/>
        <v>1130.4264063513299</v>
      </c>
      <c r="Z747">
        <f t="shared" si="235"/>
        <v>0.32064815399003088</v>
      </c>
      <c r="AA747">
        <f>IF($D747="",0,IF($F747&lt;2,0,IF($E747="Win",('Guide &amp; Settings'!$C$42/(($F747-1)*COUNTIFS($A$4:$A$1510,$A747,$E$4:$E$1510,"Win")))*SUMIFS($Z$4:$Z$1510,$A$4:$A$1510,$A747,$E$4:$E$1510,"Loss"),-('Guide &amp; Settings'!$C$42/($F747-1))*$Z747)))</f>
        <v>-5.1303704638404941</v>
      </c>
      <c r="AB747" s="126">
        <f t="shared" si="236"/>
        <v>994.86962953615955</v>
      </c>
      <c r="AC747" s="126">
        <f>IF($D747="","",IF($AD747=0,0,IF(COUNTIFS($D$4:$D747,$D747,$B$4:$B747,$B747)&gt;1,0,IF($B747&lt;'Guide &amp; Settings'!$C$50,0,IF(($B747-$AD747)/7-'Guide &amp; Settings'!$C$48&gt;=0,(INT(($B747-$AD747)/7-'Guide &amp; Settings'!$C$48)+1)*'Guide &amp; Settings'!$C$49,0)))))</f>
        <v>40</v>
      </c>
      <c r="AD747" s="142">
        <f t="shared" si="237"/>
        <v>46249</v>
      </c>
      <c r="AE747">
        <f t="shared" si="238"/>
        <v>1</v>
      </c>
      <c r="AF747">
        <f t="shared" si="239"/>
        <v>0</v>
      </c>
    </row>
    <row r="748" spans="1:32" x14ac:dyDescent="0.2">
      <c r="A748" s="117">
        <v>316</v>
      </c>
      <c r="B748" s="118">
        <v>46298</v>
      </c>
      <c r="C748" s="119" t="s">
        <v>50</v>
      </c>
      <c r="D748" s="119" t="s">
        <v>20</v>
      </c>
      <c r="E748" s="117" t="s">
        <v>370</v>
      </c>
      <c r="F748" s="120">
        <f t="shared" si="220"/>
        <v>3</v>
      </c>
      <c r="G748" s="121" t="str">
        <f t="shared" si="221"/>
        <v>Daniel (Ferret)</v>
      </c>
      <c r="H748" s="122">
        <f>IF($D748="",0,IFERROR(LOOKUP(2,1/(($D$3:D747=$D748)*($A$3:A747&lt;$A748)),$N$3:N747),'Guide &amp; Settings'!$C$41))</f>
        <v>1177.6504715222061</v>
      </c>
      <c r="I748" s="123">
        <f t="shared" si="222"/>
        <v>0.32704858593183467</v>
      </c>
      <c r="J748" s="124">
        <f>IF($D748="",0,IF($F748&lt;2,0,IF($E748="Win",('Guide &amp; Settings'!$C$42/(($F748-1)*COUNTIFS($A$4:$A$1510,$A748,$E$4:$E$1510,"Win")))*SUMIFS($X$4:$X$1510,$A$4:$A$1510,$A748,$E$4:$E$1510,"Loss"),-('Guide &amp; Settings'!$C$42/($F748-1))*$X748)))</f>
        <v>3.3021972102789765</v>
      </c>
      <c r="K748" s="124">
        <f>IF($D748="",0,'Guide &amp; Settings'!$C$43*(IF($E748="Win",1,0)-$I748))</f>
        <v>8.0754169688179847</v>
      </c>
      <c r="L748" s="125">
        <f>IF($D748="",0,'Guide &amp; Settings'!$C$44*IF($F748&gt;=3,$F748,0))</f>
        <v>3</v>
      </c>
      <c r="M748" s="124">
        <f t="shared" si="223"/>
        <v>14.377614179096961</v>
      </c>
      <c r="N748" s="122">
        <f t="shared" si="224"/>
        <v>1192.0280857013031</v>
      </c>
      <c r="O748" s="121" t="str">
        <f t="shared" si="225"/>
        <v>check winners</v>
      </c>
      <c r="P748">
        <f t="shared" si="226"/>
        <v>1201.6522827502258</v>
      </c>
      <c r="Q748">
        <f t="shared" si="227"/>
        <v>0.46551346110576852</v>
      </c>
      <c r="R748">
        <f t="shared" si="228"/>
        <v>0.45833333333333331</v>
      </c>
      <c r="S748">
        <f t="shared" si="229"/>
        <v>1.4014227642276422</v>
      </c>
      <c r="T748" s="89">
        <f t="shared" si="230"/>
        <v>46</v>
      </c>
      <c r="U748" s="126">
        <f>IF($D748="",0,IFERROR(LOOKUP(2,1/(($D$3:D747=$D748)*($C$3:C747=$C748)*($A$3:A747&lt;$A748)),$AB$3:AB747),1000))</f>
        <v>979.54889443467323</v>
      </c>
      <c r="V748" s="126">
        <f t="shared" si="231"/>
        <v>998.97061767854905</v>
      </c>
      <c r="W748">
        <f t="shared" si="232"/>
        <v>1074.5198791294024</v>
      </c>
      <c r="X748">
        <f t="shared" si="233"/>
        <v>0.39295769883578885</v>
      </c>
      <c r="Y748">
        <f t="shared" si="234"/>
        <v>1059.9638281870805</v>
      </c>
      <c r="Z748">
        <f t="shared" si="235"/>
        <v>0.3862967688141663</v>
      </c>
      <c r="AA748">
        <f>IF($D748="",0,IF($F748&lt;2,0,IF($E748="Win",('Guide &amp; Settings'!$C$42/(($F748-1)*COUNTIFS($A$4:$A$1510,$A748,$E$4:$E$1510,"Win")))*SUMIFS($Z$4:$Z$1510,$A$4:$A$1510,$A748,$E$4:$E$1510,"Loss"),-('Guide &amp; Settings'!$C$42/($F748-1))*$Z748)))</f>
        <v>3.2592227958050497</v>
      </c>
      <c r="AB748" s="126">
        <f t="shared" si="236"/>
        <v>982.80811723047827</v>
      </c>
      <c r="AC748" s="126">
        <f>IF($D748="","",IF($AD748=0,0,IF(COUNTIFS($D$4:$D748,$D748,$B$4:$B748,$B748)&gt;1,0,IF($B748&lt;'Guide &amp; Settings'!$C$50,0,IF(($B748-$AD748)/7-'Guide &amp; Settings'!$C$48&gt;=0,(INT(($B748-$AD748)/7-'Guide &amp; Settings'!$C$48)+1)*'Guide &amp; Settings'!$C$49,0)))))</f>
        <v>0</v>
      </c>
      <c r="AD748" s="142">
        <f t="shared" si="237"/>
        <v>46297</v>
      </c>
      <c r="AE748">
        <f t="shared" si="238"/>
        <v>2</v>
      </c>
      <c r="AF748">
        <f t="shared" si="239"/>
        <v>0</v>
      </c>
    </row>
    <row r="749" spans="1:32" x14ac:dyDescent="0.2">
      <c r="A749" s="117">
        <v>316</v>
      </c>
      <c r="B749" s="118">
        <v>46298</v>
      </c>
      <c r="C749" s="119" t="s">
        <v>50</v>
      </c>
      <c r="D749" s="119" t="s">
        <v>27</v>
      </c>
      <c r="E749" s="117" t="s">
        <v>371</v>
      </c>
      <c r="F749" s="120">
        <f t="shared" si="220"/>
        <v>3</v>
      </c>
      <c r="G749" s="121" t="str">
        <f t="shared" si="221"/>
        <v>Daniel (Ferret)</v>
      </c>
      <c r="H749" s="122">
        <f>IF($D749="",0,IFERROR(LOOKUP(2,1/(($D$3:D748=$D749)*($A$3:A748&lt;$A749)),$N$3:N748),'Guide &amp; Settings'!$C$41))</f>
        <v>1016.9658769072107</v>
      </c>
      <c r="I749" s="123">
        <f t="shared" si="222"/>
        <v>0.23785351704133428</v>
      </c>
      <c r="J749" s="124">
        <f>IF($D749="",0,IF($F749&lt;2,0,IF($E749="Win",('Guide &amp; Settings'!$C$42/(($F749-1)*COUNTIFS($A$4:$A$1510,$A749,$E$4:$E$1510,"Win")))*SUMIFS($X$4:$X$1510,$A$4:$A$1510,$A749,$E$4:$E$1510,"Loss"),-('Guide &amp; Settings'!$C$42/($F749-1))*$X749)))</f>
        <v>-6.604394420557953</v>
      </c>
      <c r="K749" s="124">
        <f>IF($D749="",0,'Guide &amp; Settings'!$C$43*(IF($E749="Win",1,0)-$I749))</f>
        <v>-2.8542422044960114</v>
      </c>
      <c r="L749" s="125">
        <f>IF($D749="",0,'Guide &amp; Settings'!$C$44*IF($F749&gt;=3,$F749,0))</f>
        <v>3</v>
      </c>
      <c r="M749" s="124">
        <f t="shared" si="223"/>
        <v>-6.4586366250539644</v>
      </c>
      <c r="N749" s="122">
        <f t="shared" si="224"/>
        <v>1010.5072402821568</v>
      </c>
      <c r="O749" s="121" t="str">
        <f t="shared" si="225"/>
        <v>check winners</v>
      </c>
      <c r="P749">
        <f t="shared" si="226"/>
        <v>1201.6522827502258</v>
      </c>
      <c r="Q749">
        <f t="shared" si="227"/>
        <v>0.25670977533899492</v>
      </c>
      <c r="R749">
        <f t="shared" si="228"/>
        <v>0.33333333333333331</v>
      </c>
      <c r="S749">
        <f t="shared" si="229"/>
        <v>1.4014227642276422</v>
      </c>
      <c r="T749" s="89">
        <f t="shared" si="230"/>
        <v>1</v>
      </c>
      <c r="U749" s="126">
        <f>IF($D749="",0,IFERROR(LOOKUP(2,1/(($D$3:D748=$D749)*($C$3:C748=$C749)*($A$3:A748&lt;$A749)),$AB$3:AB748),1000))</f>
        <v>994.86962953615955</v>
      </c>
      <c r="V749" s="126">
        <f t="shared" si="231"/>
        <v>1013.2831690120356</v>
      </c>
      <c r="W749">
        <f t="shared" si="232"/>
        <v>1074.5198791294024</v>
      </c>
      <c r="X749">
        <f t="shared" si="233"/>
        <v>0.41277465128487206</v>
      </c>
      <c r="Y749">
        <f t="shared" si="234"/>
        <v>1059.9638281870805</v>
      </c>
      <c r="Z749">
        <f t="shared" si="235"/>
        <v>0.40740284947563121</v>
      </c>
      <c r="AA749">
        <f>IF($D749="",0,IF($F749&lt;2,0,IF($E749="Win",('Guide &amp; Settings'!$C$42/(($F749-1)*COUNTIFS($A$4:$A$1510,$A749,$E$4:$E$1510,"Win")))*SUMIFS($Z$4:$Z$1510,$A$4:$A$1510,$A749,$E$4:$E$1510,"Loss"),-('Guide &amp; Settings'!$C$42/($F749-1))*$Z749)))</f>
        <v>-6.5184455916100994</v>
      </c>
      <c r="AB749" s="126">
        <f t="shared" si="236"/>
        <v>988.35118394454946</v>
      </c>
      <c r="AC749" s="126">
        <f>IF($D749="","",IF($AD749=0,0,IF(COUNTIFS($D$4:$D749,$D749,$B$4:$B749,$B749)&gt;1,0,IF($B749&lt;'Guide &amp; Settings'!$C$50,0,IF(($B749-$AD749)/7-'Guide &amp; Settings'!$C$48&gt;=0,(INT(($B749-$AD749)/7-'Guide &amp; Settings'!$C$48)+1)*'Guide &amp; Settings'!$C$49,0)))))</f>
        <v>0</v>
      </c>
      <c r="AD749" s="142">
        <f t="shared" si="237"/>
        <v>46249</v>
      </c>
      <c r="AE749">
        <f t="shared" si="238"/>
        <v>2</v>
      </c>
      <c r="AF749">
        <f t="shared" si="239"/>
        <v>0</v>
      </c>
    </row>
    <row r="750" spans="1:32" x14ac:dyDescent="0.2">
      <c r="A750" s="117">
        <v>316</v>
      </c>
      <c r="B750" s="118">
        <v>46298</v>
      </c>
      <c r="C750" s="119" t="s">
        <v>50</v>
      </c>
      <c r="D750" s="119" t="s">
        <v>22</v>
      </c>
      <c r="E750" s="117" t="s">
        <v>370</v>
      </c>
      <c r="F750" s="120">
        <f t="shared" si="220"/>
        <v>3</v>
      </c>
      <c r="G750" s="121" t="str">
        <f t="shared" si="221"/>
        <v>Daniel (Ferret)</v>
      </c>
      <c r="H750" s="122">
        <f>IF($D750="",0,IFERROR(LOOKUP(2,1/(($D$3:D749=$D750)*($A$3:A749&lt;$A750)),$N$3:N749),'Guide &amp; Settings'!$C$41))</f>
        <v>1225.6540939782453</v>
      </c>
      <c r="I750" s="123">
        <f t="shared" si="222"/>
        <v>0.43509789702683105</v>
      </c>
      <c r="J750" s="124">
        <f>IF($D750="",0,IF($F750&lt;2,0,IF($E750="Win",('Guide &amp; Settings'!$C$42/(($F750-1)*COUNTIFS($A$4:$A$1510,$A750,$E$4:$E$1510,"Win")))*SUMIFS($X$4:$X$1510,$A$4:$A$1510,$A750,$E$4:$E$1510,"Loss"),-('Guide &amp; Settings'!$C$42/($F750-1))*$X750)))</f>
        <v>3.3021972102789765</v>
      </c>
      <c r="K750" s="124">
        <f>IF($D750="",0,'Guide &amp; Settings'!$C$43*(IF($E750="Win",1,0)-$I750))</f>
        <v>6.7788252356780268</v>
      </c>
      <c r="L750" s="125">
        <f>IF($D750="",0,'Guide &amp; Settings'!$C$44*IF($F750&gt;=3,$F750,0))</f>
        <v>3</v>
      </c>
      <c r="M750" s="124">
        <f t="shared" si="223"/>
        <v>13.081022445957004</v>
      </c>
      <c r="N750" s="122">
        <f t="shared" si="224"/>
        <v>1238.7351164242023</v>
      </c>
      <c r="O750" s="121" t="str">
        <f t="shared" si="225"/>
        <v>check winners</v>
      </c>
      <c r="P750">
        <f t="shared" si="226"/>
        <v>1201.6522827502258</v>
      </c>
      <c r="Q750">
        <f t="shared" si="227"/>
        <v>0.53448653889423114</v>
      </c>
      <c r="R750">
        <f t="shared" si="228"/>
        <v>0.6097560975609756</v>
      </c>
      <c r="S750">
        <f t="shared" si="229"/>
        <v>1.4014227642276422</v>
      </c>
      <c r="T750" s="89">
        <f t="shared" si="230"/>
        <v>39</v>
      </c>
      <c r="U750" s="126">
        <f>IF($D750="",0,IFERROR(LOOKUP(2,1/(($D$3:D749=$D750)*($C$3:C749=$C750)*($A$3:A749&lt;$A750)),$AB$3:AB749),1000))</f>
        <v>1140.3787619394877</v>
      </c>
      <c r="V750" s="126">
        <f t="shared" si="231"/>
        <v>1150.0691405802556</v>
      </c>
      <c r="W750">
        <f t="shared" si="232"/>
        <v>1074.5198791294024</v>
      </c>
      <c r="X750">
        <f t="shared" si="233"/>
        <v>0.60704230116421098</v>
      </c>
      <c r="Y750">
        <f t="shared" si="234"/>
        <v>1059.9638281870805</v>
      </c>
      <c r="Z750">
        <f t="shared" si="235"/>
        <v>0.6137032311858337</v>
      </c>
      <c r="AA750">
        <f>IF($D750="",0,IF($F750&lt;2,0,IF($E750="Win",('Guide &amp; Settings'!$C$42/(($F750-1)*COUNTIFS($A$4:$A$1510,$A750,$E$4:$E$1510,"Win")))*SUMIFS($Z$4:$Z$1510,$A$4:$A$1510,$A750,$E$4:$E$1510,"Loss"),-('Guide &amp; Settings'!$C$42/($F750-1))*$Z750)))</f>
        <v>3.2592227958050497</v>
      </c>
      <c r="AB750" s="126">
        <f t="shared" si="236"/>
        <v>1143.6379847352928</v>
      </c>
      <c r="AC750" s="126">
        <f>IF($D750="","",IF($AD750=0,0,IF(COUNTIFS($D$4:$D750,$D750,$B$4:$B750,$B750)&gt;1,0,IF($B750&lt;'Guide &amp; Settings'!$C$50,0,IF(($B750-$AD750)/7-'Guide &amp; Settings'!$C$48&gt;=0,(INT(($B750-$AD750)/7-'Guide &amp; Settings'!$C$48)+1)*'Guide &amp; Settings'!$C$49,0)))))</f>
        <v>0</v>
      </c>
      <c r="AD750" s="142">
        <f t="shared" si="237"/>
        <v>46297</v>
      </c>
      <c r="AE750">
        <f t="shared" si="238"/>
        <v>2</v>
      </c>
      <c r="AF750">
        <f t="shared" si="239"/>
        <v>0</v>
      </c>
    </row>
    <row r="751" spans="1:32" x14ac:dyDescent="0.2">
      <c r="A751" s="117">
        <v>317</v>
      </c>
      <c r="B751" s="118">
        <v>46298</v>
      </c>
      <c r="C751" s="119" t="s">
        <v>50</v>
      </c>
      <c r="D751" s="119" t="s">
        <v>20</v>
      </c>
      <c r="E751" s="117" t="s">
        <v>370</v>
      </c>
      <c r="F751" s="120">
        <f t="shared" si="220"/>
        <v>2</v>
      </c>
      <c r="G751" s="121" t="str">
        <f t="shared" si="221"/>
        <v>Shawn</v>
      </c>
      <c r="H751" s="122">
        <f>IF($D751="",0,IFERROR(LOOKUP(2,1/(($D$3:D750=$D751)*($A$3:A750&lt;$A751)),$N$3:N750),'Guide &amp; Settings'!$C$41))</f>
        <v>1192.0280857013031</v>
      </c>
      <c r="I751" s="123">
        <f t="shared" si="222"/>
        <v>0.43124999999999997</v>
      </c>
      <c r="J751" s="124">
        <f>IF($D751="",0,IF($F751&lt;2,0,IF($E751="Win",('Guide &amp; Settings'!$C$42/(($F751-1)*COUNTIFS($A$4:$A$1510,$A751,$E$4:$E$1510,"Win")))*SUMIFS($X$4:$X$1510,$A$4:$A$1510,$A751,$E$4:$E$1510,"Loss"),-('Guide &amp; Settings'!$C$42/($F751-1))*$X751)))</f>
        <v>22.557397380686719</v>
      </c>
      <c r="K751" s="124">
        <f>IF($D751="",0,'Guide &amp; Settings'!$C$43*(IF($E751="Win",1,0)-$I751))</f>
        <v>6.8250000000000011</v>
      </c>
      <c r="L751" s="125">
        <f>IF($D751="",0,'Guide &amp; Settings'!$C$44*IF($F751&gt;=3,$F751,0))</f>
        <v>0</v>
      </c>
      <c r="M751" s="124">
        <f t="shared" si="223"/>
        <v>29.382397380686719</v>
      </c>
      <c r="N751" s="122">
        <f t="shared" si="224"/>
        <v>1221.4104830819899</v>
      </c>
      <c r="O751" s="121" t="str">
        <f t="shared" si="225"/>
        <v>OK</v>
      </c>
      <c r="P751">
        <f t="shared" si="226"/>
        <v>1192.0280857013031</v>
      </c>
      <c r="Q751">
        <f t="shared" si="227"/>
        <v>0.5</v>
      </c>
      <c r="R751">
        <f t="shared" si="228"/>
        <v>0.46938775510204084</v>
      </c>
      <c r="S751">
        <f t="shared" si="229"/>
        <v>1.08843537414966</v>
      </c>
      <c r="T751" s="89">
        <f t="shared" si="230"/>
        <v>47</v>
      </c>
      <c r="U751" s="126">
        <f>IF($D751="",0,IFERROR(LOOKUP(2,1/(($D$3:D750=$D751)*($C$3:C750=$C751)*($A$3:A750&lt;$A751)),$AB$3:AB750),1000))</f>
        <v>982.80811723047827</v>
      </c>
      <c r="V751" s="126">
        <f t="shared" si="231"/>
        <v>1002.9254218911344</v>
      </c>
      <c r="W751">
        <f t="shared" si="232"/>
        <v>1002.9254218911344</v>
      </c>
      <c r="X751">
        <f t="shared" si="233"/>
        <v>0.5</v>
      </c>
      <c r="Y751">
        <f t="shared" si="234"/>
        <v>982.80811723047827</v>
      </c>
      <c r="Z751">
        <f t="shared" si="235"/>
        <v>0.5</v>
      </c>
      <c r="AA751">
        <f>IF($D751="",0,IF($F751&lt;2,0,IF($E751="Win",('Guide &amp; Settings'!$C$42/(($F751-1)*COUNTIFS($A$4:$A$1510,$A751,$E$4:$E$1510,"Win")))*SUMIFS($Z$4:$Z$1510,$A$4:$A$1510,$A751,$E$4:$E$1510,"Loss"),-('Guide &amp; Settings'!$C$42/($F751-1))*$Z751)))</f>
        <v>22.919189891625589</v>
      </c>
      <c r="AB751" s="126">
        <f t="shared" si="236"/>
        <v>1005.7273071221039</v>
      </c>
      <c r="AC751" s="126">
        <f>IF($D751="","",IF($AD751=0,0,IF(COUNTIFS($D$4:$D751,$D751,$B$4:$B751,$B751)&gt;1,0,IF($B751&lt;'Guide &amp; Settings'!$C$50,0,IF(($B751-$AD751)/7-'Guide &amp; Settings'!$C$48&gt;=0,(INT(($B751-$AD751)/7-'Guide &amp; Settings'!$C$48)+1)*'Guide &amp; Settings'!$C$49,0)))))</f>
        <v>0</v>
      </c>
      <c r="AD751" s="142">
        <f t="shared" si="237"/>
        <v>46297</v>
      </c>
      <c r="AE751">
        <f t="shared" si="238"/>
        <v>1</v>
      </c>
      <c r="AF751">
        <f t="shared" si="239"/>
        <v>0</v>
      </c>
    </row>
    <row r="752" spans="1:32" x14ac:dyDescent="0.2">
      <c r="A752" s="117">
        <v>317</v>
      </c>
      <c r="B752" s="118">
        <v>46298</v>
      </c>
      <c r="C752" s="119" t="s">
        <v>50</v>
      </c>
      <c r="D752" s="119" t="s">
        <v>22</v>
      </c>
      <c r="E752" s="117" t="s">
        <v>371</v>
      </c>
      <c r="F752" s="120">
        <f t="shared" si="220"/>
        <v>2</v>
      </c>
      <c r="G752" s="121" t="str">
        <f t="shared" si="221"/>
        <v>Shawn</v>
      </c>
      <c r="H752" s="122">
        <f>IF($D752="",0,IFERROR(LOOKUP(2,1/(($D$3:D751=$D752)*($A$3:A751&lt;$A752)),$N$3:N751),'Guide &amp; Settings'!$C$41))</f>
        <v>1238.7351164242023</v>
      </c>
      <c r="I752" s="123">
        <f t="shared" si="222"/>
        <v>0.56874999999999998</v>
      </c>
      <c r="J752" s="124">
        <f>IF($D752="",0,IF($F752&lt;2,0,IF($E752="Win",('Guide &amp; Settings'!$C$42/(($F752-1)*COUNTIFS($A$4:$A$1510,$A752,$E$4:$E$1510,"Win")))*SUMIFS($X$4:$X$1510,$A$4:$A$1510,$A752,$E$4:$E$1510,"Loss"),-('Guide &amp; Settings'!$C$42/($F752-1))*$X752)))</f>
        <v>-22.557397380686719</v>
      </c>
      <c r="K752" s="124">
        <f>IF($D752="",0,'Guide &amp; Settings'!$C$43*(IF($E752="Win",1,0)-$I752))</f>
        <v>-6.8249999999999993</v>
      </c>
      <c r="L752" s="125">
        <f>IF($D752="",0,'Guide &amp; Settings'!$C$44*IF($F752&gt;=3,$F752,0))</f>
        <v>0</v>
      </c>
      <c r="M752" s="124">
        <f t="shared" si="223"/>
        <v>-29.382397380686719</v>
      </c>
      <c r="N752" s="122">
        <f t="shared" si="224"/>
        <v>1209.3527190435154</v>
      </c>
      <c r="O752" s="121" t="str">
        <f t="shared" si="225"/>
        <v>OK</v>
      </c>
      <c r="P752">
        <f t="shared" si="226"/>
        <v>1192.0280857013031</v>
      </c>
      <c r="Q752">
        <f t="shared" si="227"/>
        <v>0.56681480316926813</v>
      </c>
      <c r="R752">
        <f t="shared" si="228"/>
        <v>0.61904761904761907</v>
      </c>
      <c r="S752">
        <f t="shared" si="229"/>
        <v>1.08843537414966</v>
      </c>
      <c r="T752" s="89">
        <f t="shared" si="230"/>
        <v>40</v>
      </c>
      <c r="U752" s="126">
        <f>IF($D752="",0,IFERROR(LOOKUP(2,1/(($D$3:D751=$D752)*($C$3:C751=$C752)*($A$3:A751&lt;$A752)),$AB$3:AB751),1000))</f>
        <v>1143.6379847352928</v>
      </c>
      <c r="V752" s="126">
        <f t="shared" si="231"/>
        <v>1154.2043327007273</v>
      </c>
      <c r="W752">
        <f t="shared" si="232"/>
        <v>1002.9254218911344</v>
      </c>
      <c r="X752">
        <f t="shared" si="233"/>
        <v>0.70491866814645998</v>
      </c>
      <c r="Y752">
        <f t="shared" si="234"/>
        <v>982.80811723047827</v>
      </c>
      <c r="Z752">
        <f t="shared" si="235"/>
        <v>0.71622468411329965</v>
      </c>
      <c r="AA752">
        <f>IF($D752="",0,IF($F752&lt;2,0,IF($E752="Win",('Guide &amp; Settings'!$C$42/(($F752-1)*COUNTIFS($A$4:$A$1510,$A752,$E$4:$E$1510,"Win")))*SUMIFS($Z$4:$Z$1510,$A$4:$A$1510,$A752,$E$4:$E$1510,"Loss"),-('Guide &amp; Settings'!$C$42/($F752-1))*$Z752)))</f>
        <v>-22.919189891625589</v>
      </c>
      <c r="AB752" s="126">
        <f t="shared" si="236"/>
        <v>1120.7187948436672</v>
      </c>
      <c r="AC752" s="126">
        <f>IF($D752="","",IF($AD752=0,0,IF(COUNTIFS($D$4:$D752,$D752,$B$4:$B752,$B752)&gt;1,0,IF($B752&lt;'Guide &amp; Settings'!$C$50,0,IF(($B752-$AD752)/7-'Guide &amp; Settings'!$C$48&gt;=0,(INT(($B752-$AD752)/7-'Guide &amp; Settings'!$C$48)+1)*'Guide &amp; Settings'!$C$49,0)))))</f>
        <v>0</v>
      </c>
      <c r="AD752" s="142">
        <f t="shared" si="237"/>
        <v>46297</v>
      </c>
      <c r="AE752">
        <f t="shared" si="238"/>
        <v>1</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2"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2" t="s">
        <v>377</v>
      </c>
      <c r="I3" s="146"/>
      <c r="J3" s="146"/>
      <c r="K3" s="146"/>
      <c r="L3" s="146"/>
      <c r="M3" s="146"/>
      <c r="N3" s="146"/>
      <c r="O3" s="146"/>
      <c r="P3" s="146"/>
      <c r="Q3" s="146"/>
      <c r="R3" s="146"/>
    </row>
    <row r="5" spans="1:18" ht="15" customHeight="1" x14ac:dyDescent="0.2">
      <c r="A5" s="160"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0"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46291</v>
      </c>
    </row>
    <row r="4" spans="1:41" ht="15" customHeight="1" x14ac:dyDescent="0.2">
      <c r="A4" t="s">
        <v>416</v>
      </c>
      <c r="B4" s="138">
        <f>MAX('Match Log'!$B$4:$B$1510)</f>
        <v>46298</v>
      </c>
      <c r="C4" t="s">
        <v>417</v>
      </c>
      <c r="D4" s="138">
        <f ca="1">MAX($B$4,TODAY())</f>
        <v>46298</v>
      </c>
    </row>
    <row r="5" spans="1:41" x14ac:dyDescent="0.2">
      <c r="B5" s="137">
        <f ca="1">TODAY()-7</f>
        <v>46291</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1209.6766156390552</v>
      </c>
      <c r="C7">
        <f>IFERROR(INDEX(Engine!$C$2:$C$15,MATCH($A7,Engine!$A$2:$A$15,0)),"")</f>
        <v>1166.5867926815431</v>
      </c>
      <c r="D7">
        <f t="shared" ref="D7:D20" si="0">RANK($B7,$B$7:$B$20)</f>
        <v>5</v>
      </c>
      <c r="E7">
        <f t="shared" ref="E7:E20" si="1">MAX($B$7:$B$20)-$B7</f>
        <v>23.820405066161811</v>
      </c>
      <c r="F7" t="str">
        <f>IFERROR(LOOKUP(2,1/('Match Log'!$D$4:$D$1510=$A7),'Match Log'!$E$4:$E$1510),"")</f>
        <v>Loss</v>
      </c>
      <c r="G7">
        <f>IF($F7="",0,SUMPRODUCT(('Match Log'!$D$4:$D$1510=$A7)*(ROW('Match Log'!$A$4:$A$1510)&gt;SUMPRODUCT(MAX(('Match Log'!$D$4:$D$1510=$A7)*('Match Log'!$E$4:$E$1510&lt;&gt;$F7)*ROW('Match Log'!$A$4:$A$1510))))))</f>
        <v>7</v>
      </c>
      <c r="H7" t="str">
        <f t="shared" ref="H7:H20" si="2">IF($G7=0,"",LEFT($F7,1)&amp;$G7)</f>
        <v>L7</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1196.4573395632247</v>
      </c>
      <c r="K7">
        <f t="shared" ref="K7:K20" ca="1" si="4">RANK($J7,$J$7:$J$20)</f>
        <v>4</v>
      </c>
      <c r="L7">
        <f t="shared" ref="L7:L20" ca="1" si="5">$K7-RANK($AI7,$AI$7:$AI$20)</f>
        <v>-1</v>
      </c>
      <c r="M7">
        <f t="shared" ref="M7:M20" si="6">SUMPRODUCT(($D$25:$D$724=$A7)*($G$25:$G$724&gt;0.25)*($D$25:$D$724&lt;&gt;""))</f>
        <v>7</v>
      </c>
      <c r="N7">
        <f t="shared" ref="N7:N20" si="7">LEN($I7)-LEN(SUBSTITUTE($I7,"W",""))</f>
        <v>0</v>
      </c>
      <c r="O7">
        <f t="shared" ref="O7:O20" si="8">IF($F7="Win",$G7,0)</f>
        <v>0</v>
      </c>
      <c r="P7">
        <f>IFERROR(SUMPRODUCT(MAX(('Match Log'!$D$4:$D$1510=$A7)*'Match Log'!$B$4:$B$1510)),0)</f>
        <v>46297</v>
      </c>
      <c r="Q7">
        <f t="shared" ref="Q7:Q20" ca="1" si="9">IF($P7=0,"",($D$4-$P7)/7)</f>
        <v>0.14285714285714285</v>
      </c>
      <c r="R7">
        <f ca="1">IF($P7=0,0,IF($Q7&gt;='Guide &amp; Settings'!$C$48,(INT($Q7-'Guide &amp; Settings'!$C$48)+1)*'Guide &amp; Settings'!$C$49,0))</f>
        <v>0</v>
      </c>
      <c r="S7">
        <f ca="1">$B7-$R7-$U7+SUMIF('Poker Stake Ledger'!$C$18:$C$137,$A7,'Poker Stake Ledger'!$K$18:$K$137)</f>
        <v>1188.5766156390553</v>
      </c>
      <c r="T7" t="str">
        <f ca="1">IF($P7=0,"No games",IF($Q7&gt;='Guide &amp; Settings'!$C$48,"Inactive",IF($Q7&gt;='Guide &amp; Settings'!$C$47,"At risk","Active")))</f>
        <v>Active</v>
      </c>
      <c r="U7">
        <f>SUMIF('Match Log'!$D$4:$D$1510,$A7,'Match Log'!$AC$4:$AC$1510)</f>
        <v>10</v>
      </c>
      <c r="V7">
        <f t="shared" ref="V7:V20" si="10">IF($F7="Loss",$G7,0)</f>
        <v>7</v>
      </c>
      <c r="W7">
        <f t="shared" ref="W7:W20" ca="1" si="11">MAX(0,MIN(100,50+($S7-1000)/4))</f>
        <v>97.144153909763816</v>
      </c>
      <c r="X7">
        <f ca="1">IFERROR(INDEX(Dashboard!$G$5:$G$18,MATCH($A7,Dashboard!$B$5:$B$18,0))*100,0)</f>
        <v>46.153846153846153</v>
      </c>
      <c r="Y7">
        <f ca="1">MIN(100,IFERROR(INDEX(Dashboard!$K$5:$K$18,MATCH($A7,Dashboard!$B$5:$B$18,0)),0)/5*50+$AC7/4*50)</f>
        <v>100</v>
      </c>
      <c r="Z7">
        <f t="shared" ref="Z7:Z20" si="12">IFERROR($N7/LEN($I7)*100,0)</f>
        <v>0</v>
      </c>
      <c r="AA7">
        <f t="shared" ref="AA7:AA20" si="13">IF($C7="",0,MAX(0,MIN(100,50+($C7-1000)/4)))</f>
        <v>91.646698170385775</v>
      </c>
      <c r="AB7">
        <f t="shared" ref="AB7:AB20" ca="1" si="14">0.35*$W7+0.2*$X7+0.2*$Y7+0.15*$Z7+0.1*$AA7</f>
        <v>72.395892916225137</v>
      </c>
      <c r="AC7">
        <f>IFERROR(SUMPRODUCT((INDEX('Sport Records'!$B$8:$O$32,0,MATCH($A7,'Sport Records'!$B$7:$O$7,0))&gt;=2)*(INDEX('Sport Records'!$B$62:$O$86,0,MATCH($A7,'Sport Records'!$B$61:$O$61,0))&gt;=0.5)),0)</f>
        <v>4</v>
      </c>
      <c r="AD7">
        <f ca="1">IFERROR(INDEX(Dashboard!$D$5:$D$18,MATCH($A7,Dashboard!$B$5:$B$18,0)),0)</f>
        <v>91</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2</v>
      </c>
      <c r="AH7">
        <f ca="1">COUNTIFS('Match Log'!$D$4:$D$1510,$A7,'Match Log'!$B$4:$B$1510,"&gt;="&amp;$B$5,'Match Log'!$E$4:$E$1510,"Win")</f>
        <v>0</v>
      </c>
      <c r="AI7">
        <f t="shared" ref="AI7:AI20" ca="1" si="16">IF(ISNUMBER($S7),$S7,-1000000)+ROW()/10000000</f>
        <v>1188.5766163390554</v>
      </c>
      <c r="AK7">
        <f ca="1">_xlfn.MAXIFS('Match Log'!$B$4:$B$1510,'Match Log'!$D$4:$D$1510,$A7,'Match Log'!$B$4:$B$1510,"&lt;="&amp;($D$4-7))</f>
        <v>46290</v>
      </c>
      <c r="AL7">
        <f ca="1">IFERROR(LOOKUP(2,1/(('Match Log'!$D$4:$D$1510=$A7)*('Match Log'!$B$4:$B$1510&lt;=$D$4-7)),'Match Log'!$N$4:$N$1510),1000)</f>
        <v>1217.5573388632245</v>
      </c>
      <c r="AM7">
        <f ca="1">SUMIFS('Match Log'!$AC$4:$AC$1510,'Match Log'!$D$4:$D$1510,$A7,'Match Log'!$B$4:$B$1510,"&lt;="&amp;($D$4-7))</f>
        <v>10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1096.9405487541967</v>
      </c>
      <c r="D8">
        <f t="shared" si="0"/>
        <v>9</v>
      </c>
      <c r="E8">
        <f t="shared" si="1"/>
        <v>203.97942417170316</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919.51759733351378</v>
      </c>
      <c r="K8">
        <f t="shared" ca="1" si="4"/>
        <v>12</v>
      </c>
      <c r="L8">
        <f t="shared" ca="1" si="5"/>
        <v>0</v>
      </c>
      <c r="M8">
        <f t="shared" si="6"/>
        <v>0</v>
      </c>
      <c r="N8">
        <f t="shared" si="7"/>
        <v>2</v>
      </c>
      <c r="O8">
        <f t="shared" si="8"/>
        <v>0</v>
      </c>
      <c r="P8">
        <f>IFERROR(SUMPRODUCT(MAX(('Match Log'!$D$4:$D$1510=$A8)*'Match Log'!$B$4:$B$1510)),0)</f>
        <v>46188</v>
      </c>
      <c r="Q8">
        <f t="shared" ca="1" si="9"/>
        <v>15.714285714285714</v>
      </c>
      <c r="R8">
        <f ca="1">IF($P8=0,0,IF($Q8&gt;='Guide &amp; Settings'!$C$48,(INT($Q8-'Guide &amp; Settings'!$C$48)+1)*'Guide &amp; Settings'!$C$49,0))</f>
        <v>120</v>
      </c>
      <c r="S8">
        <f ca="1">$B8-$R8-$U8+SUMIF('Poker Stake Ledger'!$C$18:$C$137,$A8,'Poker Stake Ledger'!$K$18:$K$137)</f>
        <v>909.51759653351382</v>
      </c>
      <c r="T8" t="str">
        <f ca="1">IF($P8=0,"No games",IF($Q8&gt;='Guide &amp; Settings'!$C$48,"Inactive",IF($Q8&gt;='Guide &amp; Settings'!$C$47,"At risk","Active")))</f>
        <v>Inactive</v>
      </c>
      <c r="U8">
        <f>SUMIF('Match Log'!$D$4:$D$1510,$A8,'Match Log'!$AC$4:$AC$1510)</f>
        <v>0</v>
      </c>
      <c r="V8">
        <f t="shared" si="10"/>
        <v>2</v>
      </c>
      <c r="W8">
        <f t="shared" ca="1" si="11"/>
        <v>27.379399133378456</v>
      </c>
      <c r="X8">
        <f ca="1">IFERROR(INDEX(Dashboard!$G$5:$G$18,MATCH($A8,Dashboard!$B$5:$B$18,0))*100,0)</f>
        <v>50</v>
      </c>
      <c r="Y8">
        <f ca="1">MIN(100,IFERROR(INDEX(Dashboard!$K$5:$K$18,MATCH($A8,Dashboard!$B$5:$B$18,0)),0)/5*50+$AC8/4*50)</f>
        <v>42.5</v>
      </c>
      <c r="Z8">
        <f t="shared" si="12"/>
        <v>40</v>
      </c>
      <c r="AA8">
        <f t="shared" si="13"/>
        <v>74.235137188549174</v>
      </c>
      <c r="AB8">
        <f t="shared" ca="1" si="14"/>
        <v>41.506303415537381</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909.51759733351378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110</v>
      </c>
    </row>
    <row r="9" spans="1:41" ht="15" customHeight="1" x14ac:dyDescent="0.2">
      <c r="A9" t="s">
        <v>17</v>
      </c>
      <c r="B9">
        <f>IFERROR(INDEX(Engine!$B$2:$B$15,MATCH($A9,Engine!$A$2:$A$15,0)),1000)</f>
        <v>1048.0761030598392</v>
      </c>
      <c r="C9">
        <f>IFERROR(INDEX(Engine!$C$2:$C$15,MATCH($A9,Engine!$A$2:$A$15,0)),"")</f>
        <v>1163.6237155272313</v>
      </c>
      <c r="D9">
        <f t="shared" si="0"/>
        <v>8</v>
      </c>
      <c r="E9">
        <f t="shared" si="1"/>
        <v>185.42091764537781</v>
      </c>
      <c r="F9" t="str">
        <f>IFERROR(LOOKUP(2,1/('Match Log'!$D$4:$D$1510=$A9),'Match Log'!$E$4:$E$1510),"")</f>
        <v>Loss</v>
      </c>
      <c r="G9">
        <f>IF($F9="",0,SUMPRODUCT(('Match Log'!$D$4:$D$1510=$A9)*(ROW('Match Log'!$A$4:$A$1510)&gt;SUMPRODUCT(MAX(('Match Log'!$D$4:$D$1510=$A9)*('Match Log'!$E$4:$E$1510&lt;&gt;$F9)*ROW('Match Log'!$A$4:$A$1510))))))</f>
        <v>4</v>
      </c>
      <c r="H9" t="str">
        <f t="shared" si="2"/>
        <v>L4</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WLLLL</v>
      </c>
      <c r="J9">
        <f t="shared" ca="1" si="3"/>
        <v>1061.2287224286424</v>
      </c>
      <c r="K9">
        <f t="shared" ca="1" si="4"/>
        <v>7</v>
      </c>
      <c r="L9">
        <f t="shared" ca="1" si="5"/>
        <v>-1</v>
      </c>
      <c r="M9">
        <f t="shared" si="6"/>
        <v>0</v>
      </c>
      <c r="N9">
        <f t="shared" si="7"/>
        <v>1</v>
      </c>
      <c r="O9">
        <f t="shared" si="8"/>
        <v>0</v>
      </c>
      <c r="P9">
        <f>IFERROR(SUMPRODUCT(MAX(('Match Log'!$D$4:$D$1510=$A9)*'Match Log'!$B$4:$B$1510)),0)</f>
        <v>46297</v>
      </c>
      <c r="Q9">
        <f t="shared" ca="1" si="9"/>
        <v>0.14285714285714285</v>
      </c>
      <c r="R9">
        <f ca="1">IF($P9=0,0,IF($Q9&gt;='Guide &amp; Settings'!$C$48,(INT($Q9-'Guide &amp; Settings'!$C$48)+1)*'Guide &amp; Settings'!$C$49,0))</f>
        <v>0</v>
      </c>
      <c r="S9">
        <f ca="1">$B9-$R9-$U9+SUMIF('Poker Stake Ledger'!$C$18:$C$137,$A9,'Poker Stake Ledger'!$K$18:$K$137)</f>
        <v>1028.0761030598392</v>
      </c>
      <c r="T9" t="str">
        <f ca="1">IF($P9=0,"No games",IF($Q9&gt;='Guide &amp; Settings'!$C$48,"Inactive",IF($Q9&gt;='Guide &amp; Settings'!$C$47,"At risk","Active")))</f>
        <v>Active</v>
      </c>
      <c r="U9">
        <f>SUMIF('Match Log'!$D$4:$D$1510,$A9,'Match Log'!$AC$4:$AC$1510)</f>
        <v>20</v>
      </c>
      <c r="V9">
        <f t="shared" si="10"/>
        <v>4</v>
      </c>
      <c r="W9">
        <f t="shared" ca="1" si="11"/>
        <v>57.019025764959792</v>
      </c>
      <c r="X9">
        <f ca="1">IFERROR(INDEX(Dashboard!$G$5:$G$18,MATCH($A9,Dashboard!$B$5:$B$18,0))*100,0)</f>
        <v>39.130434782608695</v>
      </c>
      <c r="Y9">
        <f ca="1">MIN(100,IFERROR(INDEX(Dashboard!$K$5:$K$18,MATCH($A9,Dashboard!$B$5:$B$18,0)),0)/5*50+$AC9/4*50)</f>
        <v>100</v>
      </c>
      <c r="Z9">
        <f t="shared" si="12"/>
        <v>20</v>
      </c>
      <c r="AA9">
        <f t="shared" si="13"/>
        <v>90.905928881807824</v>
      </c>
      <c r="AB9">
        <f t="shared" ca="1" si="14"/>
        <v>59.873338862438445</v>
      </c>
      <c r="AC9">
        <f>IFERROR(SUMPRODUCT((INDEX('Sport Records'!$B$8:$O$32,0,MATCH($A9,'Sport Records'!$B$7:$O$7,0))&gt;=2)*(INDEX('Sport Records'!$B$62:$O$86,0,MATCH($A9,'Sport Records'!$B$61:$O$61,0))&gt;=0.5)),0)</f>
        <v>1</v>
      </c>
      <c r="AD9">
        <f ca="1">IFERROR(INDEX(Dashboard!$D$5:$D$18,MATCH($A9,Dashboard!$B$5:$B$18,0)),0)</f>
        <v>23</v>
      </c>
      <c r="AE9">
        <f ca="1">IFERROR(INDEX(Dashboard!$K$5:$K$18,MATCH($A9,Dashboard!$B$5:$B$18,0)),0)</f>
        <v>10</v>
      </c>
      <c r="AF9" t="str">
        <f t="shared" ca="1" si="15"/>
        <v>Strong</v>
      </c>
      <c r="AG9">
        <f ca="1">COUNTIFS('Match Log'!$D$4:$D$1510,$A9,'Match Log'!$B$4:$B$1510,"&gt;="&amp;$B$5)</f>
        <v>3</v>
      </c>
      <c r="AH9">
        <f ca="1">COUNTIFS('Match Log'!$D$4:$D$1510,$A9,'Match Log'!$B$4:$B$1510,"&gt;="&amp;$B$5,'Match Log'!$E$4:$E$1510,"Win")</f>
        <v>0</v>
      </c>
      <c r="AI9">
        <f t="shared" ca="1" si="16"/>
        <v>1028.0761039598392</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1169.1431977115628</v>
      </c>
      <c r="D10">
        <f t="shared" si="0"/>
        <v>13</v>
      </c>
      <c r="E10">
        <f t="shared" si="1"/>
        <v>326.46568426404269</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867.03133744117429</v>
      </c>
      <c r="K10">
        <f t="shared" ca="1" si="4"/>
        <v>13</v>
      </c>
      <c r="L10">
        <f t="shared" ca="1" si="5"/>
        <v>0</v>
      </c>
      <c r="M10">
        <f t="shared" si="6"/>
        <v>0</v>
      </c>
      <c r="N10">
        <f t="shared" si="7"/>
        <v>0</v>
      </c>
      <c r="O10">
        <f t="shared" si="8"/>
        <v>0</v>
      </c>
      <c r="P10">
        <f>IFERROR(SUMPRODUCT(MAX(('Match Log'!$D$4:$D$1510=$A10)*'Match Log'!$B$4:$B$1510)),0)</f>
        <v>46256</v>
      </c>
      <c r="Q10">
        <f t="shared" ca="1" si="9"/>
        <v>6</v>
      </c>
      <c r="R10">
        <f ca="1">IF($P10=0,0,IF($Q10&gt;='Guide &amp; Settings'!$C$48,(INT($Q10-'Guide &amp; Settings'!$C$48)+1)*'Guide &amp; Settings'!$C$49,0))</f>
        <v>30</v>
      </c>
      <c r="S10">
        <f ca="1">$B10-$R10-$U10+SUMIF('Poker Stake Ledger'!$C$18:$C$137,$A10,'Poker Stake Ledger'!$K$18:$K$137)</f>
        <v>857.03133644117429</v>
      </c>
      <c r="T10" t="str">
        <f ca="1">IF($P10=0,"No games",IF($Q10&gt;='Guide &amp; Settings'!$C$48,"Inactive",IF($Q10&gt;='Guide &amp; Settings'!$C$47,"At risk","Active")))</f>
        <v>Inactive</v>
      </c>
      <c r="U10">
        <f>SUMIF('Match Log'!$D$4:$D$1510,$A10,'Match Log'!$AC$4:$AC$1510)</f>
        <v>20</v>
      </c>
      <c r="V10">
        <f t="shared" si="10"/>
        <v>5</v>
      </c>
      <c r="W10">
        <f t="shared" ca="1" si="11"/>
        <v>14.257834110293572</v>
      </c>
      <c r="X10">
        <f ca="1">IFERROR(INDEX(Dashboard!$G$5:$G$18,MATCH($A10,Dashboard!$B$5:$B$18,0))*100,0)</f>
        <v>21.739130434782609</v>
      </c>
      <c r="Y10">
        <f ca="1">MIN(100,IFERROR(INDEX(Dashboard!$K$5:$K$18,MATCH($A10,Dashboard!$B$5:$B$18,0)),0)/5*50+$AC10/4*50)</f>
        <v>60</v>
      </c>
      <c r="Z10">
        <f t="shared" si="12"/>
        <v>0</v>
      </c>
      <c r="AA10">
        <f t="shared" si="13"/>
        <v>92.285799427890709</v>
      </c>
      <c r="AB10">
        <f t="shared" ca="1" si="14"/>
        <v>30.566647968348345</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857.03133744117429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20</v>
      </c>
    </row>
    <row r="11" spans="1:41" ht="15" customHeight="1" x14ac:dyDescent="0.2">
      <c r="A11" t="s">
        <v>19</v>
      </c>
      <c r="B11">
        <f>IFERROR(INDEX(Engine!$B$2:$B$15,MATCH($A11,Engine!$A$2:$A$15,0)),1000)</f>
        <v>1233.497020705217</v>
      </c>
      <c r="C11">
        <f>IFERROR(INDEX(Engine!$C$2:$C$15,MATCH($A11,Engine!$A$2:$A$15,0)),"")</f>
        <v>1153.1121159880802</v>
      </c>
      <c r="D11">
        <f t="shared" si="0"/>
        <v>1</v>
      </c>
      <c r="E11">
        <f t="shared" si="1"/>
        <v>0</v>
      </c>
      <c r="F11" t="str">
        <f>IFERROR(LOOKUP(2,1/('Match Log'!$D$4:$D$1510=$A11),'Match Log'!$E$4:$E$1510),"")</f>
        <v>Win</v>
      </c>
      <c r="G11">
        <f>IF($F11="",0,SUMPRODUCT(('Match Log'!$D$4:$D$1510=$A11)*(ROW('Match Log'!$A$4:$A$1510)&gt;SUMPRODUCT(MAX(('Match Log'!$D$4:$D$1510=$A11)*('Match Log'!$E$4:$E$1510&lt;&gt;$F11)*ROW('Match Log'!$A$4:$A$1510))))))</f>
        <v>5</v>
      </c>
      <c r="H11" t="str">
        <f t="shared" si="2"/>
        <v>W5</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1214.0621503095624</v>
      </c>
      <c r="K11">
        <f t="shared" ca="1" si="4"/>
        <v>2</v>
      </c>
      <c r="L11">
        <f t="shared" ca="1" si="5"/>
        <v>1</v>
      </c>
      <c r="M11">
        <f t="shared" si="6"/>
        <v>2</v>
      </c>
      <c r="N11">
        <f t="shared" si="7"/>
        <v>5</v>
      </c>
      <c r="O11">
        <f t="shared" si="8"/>
        <v>5</v>
      </c>
      <c r="P11">
        <f>IFERROR(SUMPRODUCT(MAX(('Match Log'!$D$4:$D$1510=$A11)*'Match Log'!$B$4:$B$1510)),0)</f>
        <v>46292</v>
      </c>
      <c r="Q11">
        <f t="shared" ca="1" si="9"/>
        <v>0.8571428571428571</v>
      </c>
      <c r="R11">
        <f ca="1">IF($P11=0,0,IF($Q11&gt;='Guide &amp; Settings'!$C$48,(INT($Q11-'Guide &amp; Settings'!$C$48)+1)*'Guide &amp; Settings'!$C$49,0))</f>
        <v>0</v>
      </c>
      <c r="S11">
        <f ca="1">$B11-$R11-$U11+SUMIF('Poker Stake Ledger'!$C$18:$C$137,$A11,'Poker Stake Ledger'!$K$18:$K$137)</f>
        <v>1255.247020705217</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60.9375</v>
      </c>
      <c r="Y11">
        <f ca="1">MIN(100,IFERROR(INDEX(Dashboard!$K$5:$K$18,MATCH($A11,Dashboard!$B$5:$B$18,0)),0)/5*50+$AC11/4*50)</f>
        <v>100</v>
      </c>
      <c r="Z11">
        <f t="shared" si="12"/>
        <v>100</v>
      </c>
      <c r="AA11">
        <f t="shared" si="13"/>
        <v>88.278028997020044</v>
      </c>
      <c r="AB11">
        <f t="shared" ca="1" si="14"/>
        <v>91.015302899702007</v>
      </c>
      <c r="AC11">
        <f>IFERROR(SUMPRODUCT((INDEX('Sport Records'!$B$8:$O$32,0,MATCH($A11,'Sport Records'!$B$7:$O$7,0))&gt;=2)*(INDEX('Sport Records'!$B$62:$O$86,0,MATCH($A11,'Sport Records'!$B$61:$O$61,0))&gt;=0.5)),0)</f>
        <v>9</v>
      </c>
      <c r="AD11">
        <f ca="1">IFERROR(INDEX(Dashboard!$D$5:$D$18,MATCH($A11,Dashboard!$B$5:$B$18,0)),0)</f>
        <v>64</v>
      </c>
      <c r="AE11">
        <f ca="1">IFERROR(INDEX(Dashboard!$K$5:$K$18,MATCH($A11,Dashboard!$B$5:$B$18,0)),0)</f>
        <v>15</v>
      </c>
      <c r="AF11" t="str">
        <f t="shared" ca="1" si="15"/>
        <v>Elite</v>
      </c>
      <c r="AG11">
        <f ca="1">COUNTIFS('Match Log'!$D$4:$D$1510,$A11,'Match Log'!$B$4:$B$1510,"&gt;="&amp;$B$5)</f>
        <v>2</v>
      </c>
      <c r="AH11">
        <f ca="1">COUNTIFS('Match Log'!$D$4:$D$1510,$A11,'Match Log'!$B$4:$B$1510,"&gt;="&amp;$B$5,'Match Log'!$E$4:$E$1510,"Win")</f>
        <v>2</v>
      </c>
      <c r="AI11">
        <f t="shared" ca="1" si="16"/>
        <v>1255.2470218052169</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1221.4104830819899</v>
      </c>
      <c r="C12">
        <f>IFERROR(INDEX(Engine!$C$2:$C$15,MATCH($A12,Engine!$A$2:$A$15,0)),"")</f>
        <v>1150.6857181465882</v>
      </c>
      <c r="D12">
        <f t="shared" si="0"/>
        <v>2</v>
      </c>
      <c r="E12">
        <f t="shared" si="1"/>
        <v>12.086537623227059</v>
      </c>
      <c r="F12" t="str">
        <f>IFERROR(LOOKUP(2,1/('Match Log'!$D$4:$D$1510=$A12),'Match Log'!$E$4:$E$1510),"")</f>
        <v>Win</v>
      </c>
      <c r="G12">
        <f>IF($F12="",0,SUMPRODUCT(('Match Log'!$D$4:$D$1510=$A12)*(ROW('Match Log'!$A$4:$A$1510)&gt;SUMPRODUCT(MAX(('Match Log'!$D$4:$D$1510=$A12)*('Match Log'!$E$4:$E$1510&lt;&gt;$F12)*ROW('Match Log'!$A$4:$A$1510))))))</f>
        <v>2</v>
      </c>
      <c r="H12" t="str">
        <f t="shared" si="2"/>
        <v>W2</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LLLWW</v>
      </c>
      <c r="J12">
        <f t="shared" ca="1" si="3"/>
        <v>1129.1037286164212</v>
      </c>
      <c r="K12">
        <f t="shared" ca="1" si="4"/>
        <v>6</v>
      </c>
      <c r="L12">
        <f t="shared" ca="1" si="5"/>
        <v>4</v>
      </c>
      <c r="M12">
        <f t="shared" si="6"/>
        <v>6</v>
      </c>
      <c r="N12">
        <f t="shared" si="7"/>
        <v>2</v>
      </c>
      <c r="O12">
        <f t="shared" si="8"/>
        <v>2</v>
      </c>
      <c r="P12">
        <f>IFERROR(SUMPRODUCT(MAX(('Match Log'!$D$4:$D$1510=$A12)*'Match Log'!$B$4:$B$1510)),0)</f>
        <v>46298</v>
      </c>
      <c r="Q12">
        <f t="shared" ca="1" si="9"/>
        <v>0</v>
      </c>
      <c r="R12">
        <f ca="1">IF($P12=0,0,IF($Q12&gt;='Guide &amp; Settings'!$C$48,(INT($Q12-'Guide &amp; Settings'!$C$48)+1)*'Guide &amp; Settings'!$C$49,0))</f>
        <v>0</v>
      </c>
      <c r="S12">
        <f ca="1">$B12-$R12-$U12+SUMIF('Poker Stake Ledger'!$C$18:$C$137,$A12,'Poker Stake Ledger'!$K$18:$K$137)</f>
        <v>1217.6604830819899</v>
      </c>
      <c r="T12" t="str">
        <f ca="1">IF($P12=0,"No games",IF($Q12&gt;='Guide &amp; Settings'!$C$48,"Inactive",IF($Q12&gt;='Guide &amp; Settings'!$C$47,"At risk","Active")))</f>
        <v>Active</v>
      </c>
      <c r="U12">
        <f>SUMIF('Match Log'!$D$4:$D$1510,$A12,'Match Log'!$AC$4:$AC$1510)</f>
        <v>0</v>
      </c>
      <c r="V12">
        <f t="shared" si="10"/>
        <v>0</v>
      </c>
      <c r="W12">
        <f t="shared" ca="1" si="11"/>
        <v>100</v>
      </c>
      <c r="X12">
        <f ca="1">IFERROR(INDEX(Dashboard!$G$5:$G$18,MATCH($A12,Dashboard!$B$5:$B$18,0))*100,0)</f>
        <v>47.023809523809526</v>
      </c>
      <c r="Y12">
        <f ca="1">MIN(100,IFERROR(INDEX(Dashboard!$K$5:$K$18,MATCH($A12,Dashboard!$B$5:$B$18,0)),0)/5*50+$AC12/4*50)</f>
        <v>100</v>
      </c>
      <c r="Z12">
        <f t="shared" si="12"/>
        <v>40</v>
      </c>
      <c r="AA12">
        <f t="shared" si="13"/>
        <v>87.671429536647054</v>
      </c>
      <c r="AB12">
        <f t="shared" ca="1" si="14"/>
        <v>79.171904858426601</v>
      </c>
      <c r="AC12">
        <f>IFERROR(SUMPRODUCT((INDEX('Sport Records'!$B$8:$O$32,0,MATCH($A12,'Sport Records'!$B$7:$O$7,0))&gt;=2)*(INDEX('Sport Records'!$B$62:$O$86,0,MATCH($A12,'Sport Records'!$B$61:$O$61,0))&gt;=0.5)),0)</f>
        <v>5</v>
      </c>
      <c r="AD12">
        <f ca="1">IFERROR(INDEX(Dashboard!$D$5:$D$18,MATCH($A12,Dashboard!$B$5:$B$18,0)),0)</f>
        <v>168</v>
      </c>
      <c r="AE12">
        <f ca="1">IFERROR(INDEX(Dashboard!$K$5:$K$18,MATCH($A12,Dashboard!$B$5:$B$18,0)),0)</f>
        <v>19</v>
      </c>
      <c r="AF12" t="str">
        <f t="shared" ca="1" si="15"/>
        <v>Elite</v>
      </c>
      <c r="AG12">
        <f ca="1">COUNTIFS('Match Log'!$D$4:$D$1510,$A12,'Match Log'!$B$4:$B$1510,"&gt;="&amp;$B$5)</f>
        <v>12</v>
      </c>
      <c r="AH12">
        <f ca="1">COUNTIFS('Match Log'!$D$4:$D$1510,$A12,'Match Log'!$B$4:$B$1510,"&gt;="&amp;$B$5,'Match Log'!$E$4:$E$1510,"Win")</f>
        <v>6</v>
      </c>
      <c r="AI12">
        <f t="shared" ca="1" si="16"/>
        <v>1217.66048428199</v>
      </c>
      <c r="AK12">
        <f ca="1">_xlfn.MAXIFS('Match Log'!$B$4:$B$1510,'Match Log'!$D$4:$D$1510,$A12,'Match Log'!$B$4:$B$1510,"&lt;="&amp;($D$4-7))</f>
        <v>46291</v>
      </c>
      <c r="AL12">
        <f ca="1">IFERROR(LOOKUP(2,1/(('Match Log'!$D$4:$D$1510=$A12)*('Match Log'!$B$4:$B$1510&lt;=$D$4-7)),'Match Log'!$N$4:$N$1510),1000)</f>
        <v>1132.8537274164212</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1087.8631572235931</v>
      </c>
      <c r="D13">
        <f t="shared" si="0"/>
        <v>4</v>
      </c>
      <c r="E13">
        <f t="shared" si="1"/>
        <v>17.500839018073975</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3</v>
      </c>
      <c r="L13">
        <f t="shared" ca="1" si="5"/>
        <v>0</v>
      </c>
      <c r="M13">
        <f t="shared" si="6"/>
        <v>2</v>
      </c>
      <c r="N13">
        <f t="shared" si="7"/>
        <v>5</v>
      </c>
      <c r="O13">
        <f t="shared" si="8"/>
        <v>5</v>
      </c>
      <c r="P13">
        <f>IFERROR(SUMPRODUCT(MAX(('Match Log'!$D$4:$D$1510=$A13)*'Match Log'!$B$4:$B$1510)),0)</f>
        <v>46271</v>
      </c>
      <c r="Q13">
        <f t="shared" ca="1" si="9"/>
        <v>3.8571428571428572</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71.965789305898284</v>
      </c>
      <c r="AB13">
        <f t="shared" ca="1" si="14"/>
        <v>87.696578930589823</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1209.3527190435154</v>
      </c>
      <c r="C14">
        <f>IFERROR(INDEX(Engine!$C$2:$C$15,MATCH($A14,Engine!$A$2:$A$15,0)),"")</f>
        <v>1168.7914974146538</v>
      </c>
      <c r="D14">
        <f t="shared" si="0"/>
        <v>6</v>
      </c>
      <c r="E14">
        <f t="shared" si="1"/>
        <v>24.144301661701547</v>
      </c>
      <c r="F14" t="str">
        <f>IFERROR(LOOKUP(2,1/('Match Log'!$D$4:$D$1510=$A14),'Match Log'!$E$4:$E$1510),"")</f>
        <v>Loss</v>
      </c>
      <c r="G14">
        <f>IF($F14="",0,SUMPRODUCT(('Match Log'!$D$4:$D$1510=$A14)*(ROW('Match Log'!$A$4:$A$1510)&gt;SUMPRODUCT(MAX(('Match Log'!$D$4:$D$1510=$A14)*('Match Log'!$E$4:$E$1510&lt;&gt;$F14)*ROW('Match Log'!$A$4:$A$1510))))))</f>
        <v>1</v>
      </c>
      <c r="H14" t="str">
        <f t="shared" si="2"/>
        <v>L1</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WWWWL</v>
      </c>
      <c r="J14">
        <f t="shared" ca="1" si="3"/>
        <v>1219.9989856732086</v>
      </c>
      <c r="K14">
        <f t="shared" ca="1" si="4"/>
        <v>1</v>
      </c>
      <c r="L14">
        <f t="shared" ca="1" si="5"/>
        <v>-3</v>
      </c>
      <c r="M14">
        <f t="shared" si="6"/>
        <v>10</v>
      </c>
      <c r="N14">
        <f t="shared" si="7"/>
        <v>4</v>
      </c>
      <c r="O14">
        <f t="shared" si="8"/>
        <v>0</v>
      </c>
      <c r="P14">
        <f>IFERROR(SUMPRODUCT(MAX(('Match Log'!$D$4:$D$1510=$A14)*'Match Log'!$B$4:$B$1510)),0)</f>
        <v>46298</v>
      </c>
      <c r="Q14">
        <f t="shared" ca="1" si="9"/>
        <v>0</v>
      </c>
      <c r="R14">
        <f ca="1">IF($P14=0,0,IF($Q14&gt;='Guide &amp; Settings'!$C$48,(INT($Q14-'Guide &amp; Settings'!$C$48)+1)*'Guide &amp; Settings'!$C$49,0))</f>
        <v>0</v>
      </c>
      <c r="S14">
        <f ca="1">$B14-$R14-$U14+SUMIF('Poker Stake Ledger'!$C$18:$C$137,$A14,'Poker Stake Ledger'!$K$18:$K$137)</f>
        <v>1208.0027190435155</v>
      </c>
      <c r="T14" t="str">
        <f ca="1">IF($P14=0,"No games",IF($Q14&gt;='Guide &amp; Settings'!$C$48,"Inactive",IF($Q14&gt;='Guide &amp; Settings'!$C$47,"At risk","Active")))</f>
        <v>Active</v>
      </c>
      <c r="U14">
        <f>SUMIF('Match Log'!$D$4:$D$1510,$A14,'Match Log'!$AC$4:$AC$1510)</f>
        <v>0</v>
      </c>
      <c r="V14">
        <f t="shared" si="10"/>
        <v>1</v>
      </c>
      <c r="W14">
        <f t="shared" ca="1" si="11"/>
        <v>100</v>
      </c>
      <c r="X14">
        <f ca="1">IFERROR(INDEX(Dashboard!$G$5:$G$18,MATCH($A14,Dashboard!$B$5:$B$18,0))*100,0)</f>
        <v>43.037974683544306</v>
      </c>
      <c r="Y14">
        <f ca="1">MIN(100,IFERROR(INDEX(Dashboard!$K$5:$K$18,MATCH($A14,Dashboard!$B$5:$B$18,0)),0)/5*50+$AC14/4*50)</f>
        <v>100</v>
      </c>
      <c r="Z14">
        <f t="shared" si="12"/>
        <v>80</v>
      </c>
      <c r="AA14">
        <f t="shared" si="13"/>
        <v>92.197874353663451</v>
      </c>
      <c r="AB14">
        <f t="shared" ca="1" si="14"/>
        <v>84.827382372075206</v>
      </c>
      <c r="AC14">
        <f>IFERROR(SUMPRODUCT((INDEX('Sport Records'!$B$8:$O$32,0,MATCH($A14,'Sport Records'!$B$7:$O$7,0))&gt;=2)*(INDEX('Sport Records'!$B$62:$O$86,0,MATCH($A14,'Sport Records'!$B$61:$O$61,0))&gt;=0.5)),0)</f>
        <v>5</v>
      </c>
      <c r="AD14">
        <f ca="1">IFERROR(INDEX(Dashboard!$D$5:$D$18,MATCH($A14,Dashboard!$B$5:$B$18,0)),0)</f>
        <v>158</v>
      </c>
      <c r="AE14">
        <f ca="1">IFERROR(INDEX(Dashboard!$K$5:$K$18,MATCH($A14,Dashboard!$B$5:$B$18,0)),0)</f>
        <v>20</v>
      </c>
      <c r="AF14" t="str">
        <f t="shared" ca="1" si="15"/>
        <v>Elite</v>
      </c>
      <c r="AG14">
        <f ca="1">COUNTIFS('Match Log'!$D$4:$D$1510,$A14,'Match Log'!$B$4:$B$1510,"&gt;="&amp;$B$5)</f>
        <v>12</v>
      </c>
      <c r="AH14">
        <f ca="1">COUNTIFS('Match Log'!$D$4:$D$1510,$A14,'Match Log'!$B$4:$B$1510,"&gt;="&amp;$B$5,'Match Log'!$E$4:$E$1510,"Win")</f>
        <v>6</v>
      </c>
      <c r="AI14">
        <f t="shared" ca="1" si="16"/>
        <v>1208.0027204435155</v>
      </c>
      <c r="AK14">
        <f ca="1">_xlfn.MAXIFS('Match Log'!$B$4:$B$1510,'Match Log'!$D$4:$D$1510,$A14,'Match Log'!$B$4:$B$1510,"&lt;="&amp;($D$4-7))</f>
        <v>46290</v>
      </c>
      <c r="AL14">
        <f ca="1">IFERROR(LOOKUP(2,1/(('Match Log'!$D$4:$D$1510=$A14)*('Match Log'!$B$4:$B$1510&lt;=$D$4-7)),'Match Log'!$N$4:$N$1510),1000)</f>
        <v>1221.3489842732085</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1146.509749769906</v>
      </c>
      <c r="D15">
        <f t="shared" si="0"/>
        <v>3</v>
      </c>
      <c r="E15">
        <f t="shared" si="1"/>
        <v>15.595478978268829</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1187.9015432269482</v>
      </c>
      <c r="K15">
        <f t="shared" ca="1" si="4"/>
        <v>5</v>
      </c>
      <c r="L15">
        <f t="shared" ca="1" si="5"/>
        <v>-1</v>
      </c>
      <c r="M15">
        <f t="shared" si="6"/>
        <v>3</v>
      </c>
      <c r="N15">
        <f t="shared" si="7"/>
        <v>3</v>
      </c>
      <c r="O15">
        <f t="shared" si="8"/>
        <v>0</v>
      </c>
      <c r="P15">
        <f>IFERROR(SUMPRODUCT(MAX(('Match Log'!$D$4:$D$1510=$A15)*'Match Log'!$B$4:$B$1510)),0)</f>
        <v>46290</v>
      </c>
      <c r="Q15">
        <f t="shared" ca="1" si="9"/>
        <v>1.1428571428571428</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Active</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86.627437442476491</v>
      </c>
      <c r="AB15">
        <f t="shared" ca="1" si="14"/>
        <v>83.508890550117513</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1187.9015432269482</v>
      </c>
      <c r="AK15">
        <f ca="1">_xlfn.MAXIFS('Match Log'!$B$4:$B$1510,'Match Log'!$D$4:$D$1510,$A15,'Match Log'!$B$4:$B$1510,"&lt;="&amp;($D$4-7))</f>
        <v>46290</v>
      </c>
      <c r="AL15">
        <f ca="1">IFERROR(LOOKUP(2,1/(('Match Log'!$D$4:$D$1510=$A15)*('Match Log'!$B$4:$B$1510&lt;=$D$4-7)),'Match Log'!$N$4:$N$1510),1000)</f>
        <v>1217.9015417269482</v>
      </c>
      <c r="AM15">
        <f ca="1">SUMIFS('Match Log'!$AC$4:$AC$1510,'Match Log'!$D$4:$D$1510,$A15,'Match Log'!$B$4:$B$1510,"&lt;="&amp;($D$4-7))</f>
        <v>30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1126.8108314936298</v>
      </c>
      <c r="D16">
        <f t="shared" si="0"/>
        <v>14</v>
      </c>
      <c r="E16">
        <f t="shared" si="1"/>
        <v>371.27407696844205</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792.22294533677496</v>
      </c>
      <c r="K16">
        <f t="shared" ca="1" si="4"/>
        <v>14</v>
      </c>
      <c r="L16">
        <f t="shared" ca="1" si="5"/>
        <v>0</v>
      </c>
      <c r="M16">
        <f t="shared" si="6"/>
        <v>1</v>
      </c>
      <c r="N16">
        <f t="shared" si="7"/>
        <v>0</v>
      </c>
      <c r="O16">
        <f t="shared" si="8"/>
        <v>0</v>
      </c>
      <c r="P16">
        <f>IFERROR(SUMPRODUCT(MAX(('Match Log'!$D$4:$D$1510=$A16)*'Match Log'!$B$4:$B$1510)),0)</f>
        <v>46222</v>
      </c>
      <c r="Q16">
        <f t="shared" ca="1" si="9"/>
        <v>10.857142857142858</v>
      </c>
      <c r="R16">
        <f ca="1">IF($P16=0,0,IF($Q16&gt;='Guide &amp; Settings'!$C$48,(INT($Q16-'Guide &amp; Settings'!$C$48)+1)*'Guide &amp; Settings'!$C$49,0))</f>
        <v>70</v>
      </c>
      <c r="S16">
        <f ca="1">$B16-$R16-$U16+SUMIF('Poker Stake Ledger'!$C$18:$C$137,$A16,'Poker Stake Ledger'!$K$18:$K$137)</f>
        <v>782.22294373677494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81.702707873407462</v>
      </c>
      <c r="AB16">
        <f t="shared" ca="1" si="14"/>
        <v>16.836937454007412</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782.22294533677496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60</v>
      </c>
    </row>
    <row r="17" spans="1:41" ht="15" customHeight="1" x14ac:dyDescent="0.2">
      <c r="A17" t="s">
        <v>25</v>
      </c>
      <c r="B17">
        <f>IFERROR(INDEX(Engine!$B$2:$B$15,MATCH($A17,Engine!$A$2:$A$15,0)),1000)</f>
        <v>968.26132335618615</v>
      </c>
      <c r="C17">
        <f>IFERROR(INDEX(Engine!$C$2:$C$15,MATCH($A17,Engine!$A$2:$A$15,0)),"")</f>
        <v>1183.7100705773742</v>
      </c>
      <c r="D17">
        <f t="shared" si="0"/>
        <v>12</v>
      </c>
      <c r="E17">
        <f t="shared" si="1"/>
        <v>265.23569734903083</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LLLLW</v>
      </c>
      <c r="J17">
        <f t="shared" ca="1" si="3"/>
        <v>968.26132505618614</v>
      </c>
      <c r="K17">
        <f t="shared" ca="1" si="4"/>
        <v>11</v>
      </c>
      <c r="L17">
        <f t="shared" ca="1" si="5"/>
        <v>0</v>
      </c>
      <c r="M17">
        <f t="shared" si="6"/>
        <v>4</v>
      </c>
      <c r="N17">
        <f t="shared" si="7"/>
        <v>1</v>
      </c>
      <c r="O17">
        <f t="shared" si="8"/>
        <v>1</v>
      </c>
      <c r="P17">
        <f>IFERROR(SUMPRODUCT(MAX(('Match Log'!$D$4:$D$1510=$A17)*'Match Log'!$B$4:$B$1510)),0)</f>
        <v>46291</v>
      </c>
      <c r="Q17">
        <f t="shared" ca="1" si="9"/>
        <v>1</v>
      </c>
      <c r="R17">
        <f ca="1">IF($P17=0,0,IF($Q17&gt;='Guide &amp; Settings'!$C$48,(INT($Q17-'Guide &amp; Settings'!$C$48)+1)*'Guide &amp; Settings'!$C$49,0))</f>
        <v>0</v>
      </c>
      <c r="S17">
        <f ca="1">$B17-$R17-$U17+SUMIF('Poker Stake Ledger'!$C$18:$C$137,$A17,'Poker Stake Ledger'!$K$18:$K$137)</f>
        <v>968.26132335618615</v>
      </c>
      <c r="T17" t="str">
        <f ca="1">IF($P17=0,"No games",IF($Q17&gt;='Guide &amp; Settings'!$C$48,"Inactive",IF($Q17&gt;='Guide &amp; Settings'!$C$47,"At risk","Active")))</f>
        <v>Active</v>
      </c>
      <c r="U17">
        <f>SUMIF('Match Log'!$D$4:$D$1510,$A17,'Match Log'!$AC$4:$AC$1510)</f>
        <v>0</v>
      </c>
      <c r="V17">
        <f t="shared" si="10"/>
        <v>0</v>
      </c>
      <c r="W17">
        <f t="shared" ca="1" si="11"/>
        <v>42.065330839046538</v>
      </c>
      <c r="X17">
        <f ca="1">IFERROR(INDEX(Dashboard!$G$5:$G$18,MATCH($A17,Dashboard!$B$5:$B$18,0))*100,0)</f>
        <v>34.939759036144579</v>
      </c>
      <c r="Y17">
        <f ca="1">MIN(100,IFERROR(INDEX(Dashboard!$K$5:$K$18,MATCH($A17,Dashboard!$B$5:$B$18,0)),0)/5*50+$AC17/4*50)</f>
        <v>100</v>
      </c>
      <c r="Z17">
        <f t="shared" si="12"/>
        <v>20</v>
      </c>
      <c r="AA17">
        <f t="shared" si="13"/>
        <v>95.927517644343538</v>
      </c>
      <c r="AB17">
        <f t="shared" ca="1" si="14"/>
        <v>54.303569365329558</v>
      </c>
      <c r="AC17">
        <f>IFERROR(SUMPRODUCT((INDEX('Sport Records'!$B$8:$O$32,0,MATCH($A17,'Sport Records'!$B$7:$O$7,0))&gt;=2)*(INDEX('Sport Records'!$B$62:$O$86,0,MATCH($A17,'Sport Records'!$B$61:$O$61,0))&gt;=0.5)),0)</f>
        <v>3</v>
      </c>
      <c r="AD17">
        <f ca="1">IFERROR(INDEX(Dashboard!$D$5:$D$18,MATCH($A17,Dashboard!$B$5:$B$18,0)),0)</f>
        <v>83</v>
      </c>
      <c r="AE17">
        <f ca="1">IFERROR(INDEX(Dashboard!$K$5:$K$18,MATCH($A17,Dashboard!$B$5:$B$18,0)),0)</f>
        <v>14</v>
      </c>
      <c r="AF17" t="str">
        <f t="shared" ca="1" si="15"/>
        <v>Mid</v>
      </c>
      <c r="AG17">
        <f ca="1">COUNTIFS('Match Log'!$D$4:$D$1510,$A17,'Match Log'!$B$4:$B$1510,"&gt;="&amp;$B$5)</f>
        <v>1</v>
      </c>
      <c r="AH17">
        <f ca="1">COUNTIFS('Match Log'!$D$4:$D$1510,$A17,'Match Log'!$B$4:$B$1510,"&gt;="&amp;$B$5,'Match Log'!$E$4:$E$1510,"Win")</f>
        <v>1</v>
      </c>
      <c r="AI17">
        <f t="shared" ca="1" si="16"/>
        <v>968.26132505618614</v>
      </c>
      <c r="AK17">
        <f ca="1">_xlfn.MAXIFS('Match Log'!$B$4:$B$1510,'Match Log'!$D$4:$D$1510,$A17,'Match Log'!$B$4:$B$1510,"&lt;="&amp;($D$4-7))</f>
        <v>46291</v>
      </c>
      <c r="AL17">
        <f ca="1">IFERROR(LOOKUP(2,1/(('Match Log'!$D$4:$D$1510=$A17)*('Match Log'!$B$4:$B$1510&lt;=$D$4-7)),'Match Log'!$N$4:$N$1510),1000)</f>
        <v>968.26132335618615</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1075.7192042081222</v>
      </c>
      <c r="D18">
        <f t="shared" si="0"/>
        <v>7</v>
      </c>
      <c r="E18">
        <f t="shared" si="1"/>
        <v>145.94812599873148</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1057.5488965064856</v>
      </c>
      <c r="K18">
        <f t="shared" ca="1" si="4"/>
        <v>8</v>
      </c>
      <c r="L18">
        <f t="shared" ca="1" si="5"/>
        <v>1</v>
      </c>
      <c r="M18">
        <f t="shared" si="6"/>
        <v>2</v>
      </c>
      <c r="N18">
        <f t="shared" si="7"/>
        <v>3</v>
      </c>
      <c r="O18">
        <f t="shared" si="8"/>
        <v>1</v>
      </c>
      <c r="P18">
        <f>IFERROR(SUMPRODUCT(MAX(('Match Log'!$D$4:$D$1510=$A18)*'Match Log'!$B$4:$B$1510)),0)</f>
        <v>46249</v>
      </c>
      <c r="Q18">
        <f t="shared" ca="1" si="9"/>
        <v>7</v>
      </c>
      <c r="R18">
        <f ca="1">IF($P18=0,0,IF($Q18&gt;='Guide &amp; Settings'!$C$48,(INT($Q18-'Guide &amp; Settings'!$C$48)+1)*'Guide &amp; Settings'!$C$49,0))</f>
        <v>40</v>
      </c>
      <c r="S18">
        <f ca="1">$B18-$R18-$U18+SUMIF('Poker Stake Ledger'!$C$18:$C$137,$A18,'Poker Stake Ledger'!$K$18:$K$137)</f>
        <v>1047.5488947064855</v>
      </c>
      <c r="T18" t="str">
        <f ca="1">IF($P18=0,"No games",IF($Q18&gt;='Guide &amp; Settings'!$C$48,"Inactive",IF($Q18&gt;='Guide &amp; Settings'!$C$47,"At risk","Active")))</f>
        <v>Inactive</v>
      </c>
      <c r="U18">
        <f>SUMIF('Match Log'!$D$4:$D$1510,$A18,'Match Log'!$AC$4:$AC$1510)</f>
        <v>0</v>
      </c>
      <c r="V18">
        <f t="shared" si="10"/>
        <v>0</v>
      </c>
      <c r="W18">
        <f t="shared" ca="1" si="11"/>
        <v>61.887223676621375</v>
      </c>
      <c r="X18">
        <f ca="1">IFERROR(INDEX(Dashboard!$G$5:$G$18,MATCH($A18,Dashboard!$B$5:$B$18,0))*100,0)</f>
        <v>46.666666666666664</v>
      </c>
      <c r="Y18">
        <f ca="1">MIN(100,IFERROR(INDEX(Dashboard!$K$5:$K$18,MATCH($A18,Dashboard!$B$5:$B$18,0)),0)/5*50+$AC18/4*50)</f>
        <v>65</v>
      </c>
      <c r="Z18">
        <f t="shared" si="12"/>
        <v>60</v>
      </c>
      <c r="AA18">
        <f t="shared" si="13"/>
        <v>68.929801052030541</v>
      </c>
      <c r="AB18">
        <f t="shared" ca="1" si="14"/>
        <v>59.886841725353875</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1047.5488965064856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30</v>
      </c>
    </row>
    <row r="19" spans="1:41" ht="15" customHeight="1" x14ac:dyDescent="0.2">
      <c r="A19" t="s">
        <v>27</v>
      </c>
      <c r="B19">
        <f>IFERROR(INDEX(Engine!$B$2:$B$15,MATCH($A19,Engine!$A$2:$A$15,0)),1000)</f>
        <v>1010.5072402821568</v>
      </c>
      <c r="C19">
        <f>IFERROR(INDEX(Engine!$C$2:$C$15,MATCH($A19,Engine!$A$2:$A$15,0)),"")</f>
        <v>1129.2672773558011</v>
      </c>
      <c r="D19">
        <f t="shared" si="0"/>
        <v>10</v>
      </c>
      <c r="E19">
        <f t="shared" si="1"/>
        <v>222.98978042306021</v>
      </c>
      <c r="F19" t="str">
        <f>IFERROR(LOOKUP(2,1/('Match Log'!$D$4:$D$1510=$A19),'Match Log'!$E$4:$E$1510),"")</f>
        <v>Loss</v>
      </c>
      <c r="G19">
        <f>IF($F19="",0,SUMPRODUCT(('Match Log'!$D$4:$D$1510=$A19)*(ROW('Match Log'!$A$4:$A$1510)&gt;SUMPRODUCT(MAX(('Match Log'!$D$4:$D$1510=$A19)*('Match Log'!$E$4:$E$1510&lt;&gt;$F19)*ROW('Match Log'!$A$4:$A$1510))))))</f>
        <v>8</v>
      </c>
      <c r="H19" t="str">
        <f t="shared" si="2"/>
        <v>L8</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993.21926242071413</v>
      </c>
      <c r="K19">
        <f t="shared" ca="1" si="4"/>
        <v>10</v>
      </c>
      <c r="L19">
        <f t="shared" ca="1" si="5"/>
        <v>0</v>
      </c>
      <c r="M19">
        <f t="shared" si="6"/>
        <v>0</v>
      </c>
      <c r="N19">
        <f t="shared" si="7"/>
        <v>0</v>
      </c>
      <c r="O19">
        <f t="shared" si="8"/>
        <v>0</v>
      </c>
      <c r="P19">
        <f>IFERROR(SUMPRODUCT(MAX(('Match Log'!$D$4:$D$1510=$A19)*'Match Log'!$B$4:$B$1510)),0)</f>
        <v>46298</v>
      </c>
      <c r="Q19">
        <f t="shared" ca="1" si="9"/>
        <v>0</v>
      </c>
      <c r="R19">
        <f ca="1">IF($P19=0,0,IF($Q19&gt;='Guide &amp; Settings'!$C$48,(INT($Q19-'Guide &amp; Settings'!$C$48)+1)*'Guide &amp; Settings'!$C$49,0))</f>
        <v>0</v>
      </c>
      <c r="S19">
        <f ca="1">$B19-$R19-$U19+SUMIF('Poker Stake Ledger'!$C$18:$C$137,$A19,'Poker Stake Ledger'!$K$18:$K$137)</f>
        <v>970.50724028215677</v>
      </c>
      <c r="T19" t="str">
        <f ca="1">IF($P19=0,"No games",IF($Q19&gt;='Guide &amp; Settings'!$C$48,"Inactive",IF($Q19&gt;='Guide &amp; Settings'!$C$47,"At risk","Active")))</f>
        <v>Active</v>
      </c>
      <c r="U19">
        <f>SUMIF('Match Log'!$D$4:$D$1510,$A19,'Match Log'!$AC$4:$AC$1510)</f>
        <v>40</v>
      </c>
      <c r="V19">
        <f t="shared" si="10"/>
        <v>8</v>
      </c>
      <c r="W19">
        <f t="shared" ca="1" si="11"/>
        <v>42.626810070539193</v>
      </c>
      <c r="X19">
        <f ca="1">IFERROR(INDEX(Dashboard!$G$5:$G$18,MATCH($A19,Dashboard!$B$5:$B$18,0))*100,0)</f>
        <v>35.294117647058826</v>
      </c>
      <c r="Y19">
        <f ca="1">MIN(100,IFERROR(INDEX(Dashboard!$K$5:$K$18,MATCH($A19,Dashboard!$B$5:$B$18,0)),0)/5*50+$AC19/4*50)</f>
        <v>75</v>
      </c>
      <c r="Z19">
        <f t="shared" si="12"/>
        <v>0</v>
      </c>
      <c r="AA19">
        <f t="shared" si="13"/>
        <v>82.316819338950268</v>
      </c>
      <c r="AB19">
        <f t="shared" ca="1" si="14"/>
        <v>45.209888987995505</v>
      </c>
      <c r="AC19">
        <f>IFERROR(SUMPRODUCT((INDEX('Sport Records'!$B$8:$O$32,0,MATCH($A19,'Sport Records'!$B$7:$O$7,0))&gt;=2)*(INDEX('Sport Records'!$B$62:$O$86,0,MATCH($A19,'Sport Records'!$B$61:$O$61,0))&gt;=0.5)),0)</f>
        <v>2</v>
      </c>
      <c r="AD19">
        <f ca="1">IFERROR(INDEX(Dashboard!$D$5:$D$18,MATCH($A19,Dashboard!$B$5:$B$18,0)),0)</f>
        <v>17</v>
      </c>
      <c r="AE19">
        <f ca="1">IFERROR(INDEX(Dashboard!$K$5:$K$18,MATCH($A19,Dashboard!$B$5:$B$18,0)),0)</f>
        <v>5</v>
      </c>
      <c r="AF19" t="str">
        <f t="shared" ca="1" si="15"/>
        <v>Mid</v>
      </c>
      <c r="AG19">
        <f ca="1">COUNTIFS('Match Log'!$D$4:$D$1510,$A19,'Match Log'!$B$4:$B$1510,"&gt;="&amp;$B$5)</f>
        <v>2</v>
      </c>
      <c r="AH19">
        <f ca="1">COUNTIFS('Match Log'!$D$4:$D$1510,$A19,'Match Log'!$B$4:$B$1510,"&gt;="&amp;$B$5,'Match Log'!$E$4:$E$1510,"Win")</f>
        <v>0</v>
      </c>
      <c r="AI19">
        <f t="shared" ca="1" si="16"/>
        <v>970.5072421821568</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30</v>
      </c>
    </row>
    <row r="20" spans="1:41" ht="15" customHeight="1" x14ac:dyDescent="0.2">
      <c r="A20" t="s">
        <v>28</v>
      </c>
      <c r="B20">
        <f>IFERROR(INDEX(Engine!$B$2:$B$15,MATCH($A20,Engine!$A$2:$A$15,0)),1000)</f>
        <v>1000</v>
      </c>
      <c r="C20" t="str">
        <f>IFERROR(INDEX(Engine!$C$2:$C$15,MATCH($A20,Engine!$A$2:$A$15,0)),"")</f>
        <v/>
      </c>
      <c r="D20">
        <f t="shared" si="0"/>
        <v>11</v>
      </c>
      <c r="E20">
        <f t="shared" si="1"/>
        <v>233.49702070521698</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0</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t="str">
        <f t="shared" ca="1" si="31"/>
        <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t="str">
        <f t="shared" ca="1" si="31"/>
        <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t="str">
        <f t="shared" ca="1" si="31"/>
        <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t="str">
        <f t="shared" ca="1" si="31"/>
        <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t="str">
        <f t="shared" ca="1" si="31"/>
        <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t="str">
        <f t="shared" ca="1" si="31"/>
        <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t="str">
        <f t="shared" ca="1" si="31"/>
        <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t="str">
        <f t="shared" ca="1" si="31"/>
        <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t="str">
        <f t="shared" ca="1" si="31"/>
        <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t="str">
        <f t="shared" ca="1" si="31"/>
        <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t="str">
        <f t="shared" ca="1" si="31"/>
        <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t="str">
        <f t="shared" ca="1" si="31"/>
        <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t="str">
        <f t="shared" ca="1" si="31"/>
        <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t="str">
        <f t="shared" ca="1" si="31"/>
        <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t="str">
        <f t="shared" ca="1" si="31"/>
        <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t="str">
        <f t="shared" ca="1" si="31"/>
        <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t="str">
        <f t="shared" ca="1" si="31"/>
        <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f t="shared" ca="1" si="31"/>
        <v>1.508061538461533E-2</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f t="shared" ca="1" si="31"/>
        <v>-0.11141611111111116</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f t="shared" ca="1" si="31"/>
        <v>-0.20030599999999996</v>
      </c>
    </row>
    <row r="331" spans="1:25" x14ac:dyDescent="0.2">
      <c r="A331">
        <v>307</v>
      </c>
      <c r="B331">
        <f>IFERROR(INDEX('Match Log'!$B$4:$B$1510,MATCH($A331,'Match Log'!$A$4:$A$1510,0)),"")</f>
        <v>46293</v>
      </c>
      <c r="C331" t="str">
        <f>IFERROR(INDEX('Match Log'!$C$4:$C$1510,MATCH($A331,'Match Log'!$A$4:$A$1510,0)),"")</f>
        <v>Chess</v>
      </c>
      <c r="D331" t="str">
        <f t="array" ref="D331">IFERROR(_xlfn.TEXTJOIN(" + ",TRUE(),IF(('Match Log'!$A$4:$A$1510=$A331)*('Match Log'!$E$4:$E$1510="Win"),'Match Log'!$D$4:$D$1510,"")),IFERROR(LOOKUP(2,1/(('Match Log'!$A$4:$A$1510=$A331)*('Match Log'!$E$4:$E$1510="Win")),'Match Log'!$D$4:$D$1510),""))</f>
        <v>Shawn</v>
      </c>
      <c r="E331">
        <f>IFERROR(INDEX('Match Log'!$F$4:$F$1510,MATCH($A331,'Match Log'!$A$4:$A$1510,0)),"")</f>
        <v>2</v>
      </c>
      <c r="F331">
        <f>IFERROR(SUMIFS('Match Log'!$I$4:$I$1510,'Match Log'!$A$4:$A$1510,$A331,'Match Log'!$E$4:$E$1510,"Win"),"")</f>
        <v>0.63636363636363635</v>
      </c>
      <c r="G331">
        <f t="shared" si="29"/>
        <v>-0.27272727272727271</v>
      </c>
      <c r="H331" t="str">
        <f t="array" ref="H331">IFERROR(IF(COUNTIFS('Match Log'!$A$4:$A$1510,$A331,'Match Log'!$E$4:$E$1510,"Win")&gt;1,_xlfn.TEXTJOIN(" + ",TRUE(),IF(('Match Log'!$A$4:$A$1510=$A331)*('Match Log'!$E$4:$E$1510="Loss"),'Match Log'!$D$4:$D$1510,"")),IF($E331=2,LOOKUP(2,1/(('Match Log'!$A$4:$A$1510=$A331)*('Match Log'!$E$4:$E$1510="Loss")),'Match Log'!$D$4:$D$1510),"the field")),"")</f>
        <v>Chase</v>
      </c>
      <c r="I331">
        <f t="shared" si="30"/>
        <v>-0.27303427272727271</v>
      </c>
      <c r="J331">
        <v>307</v>
      </c>
      <c r="K331">
        <f>IF($J331&gt;MAX('Match Log'!$A$4:$A$1510),NA(),IFERROR(LOOKUP(2,1/(('Match Log'!$D$4:$D$1510=$K$24)*('Match Log'!$A$4:$A$1510&lt;=$J331)),'Match Log'!$N$4:$N$1510),NA()))</f>
        <v>1217.5573388632245</v>
      </c>
      <c r="L331">
        <f>IF($J331&gt;MAX('Match Log'!$A$4:$A$1510),NA(),IFERROR(LOOKUP(2,1/(('Match Log'!$D$4:$D$1510=$L$24)*('Match Log'!$A$4:$A$1510&lt;=$J331)),'Match Log'!$N$4:$N$1510),NA()))</f>
        <v>1029.5175965335138</v>
      </c>
      <c r="M331">
        <f>IF($J331&gt;MAX('Match Log'!$A$4:$A$1510),NA(),IFERROR(LOOKUP(2,1/(('Match Log'!$D$4:$D$1510=$M$24)*('Match Log'!$A$4:$A$1510&lt;=$J331)),'Match Log'!$N$4:$N$1510),NA()))</f>
        <v>1062.953806715856</v>
      </c>
      <c r="N331">
        <f>IF($J331&gt;MAX('Match Log'!$A$4:$A$1510),NA(),IFERROR(LOOKUP(2,1/(('Match Log'!$D$4:$D$1510=$N$24)*('Match Log'!$A$4:$A$1510&lt;=$J331)),'Match Log'!$N$4:$N$1510),NA()))</f>
        <v>907.03133644117429</v>
      </c>
      <c r="O331">
        <f>IF($J331&gt;MAX('Match Log'!$A$4:$A$1510),NA(),IFERROR(LOOKUP(2,1/(('Match Log'!$D$4:$D$1510=$O$24)*('Match Log'!$A$4:$A$1510&lt;=$J331)),'Match Log'!$N$4:$N$1510),NA()))</f>
        <v>1233.497020705217</v>
      </c>
      <c r="P331">
        <f>IF($J331&gt;MAX('Match Log'!$A$4:$A$1510),NA(),IFERROR(LOOKUP(2,1/(('Match Log'!$D$4:$D$1510=$P$24)*('Match Log'!$A$4:$A$1510&lt;=$J331)),'Match Log'!$N$4:$N$1510),NA()))</f>
        <v>1151.1286422292076</v>
      </c>
      <c r="Q331">
        <f>IF($J331&gt;MAX('Match Log'!$A$4:$A$1510),NA(),IFERROR(LOOKUP(2,1/(('Match Log'!$D$4:$D$1510=$Q$24)*('Match Log'!$A$4:$A$1510&lt;=$J331)),'Match Log'!$N$4:$N$1510),NA()))</f>
        <v>1215.996181687143</v>
      </c>
      <c r="R331">
        <f>IF($J331&gt;MAX('Match Log'!$A$4:$A$1510),NA(),IFERROR(LOOKUP(2,1/(('Match Log'!$D$4:$D$1510=$R$24)*('Match Log'!$A$4:$A$1510&lt;=$J331)),'Match Log'!$N$4:$N$1510),NA()))</f>
        <v>1180.164112777554</v>
      </c>
      <c r="S331">
        <f>IF($J331&gt;MAX('Match Log'!$A$4:$A$1510),NA(),IFERROR(LOOKUP(2,1/(('Match Log'!$D$4:$D$1510=$S$24)*('Match Log'!$A$4:$A$1510&lt;=$J331)),'Match Log'!$N$4:$N$1510),NA()))</f>
        <v>1217.9015417269482</v>
      </c>
      <c r="T331">
        <f>IF($J331&gt;MAX('Match Log'!$A$4:$A$1510),NA(),IFERROR(LOOKUP(2,1/(('Match Log'!$D$4:$D$1510=$T$24)*('Match Log'!$A$4:$A$1510&lt;=$J331)),'Match Log'!$N$4:$N$1510),NA()))</f>
        <v>862.22294373677494</v>
      </c>
      <c r="U331">
        <f>IF($J331&gt;MAX('Match Log'!$A$4:$A$1510),NA(),IFERROR(LOOKUP(2,1/(('Match Log'!$D$4:$D$1510=$U$24)*('Match Log'!$A$4:$A$1510&lt;=$J331)),'Match Log'!$N$4:$N$1510),NA()))</f>
        <v>968.26132335618615</v>
      </c>
      <c r="V331">
        <f>IF($J331&gt;MAX('Match Log'!$A$4:$A$1510),NA(),IFERROR(LOOKUP(2,1/(('Match Log'!$D$4:$D$1510=$V$24)*('Match Log'!$A$4:$A$1510&lt;=$J331)),'Match Log'!$N$4:$N$1510),NA()))</f>
        <v>1087.5488947064855</v>
      </c>
      <c r="W331">
        <f>IF($J331&gt;MAX('Match Log'!$A$4:$A$1510),NA(),IFERROR(LOOKUP(2,1/(('Match Log'!$D$4:$D$1510=$W$24)*('Match Log'!$A$4:$A$1510&lt;=$J331)),'Match Log'!$N$4:$N$1510),NA()))</f>
        <v>1023.2192605207141</v>
      </c>
      <c r="X331" t="e">
        <f>IF($J331&gt;MAX('Match Log'!$A$4:$A$1510),NA(),IFERROR(LOOKUP(2,1/(('Match Log'!$D$4:$D$1510=$X$24)*('Match Log'!$A$4:$A$1510&lt;=$J331)),'Match Log'!$N$4:$N$1510),NA()))</f>
        <v>#N/A</v>
      </c>
      <c r="Y331">
        <f t="shared" ca="1" si="31"/>
        <v>-0.27303427272727271</v>
      </c>
    </row>
    <row r="332" spans="1:25" x14ac:dyDescent="0.2">
      <c r="A332">
        <v>308</v>
      </c>
      <c r="B332">
        <f>IFERROR(INDEX('Match Log'!$B$4:$B$1510,MATCH($A332,'Match Log'!$A$4:$A$1510,0)),"")</f>
        <v>46297</v>
      </c>
      <c r="C332" t="str">
        <f>IFERROR(INDEX('Match Log'!$C$4:$C$1510,MATCH($A332,'Match Log'!$A$4:$A$1510,0)),"")</f>
        <v>Mario Golf</v>
      </c>
      <c r="D332" t="str">
        <f t="array" ref="D332">IFERROR(_xlfn.TEXTJOIN(" + ",TRUE(),IF(('Match Log'!$A$4:$A$1510=$A332)*('Match Log'!$E$4:$E$1510="Win"),'Match Log'!$D$4:$D$1510,"")),IFERROR(LOOKUP(2,1/(('Match Log'!$A$4:$A$1510=$A332)*('Match Log'!$E$4:$E$1510="Win")),'Match Log'!$D$4:$D$1510),""))</f>
        <v>Daniel (Ferret)</v>
      </c>
      <c r="E332">
        <f>IFERROR(INDEX('Match Log'!$F$4:$F$1510,MATCH($A332,'Match Log'!$A$4:$A$1510,0)),"")</f>
        <v>3</v>
      </c>
      <c r="F332">
        <f>IFERROR(SUMIFS('Match Log'!$I$4:$I$1510,'Match Log'!$A$4:$A$1510,$A332,'Match Log'!$E$4:$E$1510,"Win"),"")</f>
        <v>0.45532157085941949</v>
      </c>
      <c r="G332">
        <f t="shared" si="29"/>
        <v>-0.36596471257825858</v>
      </c>
      <c r="H332" t="str">
        <f t="array" ref="H332">IFERROR(IF(COUNTIFS('Match Log'!$A$4:$A$1510,$A332,'Match Log'!$E$4:$E$1510,"Win")&gt;1,_xlfn.TEXTJOIN(" + ",TRUE(),IF(('Match Log'!$A$4:$A$1510=$A332)*('Match Log'!$E$4:$E$1510="Loss"),'Match Log'!$D$4:$D$1510,"")),IF($E332=2,LOOKUP(2,1/(('Match Log'!$A$4:$A$1510=$A332)*('Match Log'!$E$4:$E$1510="Loss")),'Match Log'!$D$4:$D$1510),"the field")),"")</f>
        <v>the field</v>
      </c>
      <c r="I332">
        <f t="shared" si="30"/>
        <v>-0.36627271257825855</v>
      </c>
      <c r="J332">
        <v>308</v>
      </c>
      <c r="K332">
        <f>IF($J332&gt;MAX('Match Log'!$A$4:$A$1510),NA(),IFERROR(LOOKUP(2,1/(('Match Log'!$D$4:$D$1510=$K$24)*('Match Log'!$A$4:$A$1510&lt;=$J332)),'Match Log'!$N$4:$N$1510),NA()))</f>
        <v>1212.9807460185732</v>
      </c>
      <c r="L332">
        <f>IF($J332&gt;MAX('Match Log'!$A$4:$A$1510),NA(),IFERROR(LOOKUP(2,1/(('Match Log'!$D$4:$D$1510=$L$24)*('Match Log'!$A$4:$A$1510&lt;=$J332)),'Match Log'!$N$4:$N$1510),NA()))</f>
        <v>1029.5175965335138</v>
      </c>
      <c r="M332">
        <f>IF($J332&gt;MAX('Match Log'!$A$4:$A$1510),NA(),IFERROR(LOOKUP(2,1/(('Match Log'!$D$4:$D$1510=$M$24)*('Match Log'!$A$4:$A$1510&lt;=$J332)),'Match Log'!$N$4:$N$1510),NA()))</f>
        <v>1062.953806715856</v>
      </c>
      <c r="N332">
        <f>IF($J332&gt;MAX('Match Log'!$A$4:$A$1510),NA(),IFERROR(LOOKUP(2,1/(('Match Log'!$D$4:$D$1510=$N$24)*('Match Log'!$A$4:$A$1510&lt;=$J332)),'Match Log'!$N$4:$N$1510),NA()))</f>
        <v>907.03133644117429</v>
      </c>
      <c r="O332">
        <f>IF($J332&gt;MAX('Match Log'!$A$4:$A$1510),NA(),IFERROR(LOOKUP(2,1/(('Match Log'!$D$4:$D$1510=$O$24)*('Match Log'!$A$4:$A$1510&lt;=$J332)),'Match Log'!$N$4:$N$1510),NA()))</f>
        <v>1233.497020705217</v>
      </c>
      <c r="P332">
        <f>IF($J332&gt;MAX('Match Log'!$A$4:$A$1510),NA(),IFERROR(LOOKUP(2,1/(('Match Log'!$D$4:$D$1510=$P$24)*('Match Log'!$A$4:$A$1510&lt;=$J332)),'Match Log'!$N$4:$N$1510),NA()))</f>
        <v>1145.1160193609614</v>
      </c>
      <c r="Q332">
        <f>IF($J332&gt;MAX('Match Log'!$A$4:$A$1510),NA(),IFERROR(LOOKUP(2,1/(('Match Log'!$D$4:$D$1510=$Q$24)*('Match Log'!$A$4:$A$1510&lt;=$J332)),'Match Log'!$N$4:$N$1510),NA()))</f>
        <v>1215.996181687143</v>
      </c>
      <c r="R332">
        <f>IF($J332&gt;MAX('Match Log'!$A$4:$A$1510),NA(),IFERROR(LOOKUP(2,1/(('Match Log'!$D$4:$D$1510=$R$24)*('Match Log'!$A$4:$A$1510&lt;=$J332)),'Match Log'!$N$4:$N$1510),NA()))</f>
        <v>1199.7533284904514</v>
      </c>
      <c r="S332">
        <f>IF($J332&gt;MAX('Match Log'!$A$4:$A$1510),NA(),IFERROR(LOOKUP(2,1/(('Match Log'!$D$4:$D$1510=$S$24)*('Match Log'!$A$4:$A$1510&lt;=$J332)),'Match Log'!$N$4:$N$1510),NA()))</f>
        <v>1217.9015417269482</v>
      </c>
      <c r="T332">
        <f>IF($J332&gt;MAX('Match Log'!$A$4:$A$1510),NA(),IFERROR(LOOKUP(2,1/(('Match Log'!$D$4:$D$1510=$T$24)*('Match Log'!$A$4:$A$1510&lt;=$J332)),'Match Log'!$N$4:$N$1510),NA()))</f>
        <v>862.22294373677494</v>
      </c>
      <c r="U332">
        <f>IF($J332&gt;MAX('Match Log'!$A$4:$A$1510),NA(),IFERROR(LOOKUP(2,1/(('Match Log'!$D$4:$D$1510=$U$24)*('Match Log'!$A$4:$A$1510&lt;=$J332)),'Match Log'!$N$4:$N$1510),NA()))</f>
        <v>968.26132335618615</v>
      </c>
      <c r="V332">
        <f>IF($J332&gt;MAX('Match Log'!$A$4:$A$1510),NA(),IFERROR(LOOKUP(2,1/(('Match Log'!$D$4:$D$1510=$V$24)*('Match Log'!$A$4:$A$1510&lt;=$J332)),'Match Log'!$N$4:$N$1510),NA()))</f>
        <v>1087.5488947064855</v>
      </c>
      <c r="W332">
        <f>IF($J332&gt;MAX('Match Log'!$A$4:$A$1510),NA(),IFERROR(LOOKUP(2,1/(('Match Log'!$D$4:$D$1510=$W$24)*('Match Log'!$A$4:$A$1510&lt;=$J332)),'Match Log'!$N$4:$N$1510),NA()))</f>
        <v>1023.2192605207141</v>
      </c>
      <c r="X332" t="e">
        <f>IF($J332&gt;MAX('Match Log'!$A$4:$A$1510),NA(),IFERROR(LOOKUP(2,1/(('Match Log'!$D$4:$D$1510=$X$24)*('Match Log'!$A$4:$A$1510&lt;=$J332)),'Match Log'!$N$4:$N$1510),NA()))</f>
        <v>#N/A</v>
      </c>
      <c r="Y332">
        <f t="shared" ca="1" si="31"/>
        <v>-0.36627271257825855</v>
      </c>
    </row>
    <row r="333" spans="1:25" x14ac:dyDescent="0.2">
      <c r="A333">
        <v>309</v>
      </c>
      <c r="B333">
        <f>IFERROR(INDEX('Match Log'!$B$4:$B$1510,MATCH($A333,'Match Log'!$A$4:$A$1510,0)),"")</f>
        <v>46297</v>
      </c>
      <c r="C333" t="str">
        <f>IFERROR(INDEX('Match Log'!$C$4:$C$1510,MATCH($A333,'Match Log'!$A$4:$A$1510,0)),"")</f>
        <v>Mario Golf</v>
      </c>
      <c r="D333" t="str">
        <f t="array" ref="D333">IFERROR(_xlfn.TEXTJOIN(" + ",TRUE(),IF(('Match Log'!$A$4:$A$1510=$A333)*('Match Log'!$E$4:$E$1510="Win"),'Match Log'!$D$4:$D$1510,"")),IFERROR(LOOKUP(2,1/(('Match Log'!$A$4:$A$1510=$A333)*('Match Log'!$E$4:$E$1510="Win")),'Match Log'!$D$4:$D$1510),""))</f>
        <v>Shawn</v>
      </c>
      <c r="E333">
        <f>IFERROR(INDEX('Match Log'!$F$4:$F$1510,MATCH($A333,'Match Log'!$A$4:$A$1510,0)),"")</f>
        <v>4</v>
      </c>
      <c r="F333">
        <f>IFERROR(SUMIFS('Match Log'!$I$4:$I$1510,'Match Log'!$A$4:$A$1510,$A333,'Match Log'!$E$4:$E$1510,"Win"),"")</f>
        <v>0.25513428120063192</v>
      </c>
      <c r="G333">
        <f t="shared" si="29"/>
        <v>-2.0537124802527673E-2</v>
      </c>
      <c r="H333" t="str">
        <f t="array" ref="H333">IFERROR(IF(COUNTIFS('Match Log'!$A$4:$A$1510,$A333,'Match Log'!$E$4:$E$1510,"Win")&gt;1,_xlfn.TEXTJOIN(" + ",TRUE(),IF(('Match Log'!$A$4:$A$1510=$A333)*('Match Log'!$E$4:$E$1510="Loss"),'Match Log'!$D$4:$D$1510,"")),IF($E333=2,LOOKUP(2,1/(('Match Log'!$A$4:$A$1510=$A333)*('Match Log'!$E$4:$E$1510="Loss")),'Match Log'!$D$4:$D$1510),"the field")),"")</f>
        <v>the field</v>
      </c>
      <c r="I333">
        <f t="shared" si="30"/>
        <v>-2.0846124802527673E-2</v>
      </c>
      <c r="J333">
        <v>309</v>
      </c>
      <c r="K333">
        <f>IF($J333&gt;MAX('Match Log'!$A$4:$A$1510),NA(),IFERROR(LOOKUP(2,1/(('Match Log'!$D$4:$D$1510=$K$24)*('Match Log'!$A$4:$A$1510&lt;=$J333)),'Match Log'!$N$4:$N$1510),NA()))</f>
        <v>1209.6766156390552</v>
      </c>
      <c r="L333">
        <f>IF($J333&gt;MAX('Match Log'!$A$4:$A$1510),NA(),IFERROR(LOOKUP(2,1/(('Match Log'!$D$4:$D$1510=$L$24)*('Match Log'!$A$4:$A$1510&lt;=$J333)),'Match Log'!$N$4:$N$1510),NA()))</f>
        <v>1029.5175965335138</v>
      </c>
      <c r="M333">
        <f>IF($J333&gt;MAX('Match Log'!$A$4:$A$1510),NA(),IFERROR(LOOKUP(2,1/(('Match Log'!$D$4:$D$1510=$M$24)*('Match Log'!$A$4:$A$1510&lt;=$J333)),'Match Log'!$N$4:$N$1510),NA()))</f>
        <v>1057.3987939752174</v>
      </c>
      <c r="N333">
        <f>IF($J333&gt;MAX('Match Log'!$A$4:$A$1510),NA(),IFERROR(LOOKUP(2,1/(('Match Log'!$D$4:$D$1510=$N$24)*('Match Log'!$A$4:$A$1510&lt;=$J333)),'Match Log'!$N$4:$N$1510),NA()))</f>
        <v>907.03133644117429</v>
      </c>
      <c r="O333">
        <f>IF($J333&gt;MAX('Match Log'!$A$4:$A$1510),NA(),IFERROR(LOOKUP(2,1/(('Match Log'!$D$4:$D$1510=$O$24)*('Match Log'!$A$4:$A$1510&lt;=$J333)),'Match Log'!$N$4:$N$1510),NA()))</f>
        <v>1233.497020705217</v>
      </c>
      <c r="P333">
        <f>IF($J333&gt;MAX('Match Log'!$A$4:$A$1510),NA(),IFERROR(LOOKUP(2,1/(('Match Log'!$D$4:$D$1510=$P$24)*('Match Log'!$A$4:$A$1510&lt;=$J333)),'Match Log'!$N$4:$N$1510),NA()))</f>
        <v>1177.7567159478808</v>
      </c>
      <c r="Q333">
        <f>IF($J333&gt;MAX('Match Log'!$A$4:$A$1510),NA(),IFERROR(LOOKUP(2,1/(('Match Log'!$D$4:$D$1510=$Q$24)*('Match Log'!$A$4:$A$1510&lt;=$J333)),'Match Log'!$N$4:$N$1510),NA()))</f>
        <v>1215.996181687143</v>
      </c>
      <c r="R333">
        <f>IF($J333&gt;MAX('Match Log'!$A$4:$A$1510),NA(),IFERROR(LOOKUP(2,1/(('Match Log'!$D$4:$D$1510=$R$24)*('Match Log'!$A$4:$A$1510&lt;=$J333)),'Match Log'!$N$4:$N$1510),NA()))</f>
        <v>1191.9717750236887</v>
      </c>
      <c r="S333">
        <f>IF($J333&gt;MAX('Match Log'!$A$4:$A$1510),NA(),IFERROR(LOOKUP(2,1/(('Match Log'!$D$4:$D$1510=$S$24)*('Match Log'!$A$4:$A$1510&lt;=$J333)),'Match Log'!$N$4:$N$1510),NA()))</f>
        <v>1217.9015417269482</v>
      </c>
      <c r="T333">
        <f>IF($J333&gt;MAX('Match Log'!$A$4:$A$1510),NA(),IFERROR(LOOKUP(2,1/(('Match Log'!$D$4:$D$1510=$T$24)*('Match Log'!$A$4:$A$1510&lt;=$J333)),'Match Log'!$N$4:$N$1510),NA()))</f>
        <v>862.22294373677494</v>
      </c>
      <c r="U333">
        <f>IF($J333&gt;MAX('Match Log'!$A$4:$A$1510),NA(),IFERROR(LOOKUP(2,1/(('Match Log'!$D$4:$D$1510=$U$24)*('Match Log'!$A$4:$A$1510&lt;=$J333)),'Match Log'!$N$4:$N$1510),NA()))</f>
        <v>968.26132335618615</v>
      </c>
      <c r="V333">
        <f>IF($J333&gt;MAX('Match Log'!$A$4:$A$1510),NA(),IFERROR(LOOKUP(2,1/(('Match Log'!$D$4:$D$1510=$V$24)*('Match Log'!$A$4:$A$1510&lt;=$J333)),'Match Log'!$N$4:$N$1510),NA()))</f>
        <v>1087.5488947064855</v>
      </c>
      <c r="W333">
        <f>IF($J333&gt;MAX('Match Log'!$A$4:$A$1510),NA(),IFERROR(LOOKUP(2,1/(('Match Log'!$D$4:$D$1510=$W$24)*('Match Log'!$A$4:$A$1510&lt;=$J333)),'Match Log'!$N$4:$N$1510),NA()))</f>
        <v>1023.2192605207141</v>
      </c>
      <c r="X333" t="e">
        <f>IF($J333&gt;MAX('Match Log'!$A$4:$A$1510),NA(),IFERROR(LOOKUP(2,1/(('Match Log'!$D$4:$D$1510=$X$24)*('Match Log'!$A$4:$A$1510&lt;=$J333)),'Match Log'!$N$4:$N$1510),NA()))</f>
        <v>#N/A</v>
      </c>
      <c r="Y333">
        <f t="shared" ca="1" si="31"/>
        <v>-2.0846124802527673E-2</v>
      </c>
    </row>
    <row r="334" spans="1:25" x14ac:dyDescent="0.2">
      <c r="A334">
        <v>310</v>
      </c>
      <c r="B334">
        <f>IFERROR(INDEX('Match Log'!$B$4:$B$1510,MATCH($A334,'Match Log'!$A$4:$A$1510,0)),"")</f>
        <v>46297</v>
      </c>
      <c r="C334" t="str">
        <f>IFERROR(INDEX('Match Log'!$C$4:$C$1510,MATCH($A334,'Match Log'!$A$4:$A$1510,0)),"")</f>
        <v>Mario Golf</v>
      </c>
      <c r="D334" t="str">
        <f t="array" ref="D334">IFERROR(_xlfn.TEXTJOIN(" + ",TRUE(),IF(('Match Log'!$A$4:$A$1510=$A334)*('Match Log'!$E$4:$E$1510="Win"),'Match Log'!$D$4:$D$1510,"")),IFERROR(LOOKUP(2,1/(('Match Log'!$A$4:$A$1510=$A334)*('Match Log'!$E$4:$E$1510="Win")),'Match Log'!$D$4:$D$1510),""))</f>
        <v>Shawn</v>
      </c>
      <c r="E334">
        <f>IFERROR(INDEX('Match Log'!$F$4:$F$1510,MATCH($A334,'Match Log'!$A$4:$A$1510,0)),"")</f>
        <v>3</v>
      </c>
      <c r="F334">
        <f>IFERROR(SUMIFS('Match Log'!$I$4:$I$1510,'Match Log'!$A$4:$A$1510,$A334,'Match Log'!$E$4:$E$1510,"Win"),"")</f>
        <v>0.31108597285067874</v>
      </c>
      <c r="G334">
        <f t="shared" si="29"/>
        <v>6.6742081447963786E-2</v>
      </c>
      <c r="H334" t="str">
        <f t="array" ref="H334">IFERROR(IF(COUNTIFS('Match Log'!$A$4:$A$1510,$A334,'Match Log'!$E$4:$E$1510,"Win")&gt;1,_xlfn.TEXTJOIN(" + ",TRUE(),IF(('Match Log'!$A$4:$A$1510=$A334)*('Match Log'!$E$4:$E$1510="Loss"),'Match Log'!$D$4:$D$1510,"")),IF($E334=2,LOOKUP(2,1/(('Match Log'!$A$4:$A$1510=$A334)*('Match Log'!$E$4:$E$1510="Loss")),'Match Log'!$D$4:$D$1510),"the field")),"")</f>
        <v>the field</v>
      </c>
      <c r="I334">
        <f t="shared" si="30"/>
        <v>6.6432081447963781E-2</v>
      </c>
      <c r="J334">
        <v>310</v>
      </c>
      <c r="K334">
        <f>IF($J334&gt;MAX('Match Log'!$A$4:$A$1510),NA(),IFERROR(LOOKUP(2,1/(('Match Log'!$D$4:$D$1510=$K$24)*('Match Log'!$A$4:$A$1510&lt;=$J334)),'Match Log'!$N$4:$N$1510),NA()))</f>
        <v>1209.6766156390552</v>
      </c>
      <c r="L334">
        <f>IF($J334&gt;MAX('Match Log'!$A$4:$A$1510),NA(),IFERROR(LOOKUP(2,1/(('Match Log'!$D$4:$D$1510=$L$24)*('Match Log'!$A$4:$A$1510&lt;=$J334)),'Match Log'!$N$4:$N$1510),NA()))</f>
        <v>1029.5175965335138</v>
      </c>
      <c r="M334">
        <f>IF($J334&gt;MAX('Match Log'!$A$4:$A$1510),NA(),IFERROR(LOOKUP(2,1/(('Match Log'!$D$4:$D$1510=$M$24)*('Match Log'!$A$4:$A$1510&lt;=$J334)),'Match Log'!$N$4:$N$1510),NA()))</f>
        <v>1048.0761030598392</v>
      </c>
      <c r="N334">
        <f>IF($J334&gt;MAX('Match Log'!$A$4:$A$1510),NA(),IFERROR(LOOKUP(2,1/(('Match Log'!$D$4:$D$1510=$N$24)*('Match Log'!$A$4:$A$1510&lt;=$J334)),'Match Log'!$N$4:$N$1510),NA()))</f>
        <v>907.03133644117429</v>
      </c>
      <c r="O334">
        <f>IF($J334&gt;MAX('Match Log'!$A$4:$A$1510),NA(),IFERROR(LOOKUP(2,1/(('Match Log'!$D$4:$D$1510=$O$24)*('Match Log'!$A$4:$A$1510&lt;=$J334)),'Match Log'!$N$4:$N$1510),NA()))</f>
        <v>1233.497020705217</v>
      </c>
      <c r="P334">
        <f>IF($J334&gt;MAX('Match Log'!$A$4:$A$1510),NA(),IFERROR(LOOKUP(2,1/(('Match Log'!$D$4:$D$1510=$P$24)*('Match Log'!$A$4:$A$1510&lt;=$J334)),'Match Log'!$N$4:$N$1510),NA()))</f>
        <v>1208.7926052708049</v>
      </c>
      <c r="Q334">
        <f>IF($J334&gt;MAX('Match Log'!$A$4:$A$1510),NA(),IFERROR(LOOKUP(2,1/(('Match Log'!$D$4:$D$1510=$Q$24)*('Match Log'!$A$4:$A$1510&lt;=$J334)),'Match Log'!$N$4:$N$1510),NA()))</f>
        <v>1215.996181687143</v>
      </c>
      <c r="R334">
        <f>IF($J334&gt;MAX('Match Log'!$A$4:$A$1510),NA(),IFERROR(LOOKUP(2,1/(('Match Log'!$D$4:$D$1510=$R$24)*('Match Log'!$A$4:$A$1510&lt;=$J334)),'Match Log'!$N$4:$N$1510),NA()))</f>
        <v>1179.2585766161428</v>
      </c>
      <c r="S334">
        <f>IF($J334&gt;MAX('Match Log'!$A$4:$A$1510),NA(),IFERROR(LOOKUP(2,1/(('Match Log'!$D$4:$D$1510=$S$24)*('Match Log'!$A$4:$A$1510&lt;=$J334)),'Match Log'!$N$4:$N$1510),NA()))</f>
        <v>1217.9015417269482</v>
      </c>
      <c r="T334">
        <f>IF($J334&gt;MAX('Match Log'!$A$4:$A$1510),NA(),IFERROR(LOOKUP(2,1/(('Match Log'!$D$4:$D$1510=$T$24)*('Match Log'!$A$4:$A$1510&lt;=$J334)),'Match Log'!$N$4:$N$1510),NA()))</f>
        <v>862.22294373677494</v>
      </c>
      <c r="U334">
        <f>IF($J334&gt;MAX('Match Log'!$A$4:$A$1510),NA(),IFERROR(LOOKUP(2,1/(('Match Log'!$D$4:$D$1510=$U$24)*('Match Log'!$A$4:$A$1510&lt;=$J334)),'Match Log'!$N$4:$N$1510),NA()))</f>
        <v>968.26132335618615</v>
      </c>
      <c r="V334">
        <f>IF($J334&gt;MAX('Match Log'!$A$4:$A$1510),NA(),IFERROR(LOOKUP(2,1/(('Match Log'!$D$4:$D$1510=$V$24)*('Match Log'!$A$4:$A$1510&lt;=$J334)),'Match Log'!$N$4:$N$1510),NA()))</f>
        <v>1087.5488947064855</v>
      </c>
      <c r="W334">
        <f>IF($J334&gt;MAX('Match Log'!$A$4:$A$1510),NA(),IFERROR(LOOKUP(2,1/(('Match Log'!$D$4:$D$1510=$W$24)*('Match Log'!$A$4:$A$1510&lt;=$J334)),'Match Log'!$N$4:$N$1510),NA()))</f>
        <v>1023.2192605207141</v>
      </c>
      <c r="X334" t="e">
        <f>IF($J334&gt;MAX('Match Log'!$A$4:$A$1510),NA(),IFERROR(LOOKUP(2,1/(('Match Log'!$D$4:$D$1510=$X$24)*('Match Log'!$A$4:$A$1510&lt;=$J334)),'Match Log'!$N$4:$N$1510),NA()))</f>
        <v>#N/A</v>
      </c>
      <c r="Y334">
        <f t="shared" ca="1" si="31"/>
        <v>6.6432081447963781E-2</v>
      </c>
    </row>
    <row r="335" spans="1:25" x14ac:dyDescent="0.2">
      <c r="A335">
        <v>311</v>
      </c>
      <c r="B335">
        <f>IFERROR(INDEX('Match Log'!$B$4:$B$1510,MATCH($A335,'Match Log'!$A$4:$A$1510,0)),"")</f>
        <v>46297</v>
      </c>
      <c r="C335" t="str">
        <f>IFERROR(INDEX('Match Log'!$C$4:$C$1510,MATCH($A335,'Match Log'!$A$4:$A$1510,0)),"")</f>
        <v>Mario Golf</v>
      </c>
      <c r="D335" t="str">
        <f t="array" ref="D335">IFERROR(_xlfn.TEXTJOIN(" + ",TRUE(),IF(('Match Log'!$A$4:$A$1510=$A335)*('Match Log'!$E$4:$E$1510="Win"),'Match Log'!$D$4:$D$1510,"")),IFERROR(LOOKUP(2,1/(('Match Log'!$A$4:$A$1510=$A335)*('Match Log'!$E$4:$E$1510="Win")),'Match Log'!$D$4:$D$1510),""))</f>
        <v>Shawn</v>
      </c>
      <c r="E335">
        <f>IFERROR(INDEX('Match Log'!$F$4:$F$1510,MATCH($A335,'Match Log'!$A$4:$A$1510,0)),"")</f>
        <v>2</v>
      </c>
      <c r="F335">
        <f>IFERROR(SUMIFS('Match Log'!$I$4:$I$1510,'Match Log'!$A$4:$A$1510,$A335,'Match Log'!$E$4:$E$1510,"Win"),"")</f>
        <v>0.4556962025316455</v>
      </c>
      <c r="G335">
        <f t="shared" si="29"/>
        <v>8.8607594936709E-2</v>
      </c>
      <c r="H335" t="str">
        <f t="array" ref="H335">IFERROR(IF(COUNTIFS('Match Log'!$A$4:$A$1510,$A335,'Match Log'!$E$4:$E$1510,"Win")&gt;1,_xlfn.TEXTJOIN(" + ",TRUE(),IF(('Match Log'!$A$4:$A$1510=$A335)*('Match Log'!$E$4:$E$1510="Loss"),'Match Log'!$D$4:$D$1510,"")),IF($E335=2,LOOKUP(2,1/(('Match Log'!$A$4:$A$1510=$A335)*('Match Log'!$E$4:$E$1510="Loss")),'Match Log'!$D$4:$D$1510),"the field")),"")</f>
        <v>Daniel (Ferret)</v>
      </c>
      <c r="I335">
        <f t="shared" si="30"/>
        <v>8.8296594936708994E-2</v>
      </c>
      <c r="J335">
        <v>311</v>
      </c>
      <c r="K335">
        <f>IF($J335&gt;MAX('Match Log'!$A$4:$A$1510),NA(),IFERROR(LOOKUP(2,1/(('Match Log'!$D$4:$D$1510=$K$24)*('Match Log'!$A$4:$A$1510&lt;=$J335)),'Match Log'!$N$4:$N$1510),NA()))</f>
        <v>1209.6766156390552</v>
      </c>
      <c r="L335">
        <f>IF($J335&gt;MAX('Match Log'!$A$4:$A$1510),NA(),IFERROR(LOOKUP(2,1/(('Match Log'!$D$4:$D$1510=$L$24)*('Match Log'!$A$4:$A$1510&lt;=$J335)),'Match Log'!$N$4:$N$1510),NA()))</f>
        <v>1029.5175965335138</v>
      </c>
      <c r="M335">
        <f>IF($J335&gt;MAX('Match Log'!$A$4:$A$1510),NA(),IFERROR(LOOKUP(2,1/(('Match Log'!$D$4:$D$1510=$M$24)*('Match Log'!$A$4:$A$1510&lt;=$J335)),'Match Log'!$N$4:$N$1510),NA()))</f>
        <v>1048.0761030598392</v>
      </c>
      <c r="N335">
        <f>IF($J335&gt;MAX('Match Log'!$A$4:$A$1510),NA(),IFERROR(LOOKUP(2,1/(('Match Log'!$D$4:$D$1510=$N$24)*('Match Log'!$A$4:$A$1510&lt;=$J335)),'Match Log'!$N$4:$N$1510),NA()))</f>
        <v>907.03133644117429</v>
      </c>
      <c r="O335">
        <f>IF($J335&gt;MAX('Match Log'!$A$4:$A$1510),NA(),IFERROR(LOOKUP(2,1/(('Match Log'!$D$4:$D$1510=$O$24)*('Match Log'!$A$4:$A$1510&lt;=$J335)),'Match Log'!$N$4:$N$1510),NA()))</f>
        <v>1233.497020705217</v>
      </c>
      <c r="P335">
        <f>IF($J335&gt;MAX('Match Log'!$A$4:$A$1510),NA(),IFERROR(LOOKUP(2,1/(('Match Log'!$D$4:$D$1510=$P$24)*('Match Log'!$A$4:$A$1510&lt;=$J335)),'Match Log'!$N$4:$N$1510),NA()))</f>
        <v>1236.0114059304362</v>
      </c>
      <c r="Q335">
        <f>IF($J335&gt;MAX('Match Log'!$A$4:$A$1510),NA(),IFERROR(LOOKUP(2,1/(('Match Log'!$D$4:$D$1510=$Q$24)*('Match Log'!$A$4:$A$1510&lt;=$J335)),'Match Log'!$N$4:$N$1510),NA()))</f>
        <v>1215.996181687143</v>
      </c>
      <c r="R335">
        <f>IF($J335&gt;MAX('Match Log'!$A$4:$A$1510),NA(),IFERROR(LOOKUP(2,1/(('Match Log'!$D$4:$D$1510=$R$24)*('Match Log'!$A$4:$A$1510&lt;=$J335)),'Match Log'!$N$4:$N$1510),NA()))</f>
        <v>1152.0397759565114</v>
      </c>
      <c r="S335">
        <f>IF($J335&gt;MAX('Match Log'!$A$4:$A$1510),NA(),IFERROR(LOOKUP(2,1/(('Match Log'!$D$4:$D$1510=$S$24)*('Match Log'!$A$4:$A$1510&lt;=$J335)),'Match Log'!$N$4:$N$1510),NA()))</f>
        <v>1217.9015417269482</v>
      </c>
      <c r="T335">
        <f>IF($J335&gt;MAX('Match Log'!$A$4:$A$1510),NA(),IFERROR(LOOKUP(2,1/(('Match Log'!$D$4:$D$1510=$T$24)*('Match Log'!$A$4:$A$1510&lt;=$J335)),'Match Log'!$N$4:$N$1510),NA()))</f>
        <v>862.22294373677494</v>
      </c>
      <c r="U335">
        <f>IF($J335&gt;MAX('Match Log'!$A$4:$A$1510),NA(),IFERROR(LOOKUP(2,1/(('Match Log'!$D$4:$D$1510=$U$24)*('Match Log'!$A$4:$A$1510&lt;=$J335)),'Match Log'!$N$4:$N$1510),NA()))</f>
        <v>968.26132335618615</v>
      </c>
      <c r="V335">
        <f>IF($J335&gt;MAX('Match Log'!$A$4:$A$1510),NA(),IFERROR(LOOKUP(2,1/(('Match Log'!$D$4:$D$1510=$V$24)*('Match Log'!$A$4:$A$1510&lt;=$J335)),'Match Log'!$N$4:$N$1510),NA()))</f>
        <v>1087.5488947064855</v>
      </c>
      <c r="W335">
        <f>IF($J335&gt;MAX('Match Log'!$A$4:$A$1510),NA(),IFERROR(LOOKUP(2,1/(('Match Log'!$D$4:$D$1510=$W$24)*('Match Log'!$A$4:$A$1510&lt;=$J335)),'Match Log'!$N$4:$N$1510),NA()))</f>
        <v>1023.2192605207141</v>
      </c>
      <c r="X335" t="e">
        <f>IF($J335&gt;MAX('Match Log'!$A$4:$A$1510),NA(),IFERROR(LOOKUP(2,1/(('Match Log'!$D$4:$D$1510=$X$24)*('Match Log'!$A$4:$A$1510&lt;=$J335)),'Match Log'!$N$4:$N$1510),NA()))</f>
        <v>#N/A</v>
      </c>
      <c r="Y335">
        <f t="shared" ca="1" si="31"/>
        <v>8.8296594936708994E-2</v>
      </c>
    </row>
    <row r="336" spans="1:25" x14ac:dyDescent="0.2">
      <c r="A336">
        <v>312</v>
      </c>
      <c r="B336">
        <f>IFERROR(INDEX('Match Log'!$B$4:$B$1510,MATCH($A336,'Match Log'!$A$4:$A$1510,0)),"")</f>
        <v>46298</v>
      </c>
      <c r="C336" t="str">
        <f>IFERROR(INDEX('Match Log'!$C$4:$C$1510,MATCH($A336,'Match Log'!$A$4:$A$1510,0)),"")</f>
        <v>Mario Golf</v>
      </c>
      <c r="D336" t="str">
        <f t="array" ref="D336">IFERROR(_xlfn.TEXTJOIN(" + ",TRUE(),IF(('Match Log'!$A$4:$A$1510=$A336)*('Match Log'!$E$4:$E$1510="Win"),'Match Log'!$D$4:$D$1510,"")),IFERROR(LOOKUP(2,1/(('Match Log'!$A$4:$A$1510=$A336)*('Match Log'!$E$4:$E$1510="Win")),'Match Log'!$D$4:$D$1510),""))</f>
        <v>Daniel (Ferret)</v>
      </c>
      <c r="E336">
        <f>IFERROR(INDEX('Match Log'!$F$4:$F$1510,MATCH($A336,'Match Log'!$A$4:$A$1510,0)),"")</f>
        <v>2</v>
      </c>
      <c r="F336">
        <f>IFERROR(SUMIFS('Match Log'!$I$4:$I$1510,'Match Log'!$A$4:$A$1510,$A336,'Match Log'!$E$4:$E$1510,"Win"),"")</f>
        <v>0.53164556962025311</v>
      </c>
      <c r="G336">
        <f t="shared" si="29"/>
        <v>-6.3291139240506222E-2</v>
      </c>
      <c r="H336" t="str">
        <f t="array" ref="H336">IFERROR(IF(COUNTIFS('Match Log'!$A$4:$A$1510,$A336,'Match Log'!$E$4:$E$1510,"Win")&gt;1,_xlfn.TEXTJOIN(" + ",TRUE(),IF(('Match Log'!$A$4:$A$1510=$A336)*('Match Log'!$E$4:$E$1510="Loss"),'Match Log'!$D$4:$D$1510,"")),IF($E336=2,LOOKUP(2,1/(('Match Log'!$A$4:$A$1510=$A336)*('Match Log'!$E$4:$E$1510="Loss")),'Match Log'!$D$4:$D$1510),"the field")),"")</f>
        <v>Shawn</v>
      </c>
      <c r="I336">
        <f t="shared" si="30"/>
        <v>-6.3603139240506229E-2</v>
      </c>
      <c r="J336">
        <v>312</v>
      </c>
      <c r="K336">
        <f>IF($J336&gt;MAX('Match Log'!$A$4:$A$1510),NA(),IFERROR(LOOKUP(2,1/(('Match Log'!$D$4:$D$1510=$K$24)*('Match Log'!$A$4:$A$1510&lt;=$J336)),'Match Log'!$N$4:$N$1510),NA()))</f>
        <v>1209.6766156390552</v>
      </c>
      <c r="L336">
        <f>IF($J336&gt;MAX('Match Log'!$A$4:$A$1510),NA(),IFERROR(LOOKUP(2,1/(('Match Log'!$D$4:$D$1510=$L$24)*('Match Log'!$A$4:$A$1510&lt;=$J336)),'Match Log'!$N$4:$N$1510),NA()))</f>
        <v>1029.5175965335138</v>
      </c>
      <c r="M336">
        <f>IF($J336&gt;MAX('Match Log'!$A$4:$A$1510),NA(),IFERROR(LOOKUP(2,1/(('Match Log'!$D$4:$D$1510=$M$24)*('Match Log'!$A$4:$A$1510&lt;=$J336)),'Match Log'!$N$4:$N$1510),NA()))</f>
        <v>1048.0761030598392</v>
      </c>
      <c r="N336">
        <f>IF($J336&gt;MAX('Match Log'!$A$4:$A$1510),NA(),IFERROR(LOOKUP(2,1/(('Match Log'!$D$4:$D$1510=$N$24)*('Match Log'!$A$4:$A$1510&lt;=$J336)),'Match Log'!$N$4:$N$1510),NA()))</f>
        <v>907.03133644117429</v>
      </c>
      <c r="O336">
        <f>IF($J336&gt;MAX('Match Log'!$A$4:$A$1510),NA(),IFERROR(LOOKUP(2,1/(('Match Log'!$D$4:$D$1510=$O$24)*('Match Log'!$A$4:$A$1510&lt;=$J336)),'Match Log'!$N$4:$N$1510),NA()))</f>
        <v>1233.497020705217</v>
      </c>
      <c r="P336">
        <f>IF($J336&gt;MAX('Match Log'!$A$4:$A$1510),NA(),IFERROR(LOOKUP(2,1/(('Match Log'!$D$4:$D$1510=$P$24)*('Match Log'!$A$4:$A$1510&lt;=$J336)),'Match Log'!$N$4:$N$1510),NA()))</f>
        <v>1217.1785635365359</v>
      </c>
      <c r="Q336">
        <f>IF($J336&gt;MAX('Match Log'!$A$4:$A$1510),NA(),IFERROR(LOOKUP(2,1/(('Match Log'!$D$4:$D$1510=$Q$24)*('Match Log'!$A$4:$A$1510&lt;=$J336)),'Match Log'!$N$4:$N$1510),NA()))</f>
        <v>1215.996181687143</v>
      </c>
      <c r="R336">
        <f>IF($J336&gt;MAX('Match Log'!$A$4:$A$1510),NA(),IFERROR(LOOKUP(2,1/(('Match Log'!$D$4:$D$1510=$R$24)*('Match Log'!$A$4:$A$1510&lt;=$J336)),'Match Log'!$N$4:$N$1510),NA()))</f>
        <v>1170.872618350412</v>
      </c>
      <c r="S336">
        <f>IF($J336&gt;MAX('Match Log'!$A$4:$A$1510),NA(),IFERROR(LOOKUP(2,1/(('Match Log'!$D$4:$D$1510=$S$24)*('Match Log'!$A$4:$A$1510&lt;=$J336)),'Match Log'!$N$4:$N$1510),NA()))</f>
        <v>1217.9015417269482</v>
      </c>
      <c r="T336">
        <f>IF($J336&gt;MAX('Match Log'!$A$4:$A$1510),NA(),IFERROR(LOOKUP(2,1/(('Match Log'!$D$4:$D$1510=$T$24)*('Match Log'!$A$4:$A$1510&lt;=$J336)),'Match Log'!$N$4:$N$1510),NA()))</f>
        <v>862.22294373677494</v>
      </c>
      <c r="U336">
        <f>IF($J336&gt;MAX('Match Log'!$A$4:$A$1510),NA(),IFERROR(LOOKUP(2,1/(('Match Log'!$D$4:$D$1510=$U$24)*('Match Log'!$A$4:$A$1510&lt;=$J336)),'Match Log'!$N$4:$N$1510),NA()))</f>
        <v>968.26132335618615</v>
      </c>
      <c r="V336">
        <f>IF($J336&gt;MAX('Match Log'!$A$4:$A$1510),NA(),IFERROR(LOOKUP(2,1/(('Match Log'!$D$4:$D$1510=$V$24)*('Match Log'!$A$4:$A$1510&lt;=$J336)),'Match Log'!$N$4:$N$1510),NA()))</f>
        <v>1087.5488947064855</v>
      </c>
      <c r="W336">
        <f>IF($J336&gt;MAX('Match Log'!$A$4:$A$1510),NA(),IFERROR(LOOKUP(2,1/(('Match Log'!$D$4:$D$1510=$W$24)*('Match Log'!$A$4:$A$1510&lt;=$J336)),'Match Log'!$N$4:$N$1510),NA()))</f>
        <v>1023.2192605207141</v>
      </c>
      <c r="X336" t="e">
        <f>IF($J336&gt;MAX('Match Log'!$A$4:$A$1510),NA(),IFERROR(LOOKUP(2,1/(('Match Log'!$D$4:$D$1510=$X$24)*('Match Log'!$A$4:$A$1510&lt;=$J336)),'Match Log'!$N$4:$N$1510),NA()))</f>
        <v>#N/A</v>
      </c>
      <c r="Y336">
        <f t="shared" ca="1" si="31"/>
        <v>-6.3603139240506229E-2</v>
      </c>
    </row>
    <row r="337" spans="1:25" x14ac:dyDescent="0.2">
      <c r="A337">
        <v>313</v>
      </c>
      <c r="B337">
        <f>IFERROR(INDEX('Match Log'!$B$4:$B$1510,MATCH($A337,'Match Log'!$A$4:$A$1510,0)),"")</f>
        <v>46298</v>
      </c>
      <c r="C337" t="str">
        <f>IFERROR(INDEX('Match Log'!$C$4:$C$1510,MATCH($A337,'Match Log'!$A$4:$A$1510,0)),"")</f>
        <v>Mario Golf</v>
      </c>
      <c r="D337" t="str">
        <f t="array" ref="D337">IFERROR(_xlfn.TEXTJOIN(" + ",TRUE(),IF(('Match Log'!$A$4:$A$1510=$A337)*('Match Log'!$E$4:$E$1510="Win"),'Match Log'!$D$4:$D$1510,"")),IFERROR(LOOKUP(2,1/(('Match Log'!$A$4:$A$1510=$A337)*('Match Log'!$E$4:$E$1510="Win")),'Match Log'!$D$4:$D$1510),""))</f>
        <v>Daniel (Ferret)</v>
      </c>
      <c r="E337">
        <f>IFERROR(INDEX('Match Log'!$F$4:$F$1510,MATCH($A337,'Match Log'!$A$4:$A$1510,0)),"")</f>
        <v>2</v>
      </c>
      <c r="F337">
        <f>IFERROR(SUMIFS('Match Log'!$I$4:$I$1510,'Match Log'!$A$4:$A$1510,$A337,'Match Log'!$E$4:$E$1510,"Win"),"")</f>
        <v>0.54216867469879515</v>
      </c>
      <c r="G337">
        <f t="shared" si="29"/>
        <v>-8.43373493975903E-2</v>
      </c>
      <c r="H337" t="str">
        <f t="array" ref="H337">IFERROR(IF(COUNTIFS('Match Log'!$A$4:$A$1510,$A337,'Match Log'!$E$4:$E$1510,"Win")&gt;1,_xlfn.TEXTJOIN(" + ",TRUE(),IF(('Match Log'!$A$4:$A$1510=$A337)*('Match Log'!$E$4:$E$1510="Loss"),'Match Log'!$D$4:$D$1510,"")),IF($E337=2,LOOKUP(2,1/(('Match Log'!$A$4:$A$1510=$A337)*('Match Log'!$E$4:$E$1510="Loss")),'Match Log'!$D$4:$D$1510),"the field")),"")</f>
        <v>Shawn</v>
      </c>
      <c r="I337">
        <f t="shared" si="30"/>
        <v>-8.4650349397590294E-2</v>
      </c>
      <c r="J337">
        <v>313</v>
      </c>
      <c r="K337">
        <f>IF($J337&gt;MAX('Match Log'!$A$4:$A$1510),NA(),IFERROR(LOOKUP(2,1/(('Match Log'!$D$4:$D$1510=$K$24)*('Match Log'!$A$4:$A$1510&lt;=$J337)),'Match Log'!$N$4:$N$1510),NA()))</f>
        <v>1209.6766156390552</v>
      </c>
      <c r="L337">
        <f>IF($J337&gt;MAX('Match Log'!$A$4:$A$1510),NA(),IFERROR(LOOKUP(2,1/(('Match Log'!$D$4:$D$1510=$L$24)*('Match Log'!$A$4:$A$1510&lt;=$J337)),'Match Log'!$N$4:$N$1510),NA()))</f>
        <v>1029.5175965335138</v>
      </c>
      <c r="M337">
        <f>IF($J337&gt;MAX('Match Log'!$A$4:$A$1510),NA(),IFERROR(LOOKUP(2,1/(('Match Log'!$D$4:$D$1510=$M$24)*('Match Log'!$A$4:$A$1510&lt;=$J337)),'Match Log'!$N$4:$N$1510),NA()))</f>
        <v>1048.0761030598392</v>
      </c>
      <c r="N337">
        <f>IF($J337&gt;MAX('Match Log'!$A$4:$A$1510),NA(),IFERROR(LOOKUP(2,1/(('Match Log'!$D$4:$D$1510=$N$24)*('Match Log'!$A$4:$A$1510&lt;=$J337)),'Match Log'!$N$4:$N$1510),NA()))</f>
        <v>907.03133644117429</v>
      </c>
      <c r="O337">
        <f>IF($J337&gt;MAX('Match Log'!$A$4:$A$1510),NA(),IFERROR(LOOKUP(2,1/(('Match Log'!$D$4:$D$1510=$O$24)*('Match Log'!$A$4:$A$1510&lt;=$J337)),'Match Log'!$N$4:$N$1510),NA()))</f>
        <v>1233.497020705217</v>
      </c>
      <c r="P337">
        <f>IF($J337&gt;MAX('Match Log'!$A$4:$A$1510),NA(),IFERROR(LOOKUP(2,1/(('Match Log'!$D$4:$D$1510=$P$24)*('Match Log'!$A$4:$A$1510&lt;=$J337)),'Match Log'!$N$4:$N$1510),NA()))</f>
        <v>1199.6480360810826</v>
      </c>
      <c r="Q337">
        <f>IF($J337&gt;MAX('Match Log'!$A$4:$A$1510),NA(),IFERROR(LOOKUP(2,1/(('Match Log'!$D$4:$D$1510=$Q$24)*('Match Log'!$A$4:$A$1510&lt;=$J337)),'Match Log'!$N$4:$N$1510),NA()))</f>
        <v>1215.996181687143</v>
      </c>
      <c r="R337">
        <f>IF($J337&gt;MAX('Match Log'!$A$4:$A$1510),NA(),IFERROR(LOOKUP(2,1/(('Match Log'!$D$4:$D$1510=$R$24)*('Match Log'!$A$4:$A$1510&lt;=$J337)),'Match Log'!$N$4:$N$1510),NA()))</f>
        <v>1188.4031458058653</v>
      </c>
      <c r="S337">
        <f>IF($J337&gt;MAX('Match Log'!$A$4:$A$1510),NA(),IFERROR(LOOKUP(2,1/(('Match Log'!$D$4:$D$1510=$S$24)*('Match Log'!$A$4:$A$1510&lt;=$J337)),'Match Log'!$N$4:$N$1510),NA()))</f>
        <v>1217.9015417269482</v>
      </c>
      <c r="T337">
        <f>IF($J337&gt;MAX('Match Log'!$A$4:$A$1510),NA(),IFERROR(LOOKUP(2,1/(('Match Log'!$D$4:$D$1510=$T$24)*('Match Log'!$A$4:$A$1510&lt;=$J337)),'Match Log'!$N$4:$N$1510),NA()))</f>
        <v>862.22294373677494</v>
      </c>
      <c r="U337">
        <f>IF($J337&gt;MAX('Match Log'!$A$4:$A$1510),NA(),IFERROR(LOOKUP(2,1/(('Match Log'!$D$4:$D$1510=$U$24)*('Match Log'!$A$4:$A$1510&lt;=$J337)),'Match Log'!$N$4:$N$1510),NA()))</f>
        <v>968.26132335618615</v>
      </c>
      <c r="V337">
        <f>IF($J337&gt;MAX('Match Log'!$A$4:$A$1510),NA(),IFERROR(LOOKUP(2,1/(('Match Log'!$D$4:$D$1510=$V$24)*('Match Log'!$A$4:$A$1510&lt;=$J337)),'Match Log'!$N$4:$N$1510),NA()))</f>
        <v>1087.5488947064855</v>
      </c>
      <c r="W337">
        <f>IF($J337&gt;MAX('Match Log'!$A$4:$A$1510),NA(),IFERROR(LOOKUP(2,1/(('Match Log'!$D$4:$D$1510=$W$24)*('Match Log'!$A$4:$A$1510&lt;=$J337)),'Match Log'!$N$4:$N$1510),NA()))</f>
        <v>1023.2192605207141</v>
      </c>
      <c r="X337" t="e">
        <f>IF($J337&gt;MAX('Match Log'!$A$4:$A$1510),NA(),IFERROR(LOOKUP(2,1/(('Match Log'!$D$4:$D$1510=$X$24)*('Match Log'!$A$4:$A$1510&lt;=$J337)),'Match Log'!$N$4:$N$1510),NA()))</f>
        <v>#N/A</v>
      </c>
      <c r="Y337">
        <f t="shared" ca="1" si="31"/>
        <v>-8.4650349397590294E-2</v>
      </c>
    </row>
    <row r="338" spans="1:25" x14ac:dyDescent="0.2">
      <c r="A338">
        <v>314</v>
      </c>
      <c r="B338">
        <f>IFERROR(INDEX('Match Log'!$B$4:$B$1510,MATCH($A338,'Match Log'!$A$4:$A$1510,0)),"")</f>
        <v>46298</v>
      </c>
      <c r="C338" t="str">
        <f>IFERROR(INDEX('Match Log'!$C$4:$C$1510,MATCH($A338,'Match Log'!$A$4:$A$1510,0)),"")</f>
        <v>Mario Golf</v>
      </c>
      <c r="D338" t="str">
        <f t="array" ref="D338">IFERROR(_xlfn.TEXTJOIN(" + ",TRUE(),IF(('Match Log'!$A$4:$A$1510=$A338)*('Match Log'!$E$4:$E$1510="Win"),'Match Log'!$D$4:$D$1510,"")),IFERROR(LOOKUP(2,1/(('Match Log'!$A$4:$A$1510=$A338)*('Match Log'!$E$4:$E$1510="Win")),'Match Log'!$D$4:$D$1510),""))</f>
        <v>Daniel (Ferret)</v>
      </c>
      <c r="E338">
        <f>IFERROR(INDEX('Match Log'!$F$4:$F$1510,MATCH($A338,'Match Log'!$A$4:$A$1510,0)),"")</f>
        <v>2</v>
      </c>
      <c r="F338">
        <f>IFERROR(SUMIFS('Match Log'!$I$4:$I$1510,'Match Log'!$A$4:$A$1510,$A338,'Match Log'!$E$4:$E$1510,"Win"),"")</f>
        <v>0.55219206680584554</v>
      </c>
      <c r="G338">
        <f t="shared" si="29"/>
        <v>-0.10438413361169108</v>
      </c>
      <c r="H338" t="str">
        <f t="array" ref="H338">IFERROR(IF(COUNTIFS('Match Log'!$A$4:$A$1510,$A338,'Match Log'!$E$4:$E$1510,"Win")&gt;1,_xlfn.TEXTJOIN(" + ",TRUE(),IF(('Match Log'!$A$4:$A$1510=$A338)*('Match Log'!$E$4:$E$1510="Loss"),'Match Log'!$D$4:$D$1510,"")),IF($E338=2,LOOKUP(2,1/(('Match Log'!$A$4:$A$1510=$A338)*('Match Log'!$E$4:$E$1510="Loss")),'Match Log'!$D$4:$D$1510),"the field")),"")</f>
        <v>Shawn</v>
      </c>
      <c r="I338">
        <f t="shared" si="30"/>
        <v>-0.10469813361169107</v>
      </c>
      <c r="J338">
        <v>314</v>
      </c>
      <c r="K338">
        <f>IF($J338&gt;MAX('Match Log'!$A$4:$A$1510),NA(),IFERROR(LOOKUP(2,1/(('Match Log'!$D$4:$D$1510=$K$24)*('Match Log'!$A$4:$A$1510&lt;=$J338)),'Match Log'!$N$4:$N$1510),NA()))</f>
        <v>1209.6766156390552</v>
      </c>
      <c r="L338">
        <f>IF($J338&gt;MAX('Match Log'!$A$4:$A$1510),NA(),IFERROR(LOOKUP(2,1/(('Match Log'!$D$4:$D$1510=$L$24)*('Match Log'!$A$4:$A$1510&lt;=$J338)),'Match Log'!$N$4:$N$1510),NA()))</f>
        <v>1029.5175965335138</v>
      </c>
      <c r="M338">
        <f>IF($J338&gt;MAX('Match Log'!$A$4:$A$1510),NA(),IFERROR(LOOKUP(2,1/(('Match Log'!$D$4:$D$1510=$M$24)*('Match Log'!$A$4:$A$1510&lt;=$J338)),'Match Log'!$N$4:$N$1510),NA()))</f>
        <v>1048.0761030598392</v>
      </c>
      <c r="N338">
        <f>IF($J338&gt;MAX('Match Log'!$A$4:$A$1510),NA(),IFERROR(LOOKUP(2,1/(('Match Log'!$D$4:$D$1510=$N$24)*('Match Log'!$A$4:$A$1510&lt;=$J338)),'Match Log'!$N$4:$N$1510),NA()))</f>
        <v>907.03133644117429</v>
      </c>
      <c r="O338">
        <f>IF($J338&gt;MAX('Match Log'!$A$4:$A$1510),NA(),IFERROR(LOOKUP(2,1/(('Match Log'!$D$4:$D$1510=$O$24)*('Match Log'!$A$4:$A$1510&lt;=$J338)),'Match Log'!$N$4:$N$1510),NA()))</f>
        <v>1233.497020705217</v>
      </c>
      <c r="P338">
        <f>IF($J338&gt;MAX('Match Log'!$A$4:$A$1510),NA(),IFERROR(LOOKUP(2,1/(('Match Log'!$D$4:$D$1510=$P$24)*('Match Log'!$A$4:$A$1510&lt;=$J338)),'Match Log'!$N$4:$N$1510),NA()))</f>
        <v>1183.2753766170249</v>
      </c>
      <c r="Q338">
        <f>IF($J338&gt;MAX('Match Log'!$A$4:$A$1510),NA(),IFERROR(LOOKUP(2,1/(('Match Log'!$D$4:$D$1510=$Q$24)*('Match Log'!$A$4:$A$1510&lt;=$J338)),'Match Log'!$N$4:$N$1510),NA()))</f>
        <v>1215.996181687143</v>
      </c>
      <c r="R338">
        <f>IF($J338&gt;MAX('Match Log'!$A$4:$A$1510),NA(),IFERROR(LOOKUP(2,1/(('Match Log'!$D$4:$D$1510=$R$24)*('Match Log'!$A$4:$A$1510&lt;=$J338)),'Match Log'!$N$4:$N$1510),NA()))</f>
        <v>1204.775805269923</v>
      </c>
      <c r="S338">
        <f>IF($J338&gt;MAX('Match Log'!$A$4:$A$1510),NA(),IFERROR(LOOKUP(2,1/(('Match Log'!$D$4:$D$1510=$S$24)*('Match Log'!$A$4:$A$1510&lt;=$J338)),'Match Log'!$N$4:$N$1510),NA()))</f>
        <v>1217.9015417269482</v>
      </c>
      <c r="T338">
        <f>IF($J338&gt;MAX('Match Log'!$A$4:$A$1510),NA(),IFERROR(LOOKUP(2,1/(('Match Log'!$D$4:$D$1510=$T$24)*('Match Log'!$A$4:$A$1510&lt;=$J338)),'Match Log'!$N$4:$N$1510),NA()))</f>
        <v>862.22294373677494</v>
      </c>
      <c r="U338">
        <f>IF($J338&gt;MAX('Match Log'!$A$4:$A$1510),NA(),IFERROR(LOOKUP(2,1/(('Match Log'!$D$4:$D$1510=$U$24)*('Match Log'!$A$4:$A$1510&lt;=$J338)),'Match Log'!$N$4:$N$1510),NA()))</f>
        <v>968.26132335618615</v>
      </c>
      <c r="V338">
        <f>IF($J338&gt;MAX('Match Log'!$A$4:$A$1510),NA(),IFERROR(LOOKUP(2,1/(('Match Log'!$D$4:$D$1510=$V$24)*('Match Log'!$A$4:$A$1510&lt;=$J338)),'Match Log'!$N$4:$N$1510),NA()))</f>
        <v>1087.5488947064855</v>
      </c>
      <c r="W338">
        <f>IF($J338&gt;MAX('Match Log'!$A$4:$A$1510),NA(),IFERROR(LOOKUP(2,1/(('Match Log'!$D$4:$D$1510=$W$24)*('Match Log'!$A$4:$A$1510&lt;=$J338)),'Match Log'!$N$4:$N$1510),NA()))</f>
        <v>1023.2192605207141</v>
      </c>
      <c r="X338" t="e">
        <f>IF($J338&gt;MAX('Match Log'!$A$4:$A$1510),NA(),IFERROR(LOOKUP(2,1/(('Match Log'!$D$4:$D$1510=$X$24)*('Match Log'!$A$4:$A$1510&lt;=$J338)),'Match Log'!$N$4:$N$1510),NA()))</f>
        <v>#N/A</v>
      </c>
      <c r="Y338">
        <f t="shared" ca="1" si="31"/>
        <v>-0.10469813361169107</v>
      </c>
    </row>
    <row r="339" spans="1:25" x14ac:dyDescent="0.2">
      <c r="A339">
        <v>315</v>
      </c>
      <c r="B339">
        <f>IFERROR(INDEX('Match Log'!$B$4:$B$1510,MATCH($A339,'Match Log'!$A$4:$A$1510,0)),"")</f>
        <v>46298</v>
      </c>
      <c r="C339" t="str">
        <f>IFERROR(INDEX('Match Log'!$C$4:$C$1510,MATCH($A339,'Match Log'!$A$4:$A$1510,0)),"")</f>
        <v>Mario Golf</v>
      </c>
      <c r="D339" t="str">
        <f t="array" ref="D339">IFERROR(_xlfn.TEXTJOIN(" + ",TRUE(),IF(('Match Log'!$A$4:$A$1510=$A339)*('Match Log'!$E$4:$E$1510="Win"),'Match Log'!$D$4:$D$1510,"")),IFERROR(LOOKUP(2,1/(('Match Log'!$A$4:$A$1510=$A339)*('Match Log'!$E$4:$E$1510="Win")),'Match Log'!$D$4:$D$1510),""))</f>
        <v>Daniel (Ferret)</v>
      </c>
      <c r="E339">
        <f>IFERROR(INDEX('Match Log'!$F$4:$F$1510,MATCH($A339,'Match Log'!$A$4:$A$1510,0)),"")</f>
        <v>3</v>
      </c>
      <c r="F339">
        <f>IFERROR(SUMIFS('Match Log'!$I$4:$I$1510,'Match Log'!$A$4:$A$1510,$A339,'Match Log'!$E$4:$E$1510,"Win"),"")</f>
        <v>0.38263229308005425</v>
      </c>
      <c r="G339">
        <f t="shared" si="29"/>
        <v>-0.1478968792401627</v>
      </c>
      <c r="H339" t="str">
        <f t="array" ref="H339">IFERROR(IF(COUNTIFS('Match Log'!$A$4:$A$1510,$A339,'Match Log'!$E$4:$E$1510,"Win")&gt;1,_xlfn.TEXTJOIN(" + ",TRUE(),IF(('Match Log'!$A$4:$A$1510=$A339)*('Match Log'!$E$4:$E$1510="Loss"),'Match Log'!$D$4:$D$1510,"")),IF($E339=2,LOOKUP(2,1/(('Match Log'!$A$4:$A$1510=$A339)*('Match Log'!$E$4:$E$1510="Loss")),'Match Log'!$D$4:$D$1510),"the field")),"")</f>
        <v>the field</v>
      </c>
      <c r="I339">
        <f t="shared" si="30"/>
        <v>-0.14821187924016271</v>
      </c>
      <c r="J339">
        <v>315</v>
      </c>
      <c r="K339">
        <f>IF($J339&gt;MAX('Match Log'!$A$4:$A$1510),NA(),IFERROR(LOOKUP(2,1/(('Match Log'!$D$4:$D$1510=$K$24)*('Match Log'!$A$4:$A$1510&lt;=$J339)),'Match Log'!$N$4:$N$1510),NA()))</f>
        <v>1209.6766156390552</v>
      </c>
      <c r="L339">
        <f>IF($J339&gt;MAX('Match Log'!$A$4:$A$1510),NA(),IFERROR(LOOKUP(2,1/(('Match Log'!$D$4:$D$1510=$L$24)*('Match Log'!$A$4:$A$1510&lt;=$J339)),'Match Log'!$N$4:$N$1510),NA()))</f>
        <v>1029.5175965335138</v>
      </c>
      <c r="M339">
        <f>IF($J339&gt;MAX('Match Log'!$A$4:$A$1510),NA(),IFERROR(LOOKUP(2,1/(('Match Log'!$D$4:$D$1510=$M$24)*('Match Log'!$A$4:$A$1510&lt;=$J339)),'Match Log'!$N$4:$N$1510),NA()))</f>
        <v>1048.0761030598392</v>
      </c>
      <c r="N339">
        <f>IF($J339&gt;MAX('Match Log'!$A$4:$A$1510),NA(),IFERROR(LOOKUP(2,1/(('Match Log'!$D$4:$D$1510=$N$24)*('Match Log'!$A$4:$A$1510&lt;=$J339)),'Match Log'!$N$4:$N$1510),NA()))</f>
        <v>907.03133644117429</v>
      </c>
      <c r="O339">
        <f>IF($J339&gt;MAX('Match Log'!$A$4:$A$1510),NA(),IFERROR(LOOKUP(2,1/(('Match Log'!$D$4:$D$1510=$O$24)*('Match Log'!$A$4:$A$1510&lt;=$J339)),'Match Log'!$N$4:$N$1510),NA()))</f>
        <v>1233.497020705217</v>
      </c>
      <c r="P339">
        <f>IF($J339&gt;MAX('Match Log'!$A$4:$A$1510),NA(),IFERROR(LOOKUP(2,1/(('Match Log'!$D$4:$D$1510=$P$24)*('Match Log'!$A$4:$A$1510&lt;=$J339)),'Match Log'!$N$4:$N$1510),NA()))</f>
        <v>1177.6504715222061</v>
      </c>
      <c r="Q339">
        <f>IF($J339&gt;MAX('Match Log'!$A$4:$A$1510),NA(),IFERROR(LOOKUP(2,1/(('Match Log'!$D$4:$D$1510=$Q$24)*('Match Log'!$A$4:$A$1510&lt;=$J339)),'Match Log'!$N$4:$N$1510),NA()))</f>
        <v>1215.996181687143</v>
      </c>
      <c r="R339">
        <f>IF($J339&gt;MAX('Match Log'!$A$4:$A$1510),NA(),IFERROR(LOOKUP(2,1/(('Match Log'!$D$4:$D$1510=$R$24)*('Match Log'!$A$4:$A$1510&lt;=$J339)),'Match Log'!$N$4:$N$1510),NA()))</f>
        <v>1225.6540939782453</v>
      </c>
      <c r="S339">
        <f>IF($J339&gt;MAX('Match Log'!$A$4:$A$1510),NA(),IFERROR(LOOKUP(2,1/(('Match Log'!$D$4:$D$1510=$S$24)*('Match Log'!$A$4:$A$1510&lt;=$J339)),'Match Log'!$N$4:$N$1510),NA()))</f>
        <v>1217.9015417269482</v>
      </c>
      <c r="T339">
        <f>IF($J339&gt;MAX('Match Log'!$A$4:$A$1510),NA(),IFERROR(LOOKUP(2,1/(('Match Log'!$D$4:$D$1510=$T$24)*('Match Log'!$A$4:$A$1510&lt;=$J339)),'Match Log'!$N$4:$N$1510),NA()))</f>
        <v>862.22294373677494</v>
      </c>
      <c r="U339">
        <f>IF($J339&gt;MAX('Match Log'!$A$4:$A$1510),NA(),IFERROR(LOOKUP(2,1/(('Match Log'!$D$4:$D$1510=$U$24)*('Match Log'!$A$4:$A$1510&lt;=$J339)),'Match Log'!$N$4:$N$1510),NA()))</f>
        <v>968.26132335618615</v>
      </c>
      <c r="V339">
        <f>IF($J339&gt;MAX('Match Log'!$A$4:$A$1510),NA(),IFERROR(LOOKUP(2,1/(('Match Log'!$D$4:$D$1510=$V$24)*('Match Log'!$A$4:$A$1510&lt;=$J339)),'Match Log'!$N$4:$N$1510),NA()))</f>
        <v>1087.5488947064855</v>
      </c>
      <c r="W339">
        <f>IF($J339&gt;MAX('Match Log'!$A$4:$A$1510),NA(),IFERROR(LOOKUP(2,1/(('Match Log'!$D$4:$D$1510=$W$24)*('Match Log'!$A$4:$A$1510&lt;=$J339)),'Match Log'!$N$4:$N$1510),NA()))</f>
        <v>1016.9658769072107</v>
      </c>
      <c r="X339" t="e">
        <f>IF($J339&gt;MAX('Match Log'!$A$4:$A$1510),NA(),IFERROR(LOOKUP(2,1/(('Match Log'!$D$4:$D$1510=$X$24)*('Match Log'!$A$4:$A$1510&lt;=$J339)),'Match Log'!$N$4:$N$1510),NA()))</f>
        <v>#N/A</v>
      </c>
      <c r="Y339">
        <f t="shared" ca="1" si="31"/>
        <v>-0.14821187924016271</v>
      </c>
    </row>
    <row r="340" spans="1:25" x14ac:dyDescent="0.2">
      <c r="A340">
        <v>316</v>
      </c>
      <c r="B340">
        <f>IFERROR(INDEX('Match Log'!$B$4:$B$1510,MATCH($A340,'Match Log'!$A$4:$A$1510,0)),"")</f>
        <v>46298</v>
      </c>
      <c r="C340" t="str">
        <f>IFERROR(INDEX('Match Log'!$C$4:$C$1510,MATCH($A340,'Match Log'!$A$4:$A$1510,0)),"")</f>
        <v>Mario Golf</v>
      </c>
      <c r="D340" t="str">
        <f t="array" ref="D340">IFERROR(_xlfn.TEXTJOIN(" + ",TRUE(),IF(('Match Log'!$A$4:$A$1510=$A340)*('Match Log'!$E$4:$E$1510="Win"),'Match Log'!$D$4:$D$1510,"")),IFERROR(LOOKUP(2,1/(('Match Log'!$A$4:$A$1510=$A340)*('Match Log'!$E$4:$E$1510="Win")),'Match Log'!$D$4:$D$1510),""))</f>
        <v>Shawn + Daniel (Ferret)</v>
      </c>
      <c r="E340">
        <f>IFERROR(INDEX('Match Log'!$F$4:$F$1510,MATCH($A340,'Match Log'!$A$4:$A$1510,0)),"")</f>
        <v>3</v>
      </c>
      <c r="F340">
        <f>IFERROR(SUMIFS('Match Log'!$I$4:$I$1510,'Match Log'!$A$4:$A$1510,$A340,'Match Log'!$E$4:$E$1510,"Win"),"")</f>
        <v>0.76214648295866572</v>
      </c>
      <c r="G340">
        <f t="shared" si="29"/>
        <v>-1.2864394488759974</v>
      </c>
      <c r="H340" t="str">
        <f t="array" ref="H340">IFERROR(IF(COUNTIFS('Match Log'!$A$4:$A$1510,$A340,'Match Log'!$E$4:$E$1510,"Win")&gt;1,_xlfn.TEXTJOIN(" + ",TRUE(),IF(('Match Log'!$A$4:$A$1510=$A340)*('Match Log'!$E$4:$E$1510="Loss"),'Match Log'!$D$4:$D$1510,"")),IF($E340=2,LOOKUP(2,1/(('Match Log'!$A$4:$A$1510=$A340)*('Match Log'!$E$4:$E$1510="Loss")),'Match Log'!$D$4:$D$1510),"the field")),"")</f>
        <v>Dylan A</v>
      </c>
      <c r="I340">
        <f t="shared" si="30"/>
        <v>-1.2867554488759974</v>
      </c>
      <c r="J340">
        <v>316</v>
      </c>
      <c r="K340">
        <f>IF($J340&gt;MAX('Match Log'!$A$4:$A$1510),NA(),IFERROR(LOOKUP(2,1/(('Match Log'!$D$4:$D$1510=$K$24)*('Match Log'!$A$4:$A$1510&lt;=$J340)),'Match Log'!$N$4:$N$1510),NA()))</f>
        <v>1209.6766156390552</v>
      </c>
      <c r="L340">
        <f>IF($J340&gt;MAX('Match Log'!$A$4:$A$1510),NA(),IFERROR(LOOKUP(2,1/(('Match Log'!$D$4:$D$1510=$L$24)*('Match Log'!$A$4:$A$1510&lt;=$J340)),'Match Log'!$N$4:$N$1510),NA()))</f>
        <v>1029.5175965335138</v>
      </c>
      <c r="M340">
        <f>IF($J340&gt;MAX('Match Log'!$A$4:$A$1510),NA(),IFERROR(LOOKUP(2,1/(('Match Log'!$D$4:$D$1510=$M$24)*('Match Log'!$A$4:$A$1510&lt;=$J340)),'Match Log'!$N$4:$N$1510),NA()))</f>
        <v>1048.0761030598392</v>
      </c>
      <c r="N340">
        <f>IF($J340&gt;MAX('Match Log'!$A$4:$A$1510),NA(),IFERROR(LOOKUP(2,1/(('Match Log'!$D$4:$D$1510=$N$24)*('Match Log'!$A$4:$A$1510&lt;=$J340)),'Match Log'!$N$4:$N$1510),NA()))</f>
        <v>907.03133644117429</v>
      </c>
      <c r="O340">
        <f>IF($J340&gt;MAX('Match Log'!$A$4:$A$1510),NA(),IFERROR(LOOKUP(2,1/(('Match Log'!$D$4:$D$1510=$O$24)*('Match Log'!$A$4:$A$1510&lt;=$J340)),'Match Log'!$N$4:$N$1510),NA()))</f>
        <v>1233.497020705217</v>
      </c>
      <c r="P340">
        <f>IF($J340&gt;MAX('Match Log'!$A$4:$A$1510),NA(),IFERROR(LOOKUP(2,1/(('Match Log'!$D$4:$D$1510=$P$24)*('Match Log'!$A$4:$A$1510&lt;=$J340)),'Match Log'!$N$4:$N$1510),NA()))</f>
        <v>1192.0280857013031</v>
      </c>
      <c r="Q340">
        <f>IF($J340&gt;MAX('Match Log'!$A$4:$A$1510),NA(),IFERROR(LOOKUP(2,1/(('Match Log'!$D$4:$D$1510=$Q$24)*('Match Log'!$A$4:$A$1510&lt;=$J340)),'Match Log'!$N$4:$N$1510),NA()))</f>
        <v>1215.996181687143</v>
      </c>
      <c r="R340">
        <f>IF($J340&gt;MAX('Match Log'!$A$4:$A$1510),NA(),IFERROR(LOOKUP(2,1/(('Match Log'!$D$4:$D$1510=$R$24)*('Match Log'!$A$4:$A$1510&lt;=$J340)),'Match Log'!$N$4:$N$1510),NA()))</f>
        <v>1238.7351164242023</v>
      </c>
      <c r="S340">
        <f>IF($J340&gt;MAX('Match Log'!$A$4:$A$1510),NA(),IFERROR(LOOKUP(2,1/(('Match Log'!$D$4:$D$1510=$S$24)*('Match Log'!$A$4:$A$1510&lt;=$J340)),'Match Log'!$N$4:$N$1510),NA()))</f>
        <v>1217.9015417269482</v>
      </c>
      <c r="T340">
        <f>IF($J340&gt;MAX('Match Log'!$A$4:$A$1510),NA(),IFERROR(LOOKUP(2,1/(('Match Log'!$D$4:$D$1510=$T$24)*('Match Log'!$A$4:$A$1510&lt;=$J340)),'Match Log'!$N$4:$N$1510),NA()))</f>
        <v>862.22294373677494</v>
      </c>
      <c r="U340">
        <f>IF($J340&gt;MAX('Match Log'!$A$4:$A$1510),NA(),IFERROR(LOOKUP(2,1/(('Match Log'!$D$4:$D$1510=$U$24)*('Match Log'!$A$4:$A$1510&lt;=$J340)),'Match Log'!$N$4:$N$1510),NA()))</f>
        <v>968.26132335618615</v>
      </c>
      <c r="V340">
        <f>IF($J340&gt;MAX('Match Log'!$A$4:$A$1510),NA(),IFERROR(LOOKUP(2,1/(('Match Log'!$D$4:$D$1510=$V$24)*('Match Log'!$A$4:$A$1510&lt;=$J340)),'Match Log'!$N$4:$N$1510),NA()))</f>
        <v>1087.5488947064855</v>
      </c>
      <c r="W340">
        <f>IF($J340&gt;MAX('Match Log'!$A$4:$A$1510),NA(),IFERROR(LOOKUP(2,1/(('Match Log'!$D$4:$D$1510=$W$24)*('Match Log'!$A$4:$A$1510&lt;=$J340)),'Match Log'!$N$4:$N$1510),NA()))</f>
        <v>1010.5072402821568</v>
      </c>
      <c r="X340" t="e">
        <f>IF($J340&gt;MAX('Match Log'!$A$4:$A$1510),NA(),IFERROR(LOOKUP(2,1/(('Match Log'!$D$4:$D$1510=$X$24)*('Match Log'!$A$4:$A$1510&lt;=$J340)),'Match Log'!$N$4:$N$1510),NA()))</f>
        <v>#N/A</v>
      </c>
      <c r="Y340">
        <f t="shared" ca="1" si="31"/>
        <v>-1.2867554488759974</v>
      </c>
    </row>
    <row r="341" spans="1:25" x14ac:dyDescent="0.2">
      <c r="A341">
        <v>317</v>
      </c>
      <c r="B341">
        <f>IFERROR(INDEX('Match Log'!$B$4:$B$1510,MATCH($A341,'Match Log'!$A$4:$A$1510,0)),"")</f>
        <v>46298</v>
      </c>
      <c r="C341" t="str">
        <f>IFERROR(INDEX('Match Log'!$C$4:$C$1510,MATCH($A341,'Match Log'!$A$4:$A$1510,0)),"")</f>
        <v>Mario Golf</v>
      </c>
      <c r="D341" t="str">
        <f t="array" ref="D341">IFERROR(_xlfn.TEXTJOIN(" + ",TRUE(),IF(('Match Log'!$A$4:$A$1510=$A341)*('Match Log'!$E$4:$E$1510="Win"),'Match Log'!$D$4:$D$1510,"")),IFERROR(LOOKUP(2,1/(('Match Log'!$A$4:$A$1510=$A341)*('Match Log'!$E$4:$E$1510="Win")),'Match Log'!$D$4:$D$1510),""))</f>
        <v>Shawn</v>
      </c>
      <c r="E341">
        <f>IFERROR(INDEX('Match Log'!$F$4:$F$1510,MATCH($A341,'Match Log'!$A$4:$A$1510,0)),"")</f>
        <v>2</v>
      </c>
      <c r="F341">
        <f>IFERROR(SUMIFS('Match Log'!$I$4:$I$1510,'Match Log'!$A$4:$A$1510,$A341,'Match Log'!$E$4:$E$1510,"Win"),"")</f>
        <v>0.43124999999999997</v>
      </c>
      <c r="G341">
        <f t="shared" si="29"/>
        <v>0.13750000000000007</v>
      </c>
      <c r="H341" t="str">
        <f t="array" ref="H341">IFERROR(IF(COUNTIFS('Match Log'!$A$4:$A$1510,$A341,'Match Log'!$E$4:$E$1510,"Win")&gt;1,_xlfn.TEXTJOIN(" + ",TRUE(),IF(('Match Log'!$A$4:$A$1510=$A341)*('Match Log'!$E$4:$E$1510="Loss"),'Match Log'!$D$4:$D$1510,"")),IF($E341=2,LOOKUP(2,1/(('Match Log'!$A$4:$A$1510=$A341)*('Match Log'!$E$4:$E$1510="Loss")),'Match Log'!$D$4:$D$1510),"the field")),"")</f>
        <v>Daniel (Ferret)</v>
      </c>
      <c r="I341">
        <f t="shared" si="30"/>
        <v>0.13718300000000005</v>
      </c>
      <c r="J341">
        <v>317</v>
      </c>
      <c r="K341">
        <f>IF($J341&gt;MAX('Match Log'!$A$4:$A$1510),NA(),IFERROR(LOOKUP(2,1/(('Match Log'!$D$4:$D$1510=$K$24)*('Match Log'!$A$4:$A$1510&lt;=$J341)),'Match Log'!$N$4:$N$1510),NA()))</f>
        <v>1209.6766156390552</v>
      </c>
      <c r="L341">
        <f>IF($J341&gt;MAX('Match Log'!$A$4:$A$1510),NA(),IFERROR(LOOKUP(2,1/(('Match Log'!$D$4:$D$1510=$L$24)*('Match Log'!$A$4:$A$1510&lt;=$J341)),'Match Log'!$N$4:$N$1510),NA()))</f>
        <v>1029.5175965335138</v>
      </c>
      <c r="M341">
        <f>IF($J341&gt;MAX('Match Log'!$A$4:$A$1510),NA(),IFERROR(LOOKUP(2,1/(('Match Log'!$D$4:$D$1510=$M$24)*('Match Log'!$A$4:$A$1510&lt;=$J341)),'Match Log'!$N$4:$N$1510),NA()))</f>
        <v>1048.0761030598392</v>
      </c>
      <c r="N341">
        <f>IF($J341&gt;MAX('Match Log'!$A$4:$A$1510),NA(),IFERROR(LOOKUP(2,1/(('Match Log'!$D$4:$D$1510=$N$24)*('Match Log'!$A$4:$A$1510&lt;=$J341)),'Match Log'!$N$4:$N$1510),NA()))</f>
        <v>907.03133644117429</v>
      </c>
      <c r="O341">
        <f>IF($J341&gt;MAX('Match Log'!$A$4:$A$1510),NA(),IFERROR(LOOKUP(2,1/(('Match Log'!$D$4:$D$1510=$O$24)*('Match Log'!$A$4:$A$1510&lt;=$J341)),'Match Log'!$N$4:$N$1510),NA()))</f>
        <v>1233.497020705217</v>
      </c>
      <c r="P341">
        <f>IF($J341&gt;MAX('Match Log'!$A$4:$A$1510),NA(),IFERROR(LOOKUP(2,1/(('Match Log'!$D$4:$D$1510=$P$24)*('Match Log'!$A$4:$A$1510&lt;=$J341)),'Match Log'!$N$4:$N$1510),NA()))</f>
        <v>1221.4104830819899</v>
      </c>
      <c r="Q341">
        <f>IF($J341&gt;MAX('Match Log'!$A$4:$A$1510),NA(),IFERROR(LOOKUP(2,1/(('Match Log'!$D$4:$D$1510=$Q$24)*('Match Log'!$A$4:$A$1510&lt;=$J341)),'Match Log'!$N$4:$N$1510),NA()))</f>
        <v>1215.996181687143</v>
      </c>
      <c r="R341">
        <f>IF($J341&gt;MAX('Match Log'!$A$4:$A$1510),NA(),IFERROR(LOOKUP(2,1/(('Match Log'!$D$4:$D$1510=$R$24)*('Match Log'!$A$4:$A$1510&lt;=$J341)),'Match Log'!$N$4:$N$1510),NA()))</f>
        <v>1209.3527190435154</v>
      </c>
      <c r="S341">
        <f>IF($J341&gt;MAX('Match Log'!$A$4:$A$1510),NA(),IFERROR(LOOKUP(2,1/(('Match Log'!$D$4:$D$1510=$S$24)*('Match Log'!$A$4:$A$1510&lt;=$J341)),'Match Log'!$N$4:$N$1510),NA()))</f>
        <v>1217.9015417269482</v>
      </c>
      <c r="T341">
        <f>IF($J341&gt;MAX('Match Log'!$A$4:$A$1510),NA(),IFERROR(LOOKUP(2,1/(('Match Log'!$D$4:$D$1510=$T$24)*('Match Log'!$A$4:$A$1510&lt;=$J341)),'Match Log'!$N$4:$N$1510),NA()))</f>
        <v>862.22294373677494</v>
      </c>
      <c r="U341">
        <f>IF($J341&gt;MAX('Match Log'!$A$4:$A$1510),NA(),IFERROR(LOOKUP(2,1/(('Match Log'!$D$4:$D$1510=$U$24)*('Match Log'!$A$4:$A$1510&lt;=$J341)),'Match Log'!$N$4:$N$1510),NA()))</f>
        <v>968.26132335618615</v>
      </c>
      <c r="V341">
        <f>IF($J341&gt;MAX('Match Log'!$A$4:$A$1510),NA(),IFERROR(LOOKUP(2,1/(('Match Log'!$D$4:$D$1510=$V$24)*('Match Log'!$A$4:$A$1510&lt;=$J341)),'Match Log'!$N$4:$N$1510),NA()))</f>
        <v>1087.5488947064855</v>
      </c>
      <c r="W341">
        <f>IF($J341&gt;MAX('Match Log'!$A$4:$A$1510),NA(),IFERROR(LOOKUP(2,1/(('Match Log'!$D$4:$D$1510=$W$24)*('Match Log'!$A$4:$A$1510&lt;=$J341)),'Match Log'!$N$4:$N$1510),NA()))</f>
        <v>1010.5072402821568</v>
      </c>
      <c r="X341" t="e">
        <f>IF($J341&gt;MAX('Match Log'!$A$4:$A$1510),NA(),IFERROR(LOOKUP(2,1/(('Match Log'!$D$4:$D$1510=$X$24)*('Match Log'!$A$4:$A$1510&lt;=$J341)),'Match Log'!$N$4:$N$1510),NA()))</f>
        <v>#N/A</v>
      </c>
      <c r="Y341">
        <f t="shared" ca="1" si="31"/>
        <v>0.13718300000000005</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1209.6766156390552</v>
      </c>
      <c r="C2">
        <f>IFERROR(SUMPRODUCT(INDEX('Head-to-Head'!$B$22:$O$35,1,0),$D$2:$Q$2)/SUM(INDEX('Head-to-Head'!$B$22:$O$35,1,0)),"")</f>
        <v>1166.5867926815431</v>
      </c>
      <c r="D2">
        <f>$B$2</f>
        <v>1209.6766156390552</v>
      </c>
      <c r="E2">
        <f>$B$3</f>
        <v>1029.5175965335138</v>
      </c>
      <c r="F2">
        <f>$B$4</f>
        <v>1048.0761030598392</v>
      </c>
      <c r="G2">
        <f>$B$5</f>
        <v>907.03133644117429</v>
      </c>
      <c r="H2">
        <f>$B$6</f>
        <v>1233.497020705217</v>
      </c>
      <c r="I2">
        <f>$B$7</f>
        <v>1221.4104830819899</v>
      </c>
      <c r="J2">
        <f>$B$8</f>
        <v>1215.996181687143</v>
      </c>
      <c r="K2">
        <f>$B$9</f>
        <v>1209.3527190435154</v>
      </c>
      <c r="L2">
        <f>$B$10</f>
        <v>1217.9015417269482</v>
      </c>
      <c r="M2">
        <f>$B$11</f>
        <v>862.22294373677494</v>
      </c>
      <c r="N2">
        <f>$B$12</f>
        <v>968.26132335618615</v>
      </c>
      <c r="O2">
        <f>$B$13</f>
        <v>1087.5488947064855</v>
      </c>
      <c r="P2">
        <f>$B$14</f>
        <v>1010.5072402821568</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1096.9405487541967</v>
      </c>
    </row>
    <row r="4" spans="1:17" ht="15" customHeight="1" x14ac:dyDescent="0.2">
      <c r="A4" t="s">
        <v>17</v>
      </c>
      <c r="B4">
        <f>IF(COUNTIF('Match Log'!$D$4:$D$1510,$A4)=0,'Guide &amp; Settings'!$C$41,IFERROR(LOOKUP(2,1/('Match Log'!$D$4:$D$1510=$A4),'Match Log'!$N$4:$N$1510),'Guide &amp; Settings'!$C$41))</f>
        <v>1048.0761030598392</v>
      </c>
      <c r="C4">
        <f>IFERROR(SUMPRODUCT(INDEX('Head-to-Head'!$B$22:$O$35,3,0),$D$2:$Q$2)/SUM(INDEX('Head-to-Head'!$B$22:$O$35,3,0)),"")</f>
        <v>1163.6237155272313</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1169.1431977115628</v>
      </c>
    </row>
    <row r="6" spans="1:17" ht="15" customHeight="1" x14ac:dyDescent="0.2">
      <c r="A6" t="s">
        <v>19</v>
      </c>
      <c r="B6">
        <f>IF(COUNTIF('Match Log'!$D$4:$D$1510,$A6)=0,'Guide &amp; Settings'!$C$41,IFERROR(LOOKUP(2,1/('Match Log'!$D$4:$D$1510=$A6),'Match Log'!$N$4:$N$1510),'Guide &amp; Settings'!$C$41))</f>
        <v>1233.497020705217</v>
      </c>
      <c r="C6">
        <f>IFERROR(SUMPRODUCT(INDEX('Head-to-Head'!$B$22:$O$35,5,0),$D$2:$Q$2)/SUM(INDEX('Head-to-Head'!$B$22:$O$35,5,0)),"")</f>
        <v>1153.1121159880802</v>
      </c>
    </row>
    <row r="7" spans="1:17" ht="15" customHeight="1" x14ac:dyDescent="0.2">
      <c r="A7" t="s">
        <v>20</v>
      </c>
      <c r="B7">
        <f>IF(COUNTIF('Match Log'!$D$4:$D$1510,$A7)=0,'Guide &amp; Settings'!$C$41,IFERROR(LOOKUP(2,1/('Match Log'!$D$4:$D$1510=$A7),'Match Log'!$N$4:$N$1510),'Guide &amp; Settings'!$C$41))</f>
        <v>1221.4104830819899</v>
      </c>
      <c r="C7">
        <f>IFERROR(SUMPRODUCT(INDEX('Head-to-Head'!$B$22:$O$35,6,0),$D$2:$Q$2)/SUM(INDEX('Head-to-Head'!$B$22:$O$35,6,0)),"")</f>
        <v>1150.6857181465882</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1087.8631572235931</v>
      </c>
    </row>
    <row r="9" spans="1:17" ht="15" customHeight="1" x14ac:dyDescent="0.2">
      <c r="A9" t="s">
        <v>22</v>
      </c>
      <c r="B9">
        <f>IF(COUNTIF('Match Log'!$D$4:$D$1510,$A9)=0,'Guide &amp; Settings'!$C$41,IFERROR(LOOKUP(2,1/('Match Log'!$D$4:$D$1510=$A9),'Match Log'!$N$4:$N$1510),'Guide &amp; Settings'!$C$41))</f>
        <v>1209.3527190435154</v>
      </c>
      <c r="C9">
        <f>IFERROR(SUMPRODUCT(INDEX('Head-to-Head'!$B$22:$O$35,8,0),$D$2:$Q$2)/SUM(INDEX('Head-to-Head'!$B$22:$O$35,8,0)),"")</f>
        <v>1168.7914974146538</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1146.509749769906</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1126.8108314936298</v>
      </c>
    </row>
    <row r="12" spans="1:17" ht="15" customHeight="1" x14ac:dyDescent="0.2">
      <c r="A12" t="s">
        <v>25</v>
      </c>
      <c r="B12">
        <f>IF(COUNTIF('Match Log'!$D$4:$D$1510,$A12)=0,'Guide &amp; Settings'!$C$41,IFERROR(LOOKUP(2,1/('Match Log'!$D$4:$D$1510=$A12),'Match Log'!$N$4:$N$1510),'Guide &amp; Settings'!$C$41))</f>
        <v>968.26132335618615</v>
      </c>
      <c r="C12">
        <f>IFERROR(SUMPRODUCT(INDEX('Head-to-Head'!$B$22:$O$35,11,0),$D$2:$Q$2)/SUM(INDEX('Head-to-Head'!$B$22:$O$35,11,0)),"")</f>
        <v>1183.7100705773742</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1075.7192042081222</v>
      </c>
    </row>
    <row r="14" spans="1:17" ht="15" customHeight="1" x14ac:dyDescent="0.2">
      <c r="A14" t="s">
        <v>27</v>
      </c>
      <c r="B14">
        <f>IF(COUNTIF('Match Log'!$D$4:$D$1510,$A14)=0,'Guide &amp; Settings'!$C$41,IFERROR(LOOKUP(2,1/('Match Log'!$D$4:$D$1510=$A14),'Match Log'!$N$4:$N$1510),'Guide &amp; Settings'!$C$41))</f>
        <v>1010.5072402821568</v>
      </c>
      <c r="C14">
        <f>IFERROR(SUMPRODUCT(INDEX('Head-to-Head'!$B$22:$O$35,13,0),$D$2:$Q$2)/SUM(INDEX('Head-to-Head'!$B$22:$O$35,13,0)),"")</f>
        <v>1129.2672773558011</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2026-10-03T11:43:51Z</dcterms:modified>
  <dc:language>en-US</dc:language>
</cp:coreProperties>
</file>