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6C979202-5AA6-6347-9D8B-CDBDF025FC09}"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E549" i="13"/>
  <c r="H549" i="13" s="1" a="1"/>
  <c r="H549" i="13" s="1"/>
  <c r="E550" i="13"/>
  <c r="E551" i="13"/>
  <c r="H551" i="13" s="1" a="1"/>
  <c r="H551" i="13" s="1"/>
  <c r="E552" i="13"/>
  <c r="H552" i="13" s="1" a="1"/>
  <c r="H552" i="13" s="1"/>
  <c r="E553" i="13"/>
  <c r="E554" i="13"/>
  <c r="E555" i="13"/>
  <c r="H555" i="13" s="1" a="1"/>
  <c r="H555" i="13" s="1"/>
  <c r="E556" i="13"/>
  <c r="H556" i="13" s="1" a="1"/>
  <c r="H556" i="13" s="1"/>
  <c r="E557" i="13"/>
  <c r="H557" i="13" s="1" a="1"/>
  <c r="H557" i="13" s="1"/>
  <c r="E558" i="13"/>
  <c r="H558" i="13" s="1" a="1"/>
  <c r="H558" i="13" s="1"/>
  <c r="E559" i="13"/>
  <c r="H559" i="13" s="1" a="1"/>
  <c r="H559" i="13" s="1"/>
  <c r="E560" i="13"/>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E571" i="13"/>
  <c r="H571" i="13" s="1" a="1"/>
  <c r="H571" i="13" s="1"/>
  <c r="E572" i="13"/>
  <c r="E573" i="13"/>
  <c r="H573" i="13" s="1" a="1"/>
  <c r="H573" i="13" s="1"/>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E631" i="13"/>
  <c r="H631" i="13" s="1" a="1"/>
  <c r="H631" i="13" s="1"/>
  <c r="E632" i="13"/>
  <c r="E633" i="13"/>
  <c r="E634" i="13"/>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E647" i="13"/>
  <c r="H647" i="13" s="1" a="1"/>
  <c r="H647" i="13" s="1"/>
  <c r="E648" i="13"/>
  <c r="H648" i="13" s="1" a="1"/>
  <c r="H648" i="13" s="1"/>
  <c r="E649" i="13"/>
  <c r="E650" i="13"/>
  <c r="E651" i="13"/>
  <c r="H651" i="13" s="1" a="1"/>
  <c r="H651" i="13" s="1"/>
  <c r="E652" i="13"/>
  <c r="E653" i="13"/>
  <c r="H653" i="13" s="1" a="1"/>
  <c r="H653" i="13" s="1"/>
  <c r="E654" i="13"/>
  <c r="E655" i="13"/>
  <c r="H655" i="13" s="1" a="1"/>
  <c r="H655" i="13" s="1"/>
  <c r="E656" i="13"/>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E667" i="13"/>
  <c r="E668" i="13"/>
  <c r="E669" i="13"/>
  <c r="H669" i="13" s="1" a="1"/>
  <c r="H669" i="13" s="1"/>
  <c r="E670" i="13"/>
  <c r="E671" i="13"/>
  <c r="H671" i="13" s="1" a="1"/>
  <c r="H671" i="13" s="1"/>
  <c r="E672" i="13"/>
  <c r="E673" i="13"/>
  <c r="H673" i="13" s="1" a="1"/>
  <c r="H673" i="13" s="1"/>
  <c r="E674" i="13"/>
  <c r="H674" i="13" s="1" a="1"/>
  <c r="H674" i="13" s="1"/>
  <c r="E675" i="13"/>
  <c r="E676" i="13"/>
  <c r="H676" i="13" s="1" a="1"/>
  <c r="H676" i="13" s="1"/>
  <c r="E677" i="13"/>
  <c r="E678" i="13"/>
  <c r="E679" i="13"/>
  <c r="H679" i="13" s="1" a="1"/>
  <c r="H679" i="13" s="1"/>
  <c r="E680" i="13"/>
  <c r="H680" i="13" s="1" a="1"/>
  <c r="H680" i="13" s="1"/>
  <c r="E681" i="13"/>
  <c r="E682" i="13"/>
  <c r="E683" i="13"/>
  <c r="H683" i="13" s="1" a="1"/>
  <c r="H683" i="13" s="1"/>
  <c r="E684" i="13"/>
  <c r="E685" i="13"/>
  <c r="E686" i="13"/>
  <c r="H686" i="13" s="1" a="1"/>
  <c r="H686" i="13" s="1"/>
  <c r="E687" i="13"/>
  <c r="H687" i="13" s="1" a="1"/>
  <c r="H687" i="13" s="1"/>
  <c r="E688" i="13"/>
  <c r="E689" i="13"/>
  <c r="H689" i="13" s="1" a="1"/>
  <c r="H689" i="13" s="1"/>
  <c r="E690" i="13"/>
  <c r="H690" i="13" s="1" a="1"/>
  <c r="H690" i="13" s="1"/>
  <c r="E691" i="13"/>
  <c r="E692" i="13"/>
  <c r="H692" i="13" s="1" a="1"/>
  <c r="H692" i="13" s="1"/>
  <c r="E693" i="13"/>
  <c r="H693" i="13" s="1" a="1"/>
  <c r="H693" i="13" s="1"/>
  <c r="E694" i="13"/>
  <c r="E695" i="13"/>
  <c r="H695" i="13" s="1" a="1"/>
  <c r="H695" i="13" s="1"/>
  <c r="E696" i="13"/>
  <c r="H696" i="13" s="1" a="1"/>
  <c r="H696" i="13" s="1"/>
  <c r="E697" i="13"/>
  <c r="E698" i="13"/>
  <c r="E699" i="13"/>
  <c r="H699" i="13" s="1" a="1"/>
  <c r="H699" i="13" s="1"/>
  <c r="E700" i="13"/>
  <c r="E701" i="13"/>
  <c r="H701" i="13" s="1" a="1"/>
  <c r="H701" i="13" s="1"/>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O774" i="10" s="1"/>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T775" i="10"/>
  <c r="R775" i="10"/>
  <c r="G775" i="10"/>
  <c r="F775" i="10"/>
  <c r="L775" i="10" s="1"/>
  <c r="T774" i="10"/>
  <c r="R774" i="10"/>
  <c r="S774" i="10" s="1"/>
  <c r="I774" i="10" s="1"/>
  <c r="K774" i="10" s="1"/>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775" i="10" l="1"/>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358" i="13"/>
  <c r="Y437" i="13"/>
  <c r="Y421" i="13"/>
  <c r="Y405" i="13"/>
  <c r="Y389" i="13"/>
  <c r="Y373" i="13"/>
  <c r="Y444" i="13"/>
  <c r="Y428" i="13"/>
  <c r="Y412" i="13"/>
  <c r="Y396" i="13"/>
  <c r="Y380" i="13"/>
  <c r="Y364"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60" i="13"/>
  <c r="Y369" i="13"/>
  <c r="Y357" i="13"/>
  <c r="Y376" i="13"/>
  <c r="Y353"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54" i="13"/>
  <c r="Y395" i="13"/>
  <c r="Y411" i="13"/>
  <c r="Y427" i="13"/>
  <c r="Y439" i="13"/>
  <c r="Y363" i="13"/>
  <c r="Y384" i="13"/>
  <c r="Y377" i="13"/>
  <c r="Y400" i="13"/>
  <c r="Y416" i="13"/>
  <c r="Y432" i="13"/>
  <c r="Y443" i="13"/>
  <c r="Y381" i="13"/>
  <c r="Y388" i="13"/>
  <c r="Y404" i="13"/>
  <c r="Y420" i="13"/>
  <c r="Y370" i="13"/>
  <c r="Y436" i="13"/>
  <c r="Y361" i="13"/>
  <c r="Y393" i="13"/>
  <c r="Y397" i="13"/>
  <c r="Y409" i="13"/>
  <c r="Y413" i="13"/>
  <c r="Y425" i="13"/>
  <c r="Y429" i="13"/>
  <c r="Y382" i="13"/>
  <c r="Y375" i="13"/>
  <c r="Y441" i="13"/>
  <c r="Y356" i="13"/>
  <c r="Y359" i="13"/>
  <c r="Y365" i="13"/>
  <c r="Y368" i="13"/>
  <c r="Y390" i="13"/>
  <c r="Y398" i="13"/>
  <c r="Y406" i="13"/>
  <c r="Y414" i="13"/>
  <c r="Y422" i="13"/>
  <c r="Y430" i="13"/>
  <c r="Y438" i="13"/>
  <c r="K775" i="10" l="1"/>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774" i="10" l="1"/>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775" i="10" l="1"/>
  <c r="AB775" i="10" s="1"/>
  <c r="L114" i="7" s="1"/>
  <c r="Z774" i="10"/>
  <c r="AA774" i="10" s="1"/>
  <c r="AB774" i="10" s="1"/>
  <c r="G114" i="7" s="1"/>
  <c r="P114" i="7" s="1"/>
  <c r="B18" i="3"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D18" i="3" l="1"/>
  <c r="C18" i="3"/>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AA773" i="10" s="1"/>
  <c r="AB773" i="10" s="1"/>
  <c r="B121" i="7"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P121" i="7" l="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I110" i="7" s="1"/>
  <c r="AA757" i="10"/>
  <c r="AB757" i="10" s="1"/>
  <c r="F110" i="7"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Y761" i="10" l="1"/>
  <c r="Z761" i="10" s="1"/>
  <c r="Y762" i="10"/>
  <c r="Z762" i="10" s="1"/>
  <c r="P110" i="7"/>
  <c r="B14" i="3" s="1"/>
  <c r="H9" i="5"/>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AA762" i="10" l="1"/>
  <c r="AB762" i="10" s="1"/>
  <c r="AA761" i="10"/>
  <c r="AB761" i="10" s="1"/>
  <c r="D14" i="3"/>
  <c r="C14" i="3"/>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64" i="10" l="1"/>
  <c r="U763" i="10"/>
  <c r="U569" i="10"/>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Y763" i="10" l="1"/>
  <c r="Z763" i="10" s="1"/>
  <c r="AA763" i="10" s="1"/>
  <c r="AB763" i="10" s="1"/>
  <c r="Y764" i="10"/>
  <c r="Z764" i="10" s="1"/>
  <c r="AA764" i="10" s="1"/>
  <c r="AB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U766" i="10" l="1"/>
  <c r="U765" i="10"/>
  <c r="Y767" i="10" s="1"/>
  <c r="Z767" i="10" s="1"/>
  <c r="AA767" i="10" s="1"/>
  <c r="AB767" i="10" s="1"/>
  <c r="G107" i="7"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765" i="10" l="1"/>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766" i="10" l="1"/>
  <c r="AB766" i="10" s="1"/>
  <c r="L107" i="7" s="1"/>
  <c r="AA765" i="10"/>
  <c r="AB765" i="10" s="1"/>
  <c r="H107" i="7"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107" i="7" l="1"/>
  <c r="B11" i="3" s="1"/>
  <c r="D11" i="3"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C11" i="3" l="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I117" i="7" s="1"/>
  <c r="V76" i="10"/>
  <c r="X76" i="10" s="1"/>
  <c r="Q76" i="10"/>
  <c r="V78" i="10"/>
  <c r="X78" i="10" s="1"/>
  <c r="Q78" i="10"/>
  <c r="Z752" i="10" l="1"/>
  <c r="Y751" i="10"/>
  <c r="Z751" i="10" s="1"/>
  <c r="AA752" i="10"/>
  <c r="AB752" i="10" s="1"/>
  <c r="I124" i="7" s="1"/>
  <c r="AA751" i="10"/>
  <c r="AB751" i="10" s="1"/>
  <c r="G124" i="7" s="1"/>
  <c r="AA595" i="10"/>
  <c r="AB595" i="10" s="1"/>
  <c r="G117" i="7" s="1"/>
  <c r="P117" i="7" s="1"/>
  <c r="B21" i="3" s="1"/>
  <c r="C21" i="3" s="1"/>
  <c r="J78" i="10"/>
  <c r="M78" i="10" s="1"/>
  <c r="N78" i="10" s="1"/>
  <c r="J75" i="10"/>
  <c r="M75" i="10" s="1"/>
  <c r="N75" i="10" s="1"/>
  <c r="J76" i="10"/>
  <c r="M76" i="10" s="1"/>
  <c r="N76" i="10" s="1"/>
  <c r="P124" i="7" l="1"/>
  <c r="B28" i="3" s="1"/>
  <c r="D28" i="3" s="1"/>
  <c r="D21" i="3"/>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C28" i="3" l="1"/>
  <c r="V125" i="10"/>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52" i="13" s="1"/>
  <c r="L350" i="13" l="1"/>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52" i="13" s="1"/>
  <c r="J241" i="10"/>
  <c r="M241" i="10" s="1"/>
  <c r="N241" i="10" s="1"/>
  <c r="J240" i="10"/>
  <c r="M240" i="10" s="1"/>
  <c r="N240" i="10" s="1"/>
  <c r="W279" i="10"/>
  <c r="X279" i="10" s="1"/>
  <c r="W278" i="10"/>
  <c r="T350" i="13" l="1"/>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52" i="13" s="1"/>
  <c r="V247" i="13"/>
  <c r="V248" i="13"/>
  <c r="R232" i="13"/>
  <c r="H488" i="10"/>
  <c r="V232" i="13"/>
  <c r="V234" i="13"/>
  <c r="V236" i="13"/>
  <c r="V233" i="13"/>
  <c r="V235" i="13"/>
  <c r="V350" i="13" l="1"/>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51" i="13" l="1"/>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51" i="13" l="1"/>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AL7" i="13"/>
  <c r="J7" i="13" s="1"/>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P334" i="13"/>
  <c r="M351" i="13" l="1"/>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51" i="13" l="1"/>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O352" i="13" s="1"/>
  <c r="R344" i="13"/>
  <c r="N751" i="10"/>
  <c r="P341" i="13"/>
  <c r="O350" i="13" l="1"/>
  <c r="O351" i="13"/>
  <c r="P768" i="10"/>
  <c r="Q768" i="10" s="1"/>
  <c r="P769" i="10"/>
  <c r="Q769" i="10" s="1"/>
  <c r="V768" i="10"/>
  <c r="W769" i="10" s="1"/>
  <c r="X769" i="10" s="1"/>
  <c r="O348" i="13"/>
  <c r="O349" i="13"/>
  <c r="R348" i="13"/>
  <c r="O346" i="13"/>
  <c r="O347" i="13"/>
  <c r="R346" i="13"/>
  <c r="R347" i="13"/>
  <c r="AL11" i="13"/>
  <c r="J11" i="13" s="1"/>
  <c r="O345" i="13"/>
  <c r="AL14" i="13"/>
  <c r="J14" i="13" s="1"/>
  <c r="R345" i="13"/>
  <c r="O344" i="13"/>
  <c r="B6" i="14"/>
  <c r="H753" i="10"/>
  <c r="J769" i="10" l="1"/>
  <c r="M769" i="10" s="1"/>
  <c r="N769" i="10" s="1"/>
  <c r="J768" i="10"/>
  <c r="M768" i="10" s="1"/>
  <c r="N768" i="10" s="1"/>
  <c r="K349" i="13"/>
  <c r="W768" i="10"/>
  <c r="X768" i="10" s="1"/>
  <c r="B11" i="13"/>
  <c r="S11" i="13" s="1"/>
  <c r="H2" i="14"/>
  <c r="V753" i="10"/>
  <c r="X753" i="10" s="1"/>
  <c r="J753" i="10" s="1"/>
  <c r="M753" i="10" s="1"/>
  <c r="N753" i="10" s="1"/>
  <c r="Q753" i="10"/>
  <c r="H771" i="10" l="1"/>
  <c r="H770" i="10"/>
  <c r="R349" i="13"/>
  <c r="J754" i="10"/>
  <c r="M754" i="10" s="1"/>
  <c r="N754" i="10" s="1"/>
  <c r="H756" i="10" s="1"/>
  <c r="V756" i="10" s="1"/>
  <c r="AI11" i="13"/>
  <c r="W11" i="13"/>
  <c r="B24" i="5" s="1"/>
  <c r="F90" i="7"/>
  <c r="S90" i="7"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AL17" i="13"/>
  <c r="J17" i="13" s="1"/>
  <c r="H773" i="10" l="1"/>
  <c r="H772" i="10"/>
  <c r="R350" i="13"/>
  <c r="K350" i="13"/>
  <c r="H760" i="10"/>
  <c r="U343" i="13"/>
  <c r="N755" i="10"/>
  <c r="H767" i="10" s="1"/>
  <c r="P344" i="13"/>
  <c r="AL12" i="13"/>
  <c r="J12" i="13" s="1"/>
  <c r="P343" i="13"/>
  <c r="P773" i="10" l="1"/>
  <c r="Q773" i="10" s="1"/>
  <c r="P772" i="10"/>
  <c r="Q772" i="10" s="1"/>
  <c r="V773" i="10"/>
  <c r="V772" i="10"/>
  <c r="V767" i="10"/>
  <c r="P347" i="13"/>
  <c r="P345" i="13"/>
  <c r="P346" i="13"/>
  <c r="P760" i="10"/>
  <c r="Q760" i="10" s="1"/>
  <c r="P759" i="10"/>
  <c r="Q759" i="10" s="1"/>
  <c r="V760" i="10"/>
  <c r="K17" i="13"/>
  <c r="K19" i="13"/>
  <c r="K7" i="13"/>
  <c r="K16" i="13"/>
  <c r="K11" i="13"/>
  <c r="K18" i="13"/>
  <c r="K15" i="13"/>
  <c r="K12" i="13"/>
  <c r="K8" i="13"/>
  <c r="K13" i="13"/>
  <c r="K20" i="13"/>
  <c r="K9" i="13"/>
  <c r="K10" i="13"/>
  <c r="K14" i="13"/>
  <c r="W773" i="10" l="1"/>
  <c r="X773" i="10" s="1"/>
  <c r="J773" i="10" s="1"/>
  <c r="M773" i="10" s="1"/>
  <c r="N773" i="10" s="1"/>
  <c r="K352" i="13" s="1"/>
  <c r="W772" i="10"/>
  <c r="X772" i="10" s="1"/>
  <c r="J772" i="10" s="1"/>
  <c r="M772" i="10" s="1"/>
  <c r="N772" i="10" s="1"/>
  <c r="R352" i="13" s="1"/>
  <c r="W759" i="10"/>
  <c r="X759" i="10" s="1"/>
  <c r="J759" i="10" s="1"/>
  <c r="M759" i="10" s="1"/>
  <c r="N759" i="10" s="1"/>
  <c r="W760" i="10"/>
  <c r="X760" i="10" s="1"/>
  <c r="J760" i="10" s="1"/>
  <c r="M760" i="10" s="1"/>
  <c r="R351" i="13" l="1"/>
  <c r="B9" i="14"/>
  <c r="K2" i="14" s="1"/>
  <c r="K351" i="13"/>
  <c r="B2" i="14"/>
  <c r="B7" i="13" s="1"/>
  <c r="S7" i="13" s="1"/>
  <c r="H761" i="10"/>
  <c r="N760" i="10"/>
  <c r="Q345" i="13"/>
  <c r="U345" i="13"/>
  <c r="B14" i="13" l="1"/>
  <c r="S14" i="13" s="1"/>
  <c r="AI14" i="13" s="1"/>
  <c r="D2" i="14"/>
  <c r="F94" i="7"/>
  <c r="S94" i="7" s="1"/>
  <c r="W7" i="13"/>
  <c r="AI7" i="13"/>
  <c r="W14" i="13"/>
  <c r="F93" i="7"/>
  <c r="S93" i="7" s="1"/>
  <c r="H762" i="10"/>
  <c r="P761" i="10"/>
  <c r="Q761" i="10" s="1"/>
  <c r="P762" i="10"/>
  <c r="V761" i="10"/>
  <c r="W762" i="10" s="1"/>
  <c r="Q762" i="10" l="1"/>
  <c r="V762" i="10"/>
  <c r="X762" i="10" s="1"/>
  <c r="W761" i="10"/>
  <c r="X761" i="10" s="1"/>
  <c r="J762" i="10" l="1"/>
  <c r="M762" i="10" s="1"/>
  <c r="N762" i="10" s="1"/>
  <c r="J761" i="10"/>
  <c r="M761" i="10" s="1"/>
  <c r="N761" i="10" s="1"/>
  <c r="H764" i="10" l="1"/>
  <c r="H763" i="10"/>
  <c r="Q346" i="13"/>
  <c r="U346" i="13"/>
  <c r="P764" i="10" l="1"/>
  <c r="Q764" i="10" s="1"/>
  <c r="P763" i="10"/>
  <c r="Q763" i="10" s="1"/>
  <c r="V764" i="10"/>
  <c r="V763" i="10"/>
  <c r="W763" i="10" l="1"/>
  <c r="X763" i="10" s="1"/>
  <c r="J763" i="10" s="1"/>
  <c r="M763" i="10" s="1"/>
  <c r="W764" i="10"/>
  <c r="X764" i="10" s="1"/>
  <c r="J764" i="10" s="1"/>
  <c r="M764" i="10" s="1"/>
  <c r="N764" i="10" s="1"/>
  <c r="H766" i="10" l="1"/>
  <c r="U347" i="13"/>
  <c r="N763" i="10"/>
  <c r="V766" i="10" l="1"/>
  <c r="H765" i="10"/>
  <c r="P767" i="10" s="1"/>
  <c r="Q767" i="10" s="1"/>
  <c r="Q347" i="13"/>
  <c r="P765" i="10" l="1"/>
  <c r="Q765" i="10" s="1"/>
  <c r="P766" i="10"/>
  <c r="Q766" i="10" s="1"/>
  <c r="V765" i="10"/>
  <c r="W766" i="10" l="1"/>
  <c r="X766" i="10" s="1"/>
  <c r="J766" i="10" s="1"/>
  <c r="M766" i="10" s="1"/>
  <c r="W767" i="10"/>
  <c r="X767" i="10" s="1"/>
  <c r="J767" i="10" s="1"/>
  <c r="M767" i="10" s="1"/>
  <c r="N767" i="10" s="1"/>
  <c r="H774" i="10" s="1"/>
  <c r="J765" i="10"/>
  <c r="M765" i="10" s="1"/>
  <c r="N765" i="10" s="1"/>
  <c r="W765" i="10"/>
  <c r="X765" i="10" s="1"/>
  <c r="Q348" i="13"/>
  <c r="B8" i="14"/>
  <c r="V774" i="10" l="1"/>
  <c r="Q351" i="13"/>
  <c r="Q352" i="13"/>
  <c r="P351" i="13"/>
  <c r="Q349" i="13"/>
  <c r="Q350" i="13"/>
  <c r="P349" i="13"/>
  <c r="P350" i="13"/>
  <c r="N766" i="10"/>
  <c r="H775" i="10" s="1"/>
  <c r="P348" i="13"/>
  <c r="U348" i="13"/>
  <c r="B13" i="13"/>
  <c r="J2" i="14"/>
  <c r="P775" i="10" l="1"/>
  <c r="Q775" i="10" s="1"/>
  <c r="P774" i="10"/>
  <c r="Q774" i="10" s="1"/>
  <c r="V775" i="10"/>
  <c r="U351" i="13"/>
  <c r="U349" i="13"/>
  <c r="U350" i="13"/>
  <c r="S13" i="13"/>
  <c r="W774" i="10" l="1"/>
  <c r="X774" i="10" s="1"/>
  <c r="J774" i="10" s="1"/>
  <c r="M774" i="10" s="1"/>
  <c r="N774" i="10" s="1"/>
  <c r="W775" i="10"/>
  <c r="X775" i="10" s="1"/>
  <c r="J775" i="10" s="1"/>
  <c r="M775" i="10" s="1"/>
  <c r="F91" i="7"/>
  <c r="S91" i="7" s="1"/>
  <c r="AI13" i="13"/>
  <c r="W13" i="13"/>
  <c r="B19" i="8" l="1"/>
  <c r="H19" i="8"/>
  <c r="F19" i="8" s="1"/>
  <c r="H18" i="8"/>
  <c r="D18" i="8" s="1"/>
  <c r="B18" i="8"/>
  <c r="N775" i="10"/>
  <c r="B7" i="14"/>
  <c r="P352" i="13"/>
  <c r="B12" i="14"/>
  <c r="B17" i="8"/>
  <c r="U352" i="13"/>
  <c r="H17" i="8"/>
  <c r="E19" i="8" l="1"/>
  <c r="D19" i="8"/>
  <c r="C19" i="8"/>
  <c r="F18" i="8"/>
  <c r="C18" i="8"/>
  <c r="E18" i="8"/>
  <c r="B12" i="13"/>
  <c r="S12" i="13" s="1"/>
  <c r="I2" i="14"/>
  <c r="C17" i="8"/>
  <c r="F17" i="8" s="1"/>
  <c r="E17" i="8"/>
  <c r="D17" i="8"/>
  <c r="B17" i="13"/>
  <c r="N2" i="14"/>
  <c r="AI12" i="13" l="1"/>
  <c r="W12" i="13"/>
  <c r="F95" i="7"/>
  <c r="S95" i="7" s="1"/>
  <c r="C9" i="14"/>
  <c r="C14" i="13" s="1"/>
  <c r="AA14" i="13" s="1"/>
  <c r="C6" i="14"/>
  <c r="C11" i="13" s="1"/>
  <c r="C11" i="14"/>
  <c r="C16" i="13" s="1"/>
  <c r="AA16" i="13" s="1"/>
  <c r="C5" i="14"/>
  <c r="C10" i="13" s="1"/>
  <c r="AA10" i="13" s="1"/>
  <c r="C3" i="14"/>
  <c r="C8" i="13" s="1"/>
  <c r="AA8" i="13" s="1"/>
  <c r="C4" i="14"/>
  <c r="C9" i="13" s="1"/>
  <c r="AA9" i="13" s="1"/>
  <c r="C2" i="14"/>
  <c r="C7" i="13" s="1"/>
  <c r="AA7" i="13" s="1"/>
  <c r="C13" i="14"/>
  <c r="C18" i="13" s="1"/>
  <c r="AA18" i="13" s="1"/>
  <c r="C14" i="14"/>
  <c r="C19" i="13" s="1"/>
  <c r="AA19" i="13" s="1"/>
  <c r="C7" i="14"/>
  <c r="C12" i="13" s="1"/>
  <c r="AA12" i="13" s="1"/>
  <c r="C12" i="14"/>
  <c r="C17" i="13" s="1"/>
  <c r="AA17" i="13" s="1"/>
  <c r="C15" i="14"/>
  <c r="C20" i="13" s="1"/>
  <c r="AA20" i="13" s="1"/>
  <c r="C10" i="14"/>
  <c r="C15" i="13" s="1"/>
  <c r="AA15" i="13" s="1"/>
  <c r="C8" i="14"/>
  <c r="C13" i="13" s="1"/>
  <c r="AA13" i="13" s="1"/>
  <c r="S17" i="13"/>
  <c r="D19" i="13"/>
  <c r="E14" i="13"/>
  <c r="D7" i="13"/>
  <c r="E12" i="13"/>
  <c r="D10" i="13"/>
  <c r="E18" i="13"/>
  <c r="D11" i="13"/>
  <c r="D9" i="13"/>
  <c r="E15" i="13"/>
  <c r="E13" i="13"/>
  <c r="E9" i="13"/>
  <c r="E7" i="13"/>
  <c r="E10" i="13"/>
  <c r="D8" i="13"/>
  <c r="E8" i="13"/>
  <c r="D13" i="13"/>
  <c r="E19" i="13"/>
  <c r="D14" i="13"/>
  <c r="D17" i="13"/>
  <c r="E17" i="13"/>
  <c r="D16" i="13"/>
  <c r="E11" i="13"/>
  <c r="E16" i="13"/>
  <c r="D12" i="13"/>
  <c r="D18" i="13"/>
  <c r="E20" i="13"/>
  <c r="D15" i="13"/>
  <c r="D20" i="13"/>
  <c r="F92" i="7" l="1"/>
  <c r="S92" i="7" s="1"/>
  <c r="C4" i="7" s="1"/>
  <c r="AI17" i="13"/>
  <c r="W17" i="13"/>
  <c r="AA11" i="13"/>
  <c r="B28" i="5" s="1"/>
  <c r="B12" i="5"/>
  <c r="L8" i="13" l="1"/>
  <c r="L16" i="13"/>
  <c r="B12" i="4"/>
  <c r="B15" i="4"/>
  <c r="L14" i="13"/>
  <c r="L13" i="13"/>
  <c r="L11" i="13"/>
  <c r="B6" i="4"/>
  <c r="B5" i="4"/>
  <c r="B8" i="4"/>
  <c r="B10" i="4"/>
  <c r="B14" i="4"/>
  <c r="B18" i="4"/>
  <c r="L18" i="13"/>
  <c r="L20" i="13"/>
  <c r="B9" i="4"/>
  <c r="B11" i="4"/>
  <c r="B13" i="4"/>
  <c r="L12" i="13"/>
  <c r="L10" i="13"/>
  <c r="B16" i="4"/>
  <c r="L15" i="13"/>
  <c r="L17" i="13"/>
  <c r="L19" i="13"/>
  <c r="B7" i="4"/>
  <c r="L7" i="13"/>
  <c r="B17" i="4"/>
  <c r="L9" i="13"/>
  <c r="A6" i="3"/>
  <c r="A5" i="3"/>
  <c r="B28" i="8" s="1"/>
  <c r="K10" i="4" l="1"/>
  <c r="Y14" i="13" s="1"/>
  <c r="P10" i="4"/>
  <c r="T10" i="4"/>
  <c r="X10" i="4"/>
  <c r="S10" i="4"/>
  <c r="C10" i="4"/>
  <c r="U10" i="4"/>
  <c r="E10" i="4"/>
  <c r="R10" i="4"/>
  <c r="D10" i="4"/>
  <c r="AD14" i="13" s="1"/>
  <c r="O10" i="4"/>
  <c r="I10" i="4"/>
  <c r="H10" i="4"/>
  <c r="V10" i="4"/>
  <c r="J10" i="4"/>
  <c r="Q10" i="4"/>
  <c r="M10" i="4"/>
  <c r="K5" i="4"/>
  <c r="Y11" i="13" s="1"/>
  <c r="B26" i="5" s="1"/>
  <c r="S5" i="4"/>
  <c r="P5" i="4"/>
  <c r="J5" i="4"/>
  <c r="O5" i="4"/>
  <c r="M5" i="4"/>
  <c r="D5" i="4"/>
  <c r="B10" i="5" s="1"/>
  <c r="U5" i="4"/>
  <c r="Q5" i="4"/>
  <c r="B5" i="5"/>
  <c r="V5" i="4"/>
  <c r="T5" i="4"/>
  <c r="X5" i="4"/>
  <c r="B17" i="9"/>
  <c r="I5" i="4"/>
  <c r="C5" i="4"/>
  <c r="B6" i="5" s="1"/>
  <c r="R5" i="4"/>
  <c r="E5" i="4"/>
  <c r="H5" i="4"/>
  <c r="S9" i="4"/>
  <c r="O9" i="4"/>
  <c r="J9" i="4"/>
  <c r="K9" i="4"/>
  <c r="Y13" i="13" s="1"/>
  <c r="E9" i="4"/>
  <c r="I9" i="4"/>
  <c r="C9" i="4"/>
  <c r="M9" i="4"/>
  <c r="V9" i="4"/>
  <c r="Q9" i="4"/>
  <c r="H9" i="4"/>
  <c r="T9" i="4"/>
  <c r="U9" i="4"/>
  <c r="X9" i="4"/>
  <c r="D9" i="4"/>
  <c r="AD13" i="13" s="1"/>
  <c r="P9" i="4"/>
  <c r="R9" i="4"/>
  <c r="S6" i="4"/>
  <c r="X6" i="4"/>
  <c r="O6" i="4"/>
  <c r="C6" i="4"/>
  <c r="C18" i="9" s="1"/>
  <c r="I6" i="4"/>
  <c r="J6" i="4"/>
  <c r="M6" i="4"/>
  <c r="U6" i="4"/>
  <c r="P6" i="4"/>
  <c r="K6" i="4"/>
  <c r="Y7" i="13" s="1"/>
  <c r="V6" i="4"/>
  <c r="R6" i="4"/>
  <c r="H6" i="4"/>
  <c r="B18" i="9"/>
  <c r="Q6" i="4"/>
  <c r="D6" i="4"/>
  <c r="AD7" i="13" s="1"/>
  <c r="T6" i="4"/>
  <c r="E6" i="4"/>
  <c r="I17" i="4"/>
  <c r="D17" i="4"/>
  <c r="O17" i="4"/>
  <c r="X17" i="4"/>
  <c r="C17" i="4"/>
  <c r="E17" i="4"/>
  <c r="S17" i="4"/>
  <c r="M17" i="4"/>
  <c r="Q17" i="4"/>
  <c r="J17" i="4"/>
  <c r="P17" i="4"/>
  <c r="R17" i="4"/>
  <c r="T17" i="4"/>
  <c r="H17" i="4"/>
  <c r="K17" i="4"/>
  <c r="AE10" i="13" s="1"/>
  <c r="U17" i="4"/>
  <c r="V17" i="4"/>
  <c r="T14" i="4"/>
  <c r="E14" i="4"/>
  <c r="V14" i="4"/>
  <c r="P14" i="4"/>
  <c r="H14" i="4"/>
  <c r="K14" i="4"/>
  <c r="M14" i="4"/>
  <c r="C14" i="4"/>
  <c r="D14" i="4"/>
  <c r="O14" i="4"/>
  <c r="S14" i="4"/>
  <c r="Q14" i="4"/>
  <c r="X14" i="4"/>
  <c r="U14" i="4"/>
  <c r="J14" i="4"/>
  <c r="R14" i="4"/>
  <c r="I14" i="4"/>
  <c r="I18" i="4"/>
  <c r="X18" i="4"/>
  <c r="M18" i="4"/>
  <c r="K18" i="4"/>
  <c r="Y16" i="13" s="1"/>
  <c r="O18" i="4"/>
  <c r="U18" i="4"/>
  <c r="E18" i="4"/>
  <c r="J18" i="4"/>
  <c r="R18" i="4"/>
  <c r="C18" i="4"/>
  <c r="V18" i="4"/>
  <c r="T18" i="4"/>
  <c r="P18" i="4"/>
  <c r="D18" i="4"/>
  <c r="H18" i="4"/>
  <c r="Q18" i="4"/>
  <c r="S18" i="4"/>
  <c r="J8" i="4"/>
  <c r="S8" i="4"/>
  <c r="X8" i="4"/>
  <c r="Q8" i="4"/>
  <c r="M8" i="4"/>
  <c r="V8" i="4"/>
  <c r="P8" i="4"/>
  <c r="D8" i="4"/>
  <c r="AD15" i="13" s="1"/>
  <c r="T8" i="4"/>
  <c r="O8" i="4"/>
  <c r="R8" i="4"/>
  <c r="I8" i="4"/>
  <c r="C8" i="4"/>
  <c r="K8" i="4"/>
  <c r="Y15" i="13" s="1"/>
  <c r="H8" i="4"/>
  <c r="U8" i="4"/>
  <c r="E8" i="4"/>
  <c r="M16" i="4"/>
  <c r="P16" i="4"/>
  <c r="O16" i="4"/>
  <c r="Q16" i="4"/>
  <c r="R16" i="4"/>
  <c r="E16" i="4"/>
  <c r="K16" i="4"/>
  <c r="AE8" i="13" s="1"/>
  <c r="T16" i="4"/>
  <c r="J16" i="4"/>
  <c r="S16" i="4"/>
  <c r="H16" i="4"/>
  <c r="I16" i="4"/>
  <c r="V16" i="4"/>
  <c r="C16" i="4"/>
  <c r="U16" i="4"/>
  <c r="X16" i="4"/>
  <c r="D16" i="4"/>
  <c r="A8" i="9"/>
  <c r="R15" i="4"/>
  <c r="O15" i="4"/>
  <c r="J15" i="4"/>
  <c r="T15" i="4"/>
  <c r="C15" i="4"/>
  <c r="I15" i="4"/>
  <c r="X15" i="4"/>
  <c r="P15" i="4"/>
  <c r="K15" i="4"/>
  <c r="AE17" i="13" s="1"/>
  <c r="V15" i="4"/>
  <c r="U15" i="4"/>
  <c r="D15" i="4"/>
  <c r="H15" i="4"/>
  <c r="S15" i="4"/>
  <c r="Q15" i="4"/>
  <c r="M15" i="4"/>
  <c r="E15" i="4"/>
  <c r="U12" i="4"/>
  <c r="X12" i="4"/>
  <c r="E12" i="4"/>
  <c r="R12" i="4"/>
  <c r="J12" i="4"/>
  <c r="I12" i="4"/>
  <c r="M12" i="4"/>
  <c r="O12" i="4"/>
  <c r="S12" i="4"/>
  <c r="T12" i="4"/>
  <c r="P12" i="4"/>
  <c r="C12" i="4"/>
  <c r="Q12" i="4"/>
  <c r="H12" i="4"/>
  <c r="V12" i="4"/>
  <c r="D12" i="4"/>
  <c r="K12" i="4"/>
  <c r="Y18" i="13" s="1"/>
  <c r="R7" i="4"/>
  <c r="K7" i="4"/>
  <c r="Y12" i="13" s="1"/>
  <c r="P7" i="4"/>
  <c r="B19" i="9"/>
  <c r="E7" i="4"/>
  <c r="Q7" i="4"/>
  <c r="S7" i="4"/>
  <c r="V7" i="4"/>
  <c r="M7" i="4"/>
  <c r="C7" i="4"/>
  <c r="C19" i="9" s="1"/>
  <c r="J7" i="4"/>
  <c r="H7" i="4"/>
  <c r="D7" i="4"/>
  <c r="I7" i="4"/>
  <c r="T7" i="4"/>
  <c r="X7" i="4"/>
  <c r="U7" i="4"/>
  <c r="O7" i="4"/>
  <c r="J13" i="4"/>
  <c r="I13" i="4"/>
  <c r="K13" i="4"/>
  <c r="V13" i="4"/>
  <c r="M13" i="4"/>
  <c r="E13" i="4"/>
  <c r="Q13" i="4"/>
  <c r="O13" i="4"/>
  <c r="S13" i="4"/>
  <c r="H13" i="4"/>
  <c r="P13" i="4"/>
  <c r="X13" i="4"/>
  <c r="R13" i="4"/>
  <c r="C13" i="4"/>
  <c r="T13" i="4"/>
  <c r="U13" i="4"/>
  <c r="D13" i="4"/>
  <c r="M11" i="4"/>
  <c r="D11" i="4"/>
  <c r="K11" i="4"/>
  <c r="Y9" i="13" s="1"/>
  <c r="Q11" i="4"/>
  <c r="R11" i="4"/>
  <c r="P11" i="4"/>
  <c r="E11" i="4"/>
  <c r="C11" i="4"/>
  <c r="X11" i="4"/>
  <c r="I11" i="4"/>
  <c r="O11" i="4"/>
  <c r="J11" i="4"/>
  <c r="V11" i="4"/>
  <c r="U11" i="4"/>
  <c r="H11" i="4"/>
  <c r="S11" i="4"/>
  <c r="T11" i="4"/>
  <c r="Y19" i="13" l="1"/>
  <c r="Y20" i="13"/>
  <c r="AD19" i="13"/>
  <c r="F12" i="4"/>
  <c r="G12" i="4"/>
  <c r="X18" i="13" s="1"/>
  <c r="AB18" i="13" s="1"/>
  <c r="L12" i="4"/>
  <c r="AE11" i="13"/>
  <c r="AE9" i="13"/>
  <c r="T2" i="4"/>
  <c r="AE14" i="13"/>
  <c r="C17" i="9"/>
  <c r="D18" i="9"/>
  <c r="N13" i="4"/>
  <c r="N16" i="4"/>
  <c r="N8" i="4"/>
  <c r="N15" i="4"/>
  <c r="N7" i="4"/>
  <c r="D19" i="9"/>
  <c r="N12" i="4"/>
  <c r="N18" i="4"/>
  <c r="N14" i="4"/>
  <c r="N6" i="4"/>
  <c r="N11" i="4"/>
  <c r="B33" i="8"/>
  <c r="N9" i="4"/>
  <c r="N10" i="4"/>
  <c r="N5" i="4"/>
  <c r="B15" i="5" s="1"/>
  <c r="N17" i="4"/>
  <c r="F7" i="4"/>
  <c r="G7" i="4"/>
  <c r="X12" i="13" s="1"/>
  <c r="AB12" i="13" s="1"/>
  <c r="L7" i="4"/>
  <c r="AE16" i="13"/>
  <c r="G16" i="4"/>
  <c r="X8" i="13" s="1"/>
  <c r="F16" i="4"/>
  <c r="L16" i="4"/>
  <c r="AE18" i="13"/>
  <c r="Y10" i="13"/>
  <c r="AD18" i="13"/>
  <c r="Y17" i="13"/>
  <c r="AE19" i="13"/>
  <c r="Y8" i="13"/>
  <c r="AE12" i="13"/>
  <c r="B11" i="5"/>
  <c r="F15" i="4"/>
  <c r="G15" i="4"/>
  <c r="L15" i="4"/>
  <c r="AD10" i="13"/>
  <c r="L17" i="4"/>
  <c r="G17" i="4"/>
  <c r="X10" i="13" s="1"/>
  <c r="F17" i="4"/>
  <c r="G11" i="4"/>
  <c r="X9" i="13" s="1"/>
  <c r="AB9" i="13" s="1"/>
  <c r="L11" i="4"/>
  <c r="F11" i="4"/>
  <c r="F18" i="4"/>
  <c r="L18" i="4"/>
  <c r="G18" i="4"/>
  <c r="X16" i="13" s="1"/>
  <c r="AB16" i="13" s="1"/>
  <c r="AE7" i="13"/>
  <c r="L10" i="4"/>
  <c r="F10" i="4"/>
  <c r="G10" i="4"/>
  <c r="X14" i="13" s="1"/>
  <c r="AB14" i="13" s="1"/>
  <c r="AF14" i="13" s="1"/>
  <c r="W10" i="4" s="1"/>
  <c r="AE15" i="13"/>
  <c r="A5" i="9"/>
  <c r="B30" i="8"/>
  <c r="L5" i="4"/>
  <c r="B21" i="8"/>
  <c r="G5" i="4"/>
  <c r="C21" i="8"/>
  <c r="F21" i="8" s="1"/>
  <c r="F5" i="4"/>
  <c r="B8" i="5" s="1"/>
  <c r="A10" i="9"/>
  <c r="L6" i="4"/>
  <c r="F6" i="4"/>
  <c r="G6" i="4"/>
  <c r="X7" i="13" s="1"/>
  <c r="AB7" i="13" s="1"/>
  <c r="AF7" i="13" s="1"/>
  <c r="W6" i="4" s="1"/>
  <c r="AE13" i="13"/>
  <c r="AD12" i="13"/>
  <c r="F13" i="4"/>
  <c r="L13" i="4"/>
  <c r="G13" i="4"/>
  <c r="X20" i="13" s="1"/>
  <c r="AB20" i="13" s="1"/>
  <c r="AD17" i="13"/>
  <c r="AD8" i="13"/>
  <c r="L9" i="4"/>
  <c r="F9" i="4"/>
  <c r="G9" i="4"/>
  <c r="X13" i="13" s="1"/>
  <c r="AB13" i="13" s="1"/>
  <c r="AD16" i="13"/>
  <c r="AE20" i="13"/>
  <c r="G8" i="4"/>
  <c r="X15" i="13" s="1"/>
  <c r="AB15" i="13" s="1"/>
  <c r="F8" i="4"/>
  <c r="L8" i="4"/>
  <c r="AD11" i="13"/>
  <c r="G14" i="4"/>
  <c r="L14" i="4"/>
  <c r="F14" i="4"/>
  <c r="AD9" i="13"/>
  <c r="AD20" i="13"/>
  <c r="AF20" i="13" s="1"/>
  <c r="B31" i="8"/>
  <c r="C22" i="8"/>
  <c r="B22" i="8"/>
  <c r="X19" i="13" l="1"/>
  <c r="AB19" i="13" s="1"/>
  <c r="AF19" i="13" s="1"/>
  <c r="W14" i="4" s="1"/>
  <c r="AF15" i="13"/>
  <c r="W8" i="4" s="1"/>
  <c r="AF16" i="13"/>
  <c r="W18" i="4" s="1"/>
  <c r="AB8" i="13"/>
  <c r="AF8" i="13" s="1"/>
  <c r="W16" i="4" s="1"/>
  <c r="X17" i="13"/>
  <c r="AB17" i="13" s="1"/>
  <c r="AB10" i="13"/>
  <c r="AF10" i="13" s="1"/>
  <c r="W17" i="4" s="1"/>
  <c r="AF13" i="13"/>
  <c r="W9" i="4" s="1"/>
  <c r="X11" i="13"/>
  <c r="B9" i="5"/>
  <c r="A3" i="4"/>
  <c r="B16" i="5"/>
  <c r="AF12" i="13"/>
  <c r="W7" i="4" s="1"/>
  <c r="AF17" i="13"/>
  <c r="W15" i="4" s="1"/>
  <c r="AF9" i="13"/>
  <c r="W11" i="4" s="1"/>
  <c r="AF18" i="13"/>
  <c r="W12" i="4" s="1"/>
  <c r="W13" i="4" l="1"/>
  <c r="AB11" i="13"/>
  <c r="B25" i="5"/>
  <c r="B23" i="5" l="1"/>
  <c r="AF11" i="13"/>
  <c r="B7" i="5" l="1"/>
  <c r="W5" i="4"/>
</calcChain>
</file>

<file path=xl/sharedStrings.xml><?xml version="1.0" encoding="utf-8"?>
<sst xmlns="http://schemas.openxmlformats.org/spreadsheetml/2006/main" count="3309" uniqueCount="466">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</sst>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48" t="s">
        <v>186</v>
      </c>
      <c r="B2" s="146"/>
      <c r="C2" s="146"/>
      <c r="D2" s="146"/>
      <c r="E2" s="146"/>
      <c r="F2" s="146"/>
      <c r="G2" s="146"/>
      <c r="H2" s="146"/>
    </row>
    <row r="3" spans="1:8" ht="48" customHeight="1" x14ac:dyDescent="0.2">
      <c r="A3" s="145"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7" t="s">
        <v>190</v>
      </c>
      <c r="C7" s="146"/>
      <c r="D7" s="146"/>
      <c r="E7" s="146"/>
      <c r="F7" s="146"/>
      <c r="G7" s="146"/>
      <c r="H7" s="146"/>
    </row>
    <row r="8" spans="1:8" ht="36" customHeight="1" x14ac:dyDescent="0.2">
      <c r="A8" s="26" t="s">
        <v>191</v>
      </c>
      <c r="B8" s="147" t="s">
        <v>192</v>
      </c>
      <c r="C8" s="146"/>
      <c r="D8" s="146"/>
      <c r="E8" s="146"/>
      <c r="F8" s="146"/>
      <c r="G8" s="146"/>
      <c r="H8" s="146"/>
    </row>
    <row r="9" spans="1:8" ht="21" customHeight="1" x14ac:dyDescent="0.2">
      <c r="A9" s="25" t="s">
        <v>189</v>
      </c>
      <c r="B9" s="147" t="s">
        <v>193</v>
      </c>
      <c r="C9" s="146"/>
      <c r="D9" s="146"/>
      <c r="E9" s="146"/>
      <c r="F9" s="146"/>
      <c r="G9" s="146"/>
      <c r="H9" s="146"/>
    </row>
    <row r="10" spans="1:8" ht="36" customHeight="1" x14ac:dyDescent="0.2">
      <c r="A10" s="26" t="s">
        <v>191</v>
      </c>
      <c r="B10" s="147"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7" t="s">
        <v>196</v>
      </c>
      <c r="C13" s="146"/>
      <c r="D13" s="146"/>
      <c r="E13" s="146"/>
      <c r="F13" s="146"/>
      <c r="G13" s="146"/>
      <c r="H13" s="146"/>
    </row>
    <row r="14" spans="1:8" ht="36" customHeight="1" x14ac:dyDescent="0.2">
      <c r="A14" s="26" t="s">
        <v>191</v>
      </c>
      <c r="B14" s="147" t="s">
        <v>197</v>
      </c>
      <c r="C14" s="146"/>
      <c r="D14" s="146"/>
      <c r="E14" s="146"/>
      <c r="F14" s="146"/>
      <c r="G14" s="146"/>
      <c r="H14" s="146"/>
    </row>
    <row r="15" spans="1:8" ht="21" customHeight="1" x14ac:dyDescent="0.2">
      <c r="A15" s="25" t="s">
        <v>189</v>
      </c>
      <c r="B15" s="147" t="s">
        <v>198</v>
      </c>
      <c r="C15" s="146"/>
      <c r="D15" s="146"/>
      <c r="E15" s="146"/>
      <c r="F15" s="146"/>
      <c r="G15" s="146"/>
      <c r="H15" s="146"/>
    </row>
    <row r="16" spans="1:8" ht="36" customHeight="1" x14ac:dyDescent="0.2">
      <c r="A16" s="26" t="s">
        <v>191</v>
      </c>
      <c r="B16" s="147"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7" t="s">
        <v>201</v>
      </c>
      <c r="C19" s="146"/>
      <c r="D19" s="146"/>
      <c r="E19" s="146"/>
      <c r="F19" s="146"/>
      <c r="G19" s="146"/>
      <c r="H19" s="146"/>
    </row>
    <row r="20" spans="1:8" ht="51" customHeight="1" x14ac:dyDescent="0.2">
      <c r="A20" s="26" t="s">
        <v>191</v>
      </c>
      <c r="B20" s="147" t="s">
        <v>202</v>
      </c>
      <c r="C20" s="146"/>
      <c r="D20" s="146"/>
      <c r="E20" s="146"/>
      <c r="F20" s="146"/>
      <c r="G20" s="146"/>
      <c r="H20" s="146"/>
    </row>
    <row r="21" spans="1:8" ht="21" customHeight="1" x14ac:dyDescent="0.2">
      <c r="A21" s="25" t="s">
        <v>189</v>
      </c>
      <c r="B21" s="147" t="s">
        <v>203</v>
      </c>
      <c r="C21" s="146"/>
      <c r="D21" s="146"/>
      <c r="E21" s="146"/>
      <c r="F21" s="146"/>
      <c r="G21" s="146"/>
      <c r="H21" s="146"/>
    </row>
    <row r="22" spans="1:8" ht="51" customHeight="1" x14ac:dyDescent="0.2">
      <c r="A22" s="26" t="s">
        <v>191</v>
      </c>
      <c r="B22" s="147"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7" t="s">
        <v>206</v>
      </c>
      <c r="C25" s="146"/>
      <c r="D25" s="146"/>
      <c r="E25" s="146"/>
      <c r="F25" s="146"/>
      <c r="G25" s="146"/>
      <c r="H25" s="146"/>
    </row>
    <row r="26" spans="1:8" ht="51" customHeight="1" x14ac:dyDescent="0.2">
      <c r="A26" s="26" t="s">
        <v>191</v>
      </c>
      <c r="B26" s="147" t="s">
        <v>207</v>
      </c>
      <c r="C26" s="146"/>
      <c r="D26" s="146"/>
      <c r="E26" s="146"/>
      <c r="F26" s="146"/>
      <c r="G26" s="146"/>
      <c r="H26" s="146"/>
    </row>
    <row r="27" spans="1:8" ht="21" customHeight="1" x14ac:dyDescent="0.2">
      <c r="A27" s="25" t="s">
        <v>189</v>
      </c>
      <c r="B27" s="147" t="s">
        <v>208</v>
      </c>
      <c r="C27" s="146"/>
      <c r="D27" s="146"/>
      <c r="E27" s="146"/>
      <c r="F27" s="146"/>
      <c r="G27" s="146"/>
      <c r="H27" s="146"/>
    </row>
    <row r="28" spans="1:8" ht="51" customHeight="1" x14ac:dyDescent="0.2">
      <c r="A28" s="26" t="s">
        <v>191</v>
      </c>
      <c r="B28" s="147" t="s">
        <v>209</v>
      </c>
      <c r="C28" s="146"/>
      <c r="D28" s="146"/>
      <c r="E28" s="146"/>
      <c r="F28" s="146"/>
      <c r="G28" s="146"/>
      <c r="H28" s="146"/>
    </row>
    <row r="29" spans="1:8" ht="21" customHeight="1" x14ac:dyDescent="0.2">
      <c r="A29" s="25" t="s">
        <v>189</v>
      </c>
      <c r="B29" s="147" t="s">
        <v>210</v>
      </c>
      <c r="C29" s="146"/>
      <c r="D29" s="146"/>
      <c r="E29" s="146"/>
      <c r="F29" s="146"/>
      <c r="G29" s="146"/>
      <c r="H29" s="146"/>
    </row>
    <row r="30" spans="1:8" ht="36" customHeight="1" x14ac:dyDescent="0.2">
      <c r="A30" s="26" t="s">
        <v>191</v>
      </c>
      <c r="B30" s="147"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7" t="s">
        <v>213</v>
      </c>
      <c r="C33" s="146"/>
      <c r="D33" s="146"/>
      <c r="E33" s="146"/>
      <c r="F33" s="146"/>
      <c r="G33" s="146"/>
      <c r="H33" s="146"/>
    </row>
    <row r="34" spans="1:8" ht="51" customHeight="1" x14ac:dyDescent="0.2">
      <c r="A34" s="26" t="s">
        <v>191</v>
      </c>
      <c r="B34" s="147" t="s">
        <v>214</v>
      </c>
      <c r="C34" s="146"/>
      <c r="D34" s="146"/>
      <c r="E34" s="146"/>
      <c r="F34" s="146"/>
      <c r="G34" s="146"/>
      <c r="H34" s="146"/>
    </row>
    <row r="35" spans="1:8" ht="21" customHeight="1" x14ac:dyDescent="0.2">
      <c r="A35" s="25" t="s">
        <v>189</v>
      </c>
      <c r="B35" s="147" t="s">
        <v>215</v>
      </c>
      <c r="C35" s="146"/>
      <c r="D35" s="146"/>
      <c r="E35" s="146"/>
      <c r="F35" s="146"/>
      <c r="G35" s="146"/>
      <c r="H35" s="146"/>
    </row>
    <row r="36" spans="1:8" ht="36" customHeight="1" x14ac:dyDescent="0.2">
      <c r="A36" s="26" t="s">
        <v>191</v>
      </c>
      <c r="B36" s="147" t="s">
        <v>216</v>
      </c>
      <c r="C36" s="146"/>
      <c r="D36" s="146"/>
      <c r="E36" s="146"/>
      <c r="F36" s="146"/>
      <c r="G36" s="146"/>
      <c r="H36" s="146"/>
    </row>
    <row r="37" spans="1:8" ht="21" customHeight="1" x14ac:dyDescent="0.2">
      <c r="A37" s="25" t="s">
        <v>189</v>
      </c>
      <c r="B37" s="147" t="s">
        <v>217</v>
      </c>
      <c r="C37" s="146"/>
      <c r="D37" s="146"/>
      <c r="E37" s="146"/>
      <c r="F37" s="146"/>
      <c r="G37" s="146"/>
      <c r="H37" s="146"/>
    </row>
    <row r="38" spans="1:8" ht="51" customHeight="1" x14ac:dyDescent="0.2">
      <c r="A38" s="26" t="s">
        <v>191</v>
      </c>
      <c r="B38" s="147" t="s">
        <v>218</v>
      </c>
      <c r="C38" s="146"/>
      <c r="D38" s="146"/>
      <c r="E38" s="146"/>
      <c r="F38" s="146"/>
      <c r="G38" s="146"/>
      <c r="H38" s="146"/>
    </row>
    <row r="39" spans="1:8" ht="21" customHeight="1" x14ac:dyDescent="0.2">
      <c r="A39" s="25" t="s">
        <v>189</v>
      </c>
      <c r="B39" s="147"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7" t="s">
        <v>221</v>
      </c>
      <c r="C42" s="146"/>
      <c r="D42" s="146"/>
      <c r="E42" s="146"/>
      <c r="F42" s="146"/>
      <c r="G42" s="146"/>
      <c r="H42" s="146"/>
    </row>
    <row r="43" spans="1:8" ht="51" customHeight="1" x14ac:dyDescent="0.2">
      <c r="A43" s="26" t="s">
        <v>191</v>
      </c>
      <c r="B43" s="147" t="s">
        <v>222</v>
      </c>
      <c r="C43" s="146"/>
      <c r="D43" s="146"/>
      <c r="E43" s="146"/>
      <c r="F43" s="146"/>
      <c r="G43" s="146"/>
      <c r="H43" s="146"/>
    </row>
    <row r="44" spans="1:8" ht="21" customHeight="1" x14ac:dyDescent="0.2">
      <c r="A44" s="25" t="s">
        <v>189</v>
      </c>
      <c r="B44" s="147" t="s">
        <v>223</v>
      </c>
      <c r="C44" s="146"/>
      <c r="D44" s="146"/>
      <c r="E44" s="146"/>
      <c r="F44" s="146"/>
      <c r="G44" s="146"/>
      <c r="H44" s="146"/>
    </row>
    <row r="45" spans="1:8" ht="36" customHeight="1" x14ac:dyDescent="0.2">
      <c r="A45" s="26" t="s">
        <v>191</v>
      </c>
      <c r="B45" s="147" t="s">
        <v>224</v>
      </c>
      <c r="C45" s="146"/>
      <c r="D45" s="146"/>
      <c r="E45" s="146"/>
      <c r="F45" s="146"/>
      <c r="G45" s="146"/>
      <c r="H45" s="146"/>
    </row>
    <row r="46" spans="1:8" ht="21" customHeight="1" x14ac:dyDescent="0.2">
      <c r="A46" s="25" t="s">
        <v>189</v>
      </c>
      <c r="B46" s="147" t="s">
        <v>225</v>
      </c>
      <c r="C46" s="146"/>
      <c r="D46" s="146"/>
      <c r="E46" s="146"/>
      <c r="F46" s="146"/>
      <c r="G46" s="146"/>
      <c r="H46" s="146"/>
    </row>
    <row r="47" spans="1:8" ht="21" customHeight="1" x14ac:dyDescent="0.2">
      <c r="A47" s="26" t="s">
        <v>191</v>
      </c>
      <c r="B47" s="147"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7" t="s">
        <v>228</v>
      </c>
      <c r="C50" s="146"/>
      <c r="D50" s="146"/>
      <c r="E50" s="146"/>
      <c r="F50" s="146"/>
      <c r="G50" s="146"/>
      <c r="H50" s="146"/>
    </row>
    <row r="51" spans="1:8" ht="21" customHeight="1" x14ac:dyDescent="0.2">
      <c r="A51" s="26" t="s">
        <v>191</v>
      </c>
      <c r="B51" s="147" t="s">
        <v>229</v>
      </c>
      <c r="C51" s="146"/>
      <c r="D51" s="146"/>
      <c r="E51" s="146"/>
      <c r="F51" s="146"/>
      <c r="G51" s="146"/>
      <c r="H51" s="146"/>
    </row>
    <row r="52" spans="1:8" ht="21" customHeight="1" x14ac:dyDescent="0.2">
      <c r="A52" s="25" t="s">
        <v>189</v>
      </c>
      <c r="B52" s="147"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1274   |   40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20</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26</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1055</v>
      </c>
      <c r="D23" s="31" t="str">
        <f>IF(OR($B23="—",$B23=""),"—",COUNTIFS('Match Log'!$D$4:$D$1510,$B23,'Match Log'!$C$4:$C$1510,$A23,'Match Log'!$E$4:$E$1510,"Win")&amp;"–"&amp;(COUNTIFS('Match Log'!$D$4:$D$1510,$B23,'Match Log'!$C$4:$C$1510,$A23)-COUNTIFS('Match Log'!$D$4:$D$1510,$B23,'Match Log'!$C$4:$C$1510,$A23,'Match Log'!$E$4:$E$1510,"Win")))</f>
        <v>6–1</v>
      </c>
      <c r="E23" s="31">
        <f>IFERROR('Sport Records'!$P$21,0)</f>
        <v>23</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328  ·  25 Oct 2026</v>
      </c>
      <c r="T2" s="49" t="str">
        <f ca="1">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1273.6858369946654</v>
      </c>
      <c r="D5" s="55">
        <f ca="1">COUNTIF('Match Log'!$D$4:$D$1510,$B5)</f>
        <v>65</v>
      </c>
      <c r="E5" s="55">
        <f ca="1">COUNTIFS('Match Log'!$D$4:$D$1510,$B5,'Match Log'!$E$4:$E$1510,"Win")</f>
        <v>40</v>
      </c>
      <c r="F5" s="55">
        <f t="shared" ref="F5:F18" ca="1" si="1">$D5-$E5</f>
        <v>25</v>
      </c>
      <c r="G5" s="56">
        <f t="shared" ref="G5:G18" ca="1" si="2">IF($D5=0,"",$E5/$D5)</f>
        <v>0.61538461538461542</v>
      </c>
      <c r="H5" s="57">
        <f ca="1">SUMIF('Match Log'!$D$4:$D$1510,$B5,'Match Log'!$J$4:$J$1510)</f>
        <v>129.80968013686083</v>
      </c>
      <c r="I5" s="57">
        <f ca="1">SUMIF('Match Log'!$D$4:$D$1510,$B5,'Match Log'!$K$4:$K$1510)</f>
        <v>72.126156857804176</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1132.6146517494653</v>
      </c>
      <c r="N5" s="54">
        <f t="shared" ref="N5:N18" ca="1" si="3">MAX($C$5:$C$18)-$C5</f>
        <v>0</v>
      </c>
      <c r="O5" s="55" t="str">
        <f ca="1">IFERROR(INDEX(Calcs!$H$7:$H$20,MATCH($B5,Calcs!$A$7:$A$20,0)),"")</f>
        <v>W6</v>
      </c>
      <c r="P5" s="55" t="str">
        <f ca="1">IFERROR(INDEX(Calcs!$I$7:$I$20,MATCH($B5,Calcs!$A$7:$A$20,0)),"")</f>
        <v>WWWWW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8 Oct</v>
      </c>
      <c r="S5" s="55">
        <f ca="1">IFERROR(ROUND(INDEX(Calcs!$Q$7:$Q$20,MATCH($B5,Calcs!$A$7:$A$20,0)),1),"")</f>
        <v>2.4</v>
      </c>
      <c r="T5" s="55" t="str">
        <f ca="1">IFERROR(INDEX(Calcs!$T$7:$T$20,MATCH($B5,Calcs!$A$7:$A$20,0)),"")</f>
        <v>At risk</v>
      </c>
      <c r="U5">
        <f ca="1">IFERROR(ROUND(INDEX(Calcs!$R$7:$R$20,MATCH($B5,Calcs!$A$7:$A$20,0))+INDEX(Calcs!$U$7:$U$20,MATCH($B5,Calcs!$A$7:$A$20,0)),0),0)</f>
        <v>0</v>
      </c>
      <c r="V5" s="57">
        <f ca="1">IFERROR(ROUND(INDEX(Calcs!$S$7:$S$20,MATCH($B5,Calcs!$A$7:$A$20,0)),0),"")</f>
        <v>1274</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1146.685510610808</v>
      </c>
      <c r="N6" s="54">
        <f t="shared" ca="1" si="3"/>
        <v>50.494661049556953</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24 Oct</v>
      </c>
      <c r="S6" s="55">
        <f ca="1">IFERROR(ROUND(INDEX(Calcs!$Q$7:$Q$20,MATCH($B6,Calcs!$A$7:$A$20,0)),1),"")</f>
        <v>0.1</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1196.1680814643371</v>
      </c>
      <c r="D7" s="55">
        <f ca="1">COUNTIF('Match Log'!$D$4:$D$1510,$B7)</f>
        <v>172</v>
      </c>
      <c r="E7" s="55">
        <f ca="1">COUNTIFS('Match Log'!$D$4:$D$1510,$B7,'Match Log'!$E$4:$E$1510,"Win")</f>
        <v>80</v>
      </c>
      <c r="F7" s="55">
        <f t="shared" ca="1" si="1"/>
        <v>92</v>
      </c>
      <c r="G7" s="56">
        <f t="shared" ca="1" si="2"/>
        <v>0.46511627906976744</v>
      </c>
      <c r="H7" s="57">
        <f ca="1">SUMIF('Match Log'!$D$4:$D$1510,$B7,'Match Log'!$J$4:$J$1510)</f>
        <v>-12.768184673500254</v>
      </c>
      <c r="I7" s="57">
        <f ca="1">SUMIF('Match Log'!$D$4:$D$1510,$B7,'Match Log'!$K$4:$K$1510)</f>
        <v>16.686266137837748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1147.9566464464178</v>
      </c>
      <c r="N7" s="54">
        <f t="shared" ca="1" si="3"/>
        <v>77.517755530328259</v>
      </c>
      <c r="O7" s="55" t="str">
        <f ca="1">IFERROR(INDEX(Calcs!$H$7:$H$20,MATCH($B7,Calcs!$A$7:$A$20,0)),"")</f>
        <v>L2</v>
      </c>
      <c r="P7" s="55" t="str">
        <f ca="1">IFERROR(INDEX(Calcs!$I$7:$I$20,MATCH($B7,Calcs!$A$7:$A$20,0)),"")</f>
        <v>WLWLL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25 Oct</v>
      </c>
      <c r="S7" s="55">
        <f ca="1">IFERROR(ROUND(INDEX(Calcs!$Q$7:$Q$20,MATCH($B7,Calcs!$A$7:$A$20,0)),1),"")</f>
        <v>0</v>
      </c>
      <c r="T7" s="55" t="str">
        <f ca="1">IFERROR(INDEX(Calcs!$T$7:$T$20,MATCH($B7,Calcs!$A$7:$A$20,0)),"")</f>
        <v>Active</v>
      </c>
      <c r="U7">
        <f ca="1">IFERROR(ROUND(INDEX(Calcs!$R$7:$R$20,MATCH($B7,Calcs!$A$7:$A$20,0))+INDEX(Calcs!$U$7:$U$20,MATCH($B7,Calcs!$A$7:$A$20,0)),0),0)</f>
        <v>0</v>
      </c>
      <c r="V7" s="57">
        <f ca="1">IFERROR(ROUND(INDEX(Calcs!$S$7:$S$20,MATCH($B7,Calcs!$A$7:$A$20,0)),0),"")</f>
        <v>1196</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1177.9015417269482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1134.4310446977699</v>
      </c>
      <c r="N8" s="54">
        <f t="shared" ca="1" si="3"/>
        <v>95.784295267717198</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4.3</v>
      </c>
      <c r="T8" s="55" t="str">
        <f ca="1">IFERROR(INDEX(Calcs!$T$7:$T$20,MATCH($B8,Calcs!$A$7:$A$20,0)),"")</f>
        <v>Inactive</v>
      </c>
      <c r="U8">
        <f ca="1">IFERROR(ROUND(INDEX(Calcs!$R$7:$R$20,MATCH($B8,Calcs!$A$7:$A$20,0))+INDEX(Calcs!$U$7:$U$20,MATCH($B8,Calcs!$A$7:$A$20,0)),0),0)</f>
        <v>40</v>
      </c>
      <c r="V8" s="57">
        <f ca="1">IFERROR(ROUND(INDEX(Calcs!$S$7:$S$20,MATCH($B8,Calcs!$A$7:$A$20,0)),0),"")</f>
        <v>1178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Simon</v>
      </c>
      <c r="C9" s="54">
        <f ca="1">IFERROR(INDEX(Calcs!$S$7:$S$20,MATCH($B9,Calcs!$A$7:$A$20,0)),"")</f>
        <v>1174.9945492849279</v>
      </c>
      <c r="D9" s="55">
        <f ca="1">COUNTIF('Match Log'!$D$4:$D$1510,$B9)</f>
        <v>44</v>
      </c>
      <c r="E9" s="55">
        <f ca="1">COUNTIFS('Match Log'!$D$4:$D$1510,$B9,'Match Log'!$E$4:$E$1510,"Win")</f>
        <v>23</v>
      </c>
      <c r="F9" s="55">
        <f t="shared" ca="1" si="1"/>
        <v>21</v>
      </c>
      <c r="G9" s="56">
        <f t="shared" ca="1" si="2"/>
        <v>0.52272727272727271</v>
      </c>
      <c r="H9" s="57">
        <f ca="1">SUMIF('Match Log'!$D$4:$D$1510,$B9,'Match Log'!$J$4:$J$1510)</f>
        <v>56.42783844566047</v>
      </c>
      <c r="I9" s="57">
        <f ca="1">SUMIF('Match Log'!$D$4:$D$1510,$B9,'Match Log'!$K$4:$K$1510)</f>
        <v>65.116710839267427</v>
      </c>
      <c r="J9" s="57">
        <f ca="1">SUMIF('Match Log'!$D$4:$D$1510,$B9,'Match Log'!$L$4:$L$1510)</f>
        <v>89</v>
      </c>
      <c r="K9" s="55">
        <f ca="1">SUMPRODUCT(--(COUNTIFS('Match Log'!$D$4:$D$1510,$B9,'Match Log'!$C$4:$C$1510,Lists!$C$2:$C$26)&gt;0))</f>
        <v>12</v>
      </c>
      <c r="L9" s="55" t="str">
        <f ca="1">IF($D9=0,"No games",IF(AND($D9&gt;='Guide &amp; Settings'!$C$45,$K9&gt;='Guide &amp; Settings'!$C$46),"Eligible","Provisional"))</f>
        <v>Eligible</v>
      </c>
      <c r="M9" s="54">
        <f ca="1">IFERROR(INDEX(Calcs!$C$7:$C$20,MATCH($B9,Calcs!$A$7:$A$20,0)),"")</f>
        <v>1094.3151934324785</v>
      </c>
      <c r="N9" s="54">
        <f t="shared" ca="1" si="3"/>
        <v>98.69128770973748</v>
      </c>
      <c r="O9" s="55" t="str">
        <f ca="1">IFERROR(INDEX(Calcs!$H$7:$H$20,MATCH($B9,Calcs!$A$7:$A$20,0)),"")</f>
        <v>W1</v>
      </c>
      <c r="P9" s="55" t="str">
        <f ca="1">IFERROR(INDEX(Calcs!$I$7:$I$20,MATCH($B9,Calcs!$A$7:$A$20,0)),"")</f>
        <v>WLWLW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24 Oct</v>
      </c>
      <c r="S9" s="55">
        <f ca="1">IFERROR(ROUND(INDEX(Calcs!$Q$7:$Q$20,MATCH($B9,Calcs!$A$7:$A$20,0)),1),"")</f>
        <v>0.1</v>
      </c>
      <c r="T9" s="55" t="str">
        <f ca="1">IFERROR(INDEX(Calcs!$T$7:$T$20,MATCH($B9,Calcs!$A$7:$A$20,0)),"")</f>
        <v>Active</v>
      </c>
      <c r="U9">
        <f ca="1">IFERROR(ROUND(INDEX(Calcs!$R$7:$R$20,MATCH($B9,Calcs!$A$7:$A$20,0))+INDEX(Calcs!$U$7:$U$20,MATCH($B9,Calcs!$A$7:$A$20,0)),0),0)</f>
        <v>30</v>
      </c>
      <c r="V9" s="57">
        <f ca="1">IFERROR(ROUND(INDEX(Calcs!$S$7:$S$20,MATCH($B9,Calcs!$A$7:$A$20,0)),0),"")</f>
        <v>1175</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Daniel (Ferret)</v>
      </c>
      <c r="C10" s="54">
        <f ca="1">IFERROR(INDEX(Calcs!$S$7:$S$20,MATCH($B10,Calcs!$A$7:$A$20,0)),"")</f>
        <v>1154.949342448014</v>
      </c>
      <c r="D10" s="55">
        <f ca="1">COUNTIF('Match Log'!$D$4:$D$1510,$B10)</f>
        <v>162</v>
      </c>
      <c r="E10" s="55">
        <f ca="1">COUNTIFS('Match Log'!$D$4:$D$1510,$B10,'Match Log'!$E$4:$E$1510,"Win")</f>
        <v>69</v>
      </c>
      <c r="F10" s="55">
        <f t="shared" ca="1" si="1"/>
        <v>93</v>
      </c>
      <c r="G10" s="56">
        <f t="shared" ca="1" si="2"/>
        <v>0.42592592592592593</v>
      </c>
      <c r="H10" s="57">
        <f ca="1">SUMIF('Match Log'!$D$4:$D$1510,$B10,'Match Log'!$J$4:$J$1510)</f>
        <v>-53.937028883704635</v>
      </c>
      <c r="I10" s="57">
        <f ca="1">SUMIF('Match Log'!$D$4:$D$1510,$B10,'Match Log'!$K$4:$K$1510)</f>
        <v>39.236371331718885</v>
      </c>
      <c r="J10" s="57">
        <f ca="1">SUMIF('Match Log'!$D$4:$D$1510,$B10,'Match Log'!$L$4:$L$1510)</f>
        <v>171</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1173.3851203906686</v>
      </c>
      <c r="N10" s="54">
        <f t="shared" ca="1" si="3"/>
        <v>118.73649454665133</v>
      </c>
      <c r="O10" s="55" t="str">
        <f ca="1">IFERROR(INDEX(Calcs!$H$7:$H$20,MATCH($B10,Calcs!$A$7:$A$20,0)),"")</f>
        <v>L2</v>
      </c>
      <c r="P10" s="55" t="str">
        <f ca="1">IFERROR(INDEX(Calcs!$I$7:$I$20,MATCH($B10,Calcs!$A$7:$A$20,0)),"")</f>
        <v>LLWLL</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24 Oct</v>
      </c>
      <c r="S10" s="55">
        <f ca="1">IFERROR(ROUND(INDEX(Calcs!$Q$7:$Q$20,MATCH($B10,Calcs!$A$7:$A$20,0)),1),"")</f>
        <v>0.1</v>
      </c>
      <c r="T10" s="55" t="str">
        <f ca="1">IFERROR(INDEX(Calcs!$T$7:$T$20,MATCH($B10,Calcs!$A$7:$A$20,0)),"")</f>
        <v>Active</v>
      </c>
      <c r="U10">
        <f ca="1">IFERROR(ROUND(INDEX(Calcs!$R$7:$R$20,MATCH($B10,Calcs!$A$7:$A$20,0))+INDEX(Calcs!$U$7:$U$20,MATCH($B10,Calcs!$A$7:$A$20,0)),0),0)</f>
        <v>0</v>
      </c>
      <c r="V10" s="57">
        <f ca="1">IFERROR(ROUND(INDEX(Calcs!$S$7:$S$20,MATCH($B10,Calcs!$A$7:$A$20,0)),0),"")</f>
        <v>1155</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1154.022084283099</v>
      </c>
      <c r="N11" s="54">
        <f t="shared" ca="1" si="3"/>
        <v>245.60973393482618</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3.3</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1065.4085288890217</v>
      </c>
      <c r="N12" s="54">
        <f t="shared" ca="1" si="3"/>
        <v>256.13694228817985</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10.1</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Oscar</v>
      </c>
      <c r="C13" s="54">
        <f ca="1">IFERROR(INDEX(Calcs!$S$7:$S$20,MATCH($B13,Calcs!$A$7:$A$20,0)),"")</f>
        <v>1004.2053573760541</v>
      </c>
      <c r="D13" s="55">
        <f ca="1">COUNTIF('Match Log'!$D$4:$D$1510,$B13)</f>
        <v>90</v>
      </c>
      <c r="E13" s="55">
        <f ca="1">COUNTIFS('Match Log'!$D$4:$D$1510,$B13,'Match Log'!$E$4:$E$1510,"Win")</f>
        <v>33</v>
      </c>
      <c r="F13" s="55">
        <f t="shared" ca="1" si="1"/>
        <v>57</v>
      </c>
      <c r="G13" s="56">
        <f t="shared" ca="1" si="2"/>
        <v>0.36666666666666664</v>
      </c>
      <c r="H13" s="57">
        <f ca="1">SUMIF('Match Log'!$D$4:$D$1510,$B13,'Match Log'!$J$4:$J$1510)</f>
        <v>-72.435941609694353</v>
      </c>
      <c r="I13" s="57">
        <f ca="1">SUMIF('Match Log'!$D$4:$D$1510,$B13,'Match Log'!$K$4:$K$1510)</f>
        <v>-46.358701014251842</v>
      </c>
      <c r="J13" s="57">
        <f ca="1">SUMIF('Match Log'!$D$4:$D$1510,$B13,'Match Log'!$L$4:$L$1510)</f>
        <v>123</v>
      </c>
      <c r="K13" s="55">
        <f ca="1">SUMPRODUCT(--(COUNTIFS('Match Log'!$D$4:$D$1510,$B13,'Match Log'!$C$4:$C$1510,Lists!$C$2:$C$26)&gt;0))</f>
        <v>14</v>
      </c>
      <c r="L13" s="55" t="str">
        <f ca="1">IF($D13=0,"No games",IF(AND($D13&gt;='Guide &amp; Settings'!$C$45,$K13&gt;='Guide &amp; Settings'!$C$46),"Eligible","Provisional"))</f>
        <v>Eligible</v>
      </c>
      <c r="M13" s="54">
        <f ca="1">IFERROR(INDEX(Calcs!$C$7:$C$20,MATCH($B13,Calcs!$A$7:$A$20,0)),"")</f>
        <v>1173.8979302852865</v>
      </c>
      <c r="N13" s="54">
        <f t="shared" ca="1" si="3"/>
        <v>269.4804796186113</v>
      </c>
      <c r="O13" s="55" t="str">
        <f ca="1">IFERROR(INDEX(Calcs!$H$7:$H$20,MATCH($B13,Calcs!$A$7:$A$20,0)),"")</f>
        <v>W1</v>
      </c>
      <c r="P13" s="55" t="str">
        <f ca="1">IFERROR(INDEX(Calcs!$I$7:$I$20,MATCH($B13,Calcs!$A$7:$A$20,0)),"")</f>
        <v>WLWLW</v>
      </c>
      <c r="Q13" s="55" t="str">
        <f ca="1">IFERROR(IF(INDEX(Calcs!$L$7:$L$20,MATCH($B13,Calcs!$A$7:$A$20,0))&gt;0,"▲"&amp;INDEX(Calcs!$L$7:$L$20,MATCH($B13,Calcs!$A$7:$A$20,0)),IF(INDEX(Calcs!$L$7:$L$20,MATCH($B13,Calcs!$A$7:$A$20,0))&lt;0,"▼"&amp;ABS(INDEX(Calcs!$L$7:$L$20,MATCH($B13,Calcs!$A$7:$A$20,0))),"–")),"")</f>
        <v>▲2</v>
      </c>
      <c r="R13" s="55" t="str">
        <f ca="1">IFERROR(IF(INDEX(Calcs!$P$7:$P$20,MATCH($B13,Calcs!$A$7:$A$20,0))=0,"—",TEXT(INDEX(Calcs!$P$7:$P$20,MATCH($B13,Calcs!$A$7:$A$20,0)),"d mmm")),"")</f>
        <v>25 Oct</v>
      </c>
      <c r="S13" s="55">
        <f ca="1">IFERROR(ROUND(INDEX(Calcs!$Q$7:$Q$20,MATCH($B13,Calcs!$A$7:$A$20,0)),1),"")</f>
        <v>0</v>
      </c>
      <c r="T13" s="55" t="str">
        <f ca="1">IFERROR(INDEX(Calcs!$T$7:$T$20,MATCH($B13,Calcs!$A$7:$A$20,0)),"")</f>
        <v>Active</v>
      </c>
      <c r="U13">
        <f ca="1">IFERROR(ROUND(INDEX(Calcs!$R$7:$R$20,MATCH($B13,Calcs!$A$7:$A$20,0))+INDEX(Calcs!$U$7:$U$20,MATCH($B13,Calcs!$A$7:$A$20,0)),0),0)</f>
        <v>0</v>
      </c>
      <c r="V13" s="57">
        <f ca="1">IFERROR(ROUND(INDEX(Calcs!$S$7:$S$20,MATCH($B13,Calcs!$A$7:$A$20,0)),0),"")</f>
        <v>1004</v>
      </c>
      <c r="W13" s="55" t="str">
        <f ca="1">IFERROR(INDEX(Calcs!$AF$7:$AF$20,MATCH($B13,Calcs!$A$7:$A$20,0)),"")</f>
        <v>Strong</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273.68583699466535</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1114.8130906468098</v>
      </c>
      <c r="N15" s="54">
        <f t="shared" ca="1" si="3"/>
        <v>303.17859671250858</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3.1</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879.51759653351382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1103.5259077246819</v>
      </c>
      <c r="N16" s="54">
        <f t="shared" ca="1" si="3"/>
        <v>394.16824046115153</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18.899999999999999</v>
      </c>
      <c r="T16" s="55" t="str">
        <f ca="1">IFERROR(INDEX(Calcs!$T$7:$T$20,MATCH($B16,Calcs!$A$7:$A$20,0)),"")</f>
        <v>Inactive</v>
      </c>
      <c r="U16">
        <f ca="1">IFERROR(ROUND(INDEX(Calcs!$R$7:$R$20,MATCH($B16,Calcs!$A$7:$A$20,0))+INDEX(Calcs!$U$7:$U$20,MATCH($B16,Calcs!$A$7:$A$20,0)),0),0)</f>
        <v>150</v>
      </c>
      <c r="V16" s="57">
        <f ca="1">IFERROR(ROUND(INDEX(Calcs!$S$7:$S$20,MATCH($B16,Calcs!$A$7:$A$20,0)),0),"")</f>
        <v>880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1170.4226955003128</v>
      </c>
      <c r="N17" s="54">
        <f t="shared" ca="1" si="3"/>
        <v>446.65450055349106</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9.1</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1133.8532772743704</v>
      </c>
      <c r="N18" s="54">
        <f t="shared" ca="1" si="3"/>
        <v>531.46289325789041</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1273.6858369946654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40–25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0.61538461538461542</v>
      </c>
      <c r="D9" s="63" t="s">
        <v>37</v>
      </c>
      <c r="E9" s="37">
        <f>COUNTIFS('Match Log'!$D$4:$D$1510,$B$3,'Match Log'!$C$4:$C$1510,$D9)</f>
        <v>5</v>
      </c>
      <c r="F9" s="37">
        <f>COUNTIFS('Match Log'!$D$4:$D$1510,$B$3,'Match Log'!$C$4:$C$1510,$D9,'Match Log'!$E$4:$E$1510,"Win")</f>
        <v>3</v>
      </c>
      <c r="G9" s="64">
        <f t="shared" si="0"/>
        <v>0.6</v>
      </c>
      <c r="H9" s="65">
        <f>IFERROR(IF($E9=0,"",INDEX('Sport Records'!$B$106:$O$130,MATCH($D9,'Sport Records'!$A$106:$A$130,0),MATCH($B$3,'Sport Records'!$B$105:$O$105,0))),"")</f>
        <v>1016.8703665756711</v>
      </c>
    </row>
    <row r="10" spans="1:8" ht="15" customHeight="1" x14ac:dyDescent="0.2">
      <c r="A10" s="61" t="s">
        <v>10</v>
      </c>
      <c r="B10" s="62">
        <f ca="1">IFERROR(INDEX(Dashboard!$D$5:$D$18,MATCH($B$3,Dashboard!$B$5:$B$18,0)),"")</f>
        <v>65</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1132.6146517494653</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W6</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8 Oct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62</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83</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64% of 33</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53% of 36</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71% of 21</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36% of 33</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47% of 36</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29% of 21</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34</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51</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33</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34</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51</v>
      </c>
      <c r="H32" s="77">
        <f>IF($A32=H$21,0,SUMPRODUCT(('Match Log'!$D$4:$D$1510=$A32)*(COUNTIFS('Match Log'!$A$4:$A$1510,'Match Log'!$A$4:$A$1510,'Match Log'!$D$4:$D$1510,H$21)&gt;0)))</f>
        <v>33</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328</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11</v>
      </c>
      <c r="H9" s="83">
        <f>COUNTIFS('Match Log'!$D$4:$D$1510,H$7,'Match Log'!$C$4:$C$1510,$A9)</f>
        <v>7</v>
      </c>
      <c r="I9" s="83">
        <f>COUNTIFS('Match Log'!$D$4:$D$1510,I$7,'Match Log'!$C$4:$C$1510,$A9)</f>
        <v>10</v>
      </c>
      <c r="J9" s="83">
        <f>COUNTIFS('Match Log'!$D$4:$D$1510,J$7,'Match Log'!$C$4:$C$1510,$A9)</f>
        <v>4</v>
      </c>
      <c r="K9" s="83">
        <f>COUNTIFS('Match Log'!$D$4:$D$1510,K$7,'Match Log'!$C$4:$C$1510,$A9)</f>
        <v>0</v>
      </c>
      <c r="L9" s="83">
        <f>COUNTIFS('Match Log'!$D$4:$D$1510,L$7,'Match Log'!$C$4:$C$1510,$A9)</f>
        <v>7</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20</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5</v>
      </c>
      <c r="G12" s="83">
        <f>COUNTIFS('Match Log'!$D$4:$D$1510,G$7,'Match Log'!$C$4:$C$1510,$A12)</f>
        <v>1</v>
      </c>
      <c r="H12" s="83">
        <f>COUNTIFS('Match Log'!$D$4:$D$1510,H$7,'Match Log'!$C$4:$C$1510,$A12)</f>
        <v>2</v>
      </c>
      <c r="I12" s="83">
        <f>COUNTIFS('Match Log'!$D$4:$D$1510,I$7,'Match Log'!$C$4:$C$1510,$A12)</f>
        <v>12</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26</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16</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23</v>
      </c>
      <c r="Q21" s="85" t="str">
        <f t="shared" si="0"/>
        <v>Oscar</v>
      </c>
      <c r="R21" s="84">
        <f t="shared" si="1"/>
        <v>9</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2</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3</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3</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1</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0.27272727272727271</v>
      </c>
      <c r="H63" s="86">
        <f t="shared" si="3"/>
        <v>0.2857142857142857</v>
      </c>
      <c r="I63" s="86">
        <f t="shared" si="3"/>
        <v>0.3</v>
      </c>
      <c r="J63" s="86">
        <f t="shared" si="3"/>
        <v>0.25</v>
      </c>
      <c r="K63" s="86" t="str">
        <f t="shared" si="3"/>
        <v/>
      </c>
      <c r="L63" s="86">
        <f t="shared" si="3"/>
        <v>0.42857142857142855</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0.6</v>
      </c>
      <c r="G66" s="86">
        <f t="shared" si="6"/>
        <v>1</v>
      </c>
      <c r="H66" s="86">
        <f t="shared" si="6"/>
        <v>1</v>
      </c>
      <c r="I66" s="86">
        <f t="shared" si="6"/>
        <v>0.41666666666666669</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6.25E-2</v>
      </c>
      <c r="H75" s="86">
        <f t="shared" si="15"/>
        <v>0</v>
      </c>
      <c r="I75" s="86">
        <f t="shared" si="15"/>
        <v>0.42857142857142855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65</v>
      </c>
      <c r="C90" s="83">
        <f>SUMPRODUCT(--(COUNTIFS('Match Log'!$D$4:$D$1510,$A90,'Match Log'!$C$4:$C$1510,Lists!$C$2:$C$26)&gt;0))</f>
        <v>15</v>
      </c>
      <c r="D90" s="83">
        <f>COUNTIFS('Match Log'!$D$4:$D$1510,$A90,'Match Log'!$E$4:$E$1510,"Win")</f>
        <v>40</v>
      </c>
      <c r="E90" s="86">
        <f t="shared" si="27"/>
        <v>0.61538461538461542</v>
      </c>
      <c r="F90" s="88">
        <f ca="1">IFERROR(INDEX(Calcs!$S$7:$S$20,MATCH($A90,Calcs!$A$7:$A$20,0)),"")</f>
        <v>1273.6858369946654</v>
      </c>
      <c r="G90" s="83" t="str">
        <f>IF($B90=0,"No games",IF(AND($B90&gt;='Guide &amp; Settings'!$C$45,$C90&gt;='Guide &amp; Settings'!$C$46),"Eligible","Provisional"))</f>
        <v>Eligible</v>
      </c>
      <c r="S90" s="89">
        <f ca="1">IF($G90="Eligible",IF(IFERROR(INDEX(Calcs!$T$7:$T$20,MATCH($A90,Calcs!$A$7:$A$20,0)),"")="Inactive",-1,$F90),-1)</f>
        <v>1273.6858369946654</v>
      </c>
    </row>
    <row r="91" spans="1:19" ht="15" customHeight="1" x14ac:dyDescent="0.2">
      <c r="A91" s="82" t="s">
        <v>21</v>
      </c>
      <c r="B91" s="83">
        <f>COUNTIF('Match Log'!$D$4:$D$1510,$A91)</f>
        <v>44</v>
      </c>
      <c r="C91" s="83">
        <f>SUMPRODUCT(--(COUNTIFS('Match Log'!$D$4:$D$1510,$A91,'Match Log'!$C$4:$C$1510,Lists!$C$2:$C$26)&gt;0))</f>
        <v>12</v>
      </c>
      <c r="D91" s="83">
        <f>COUNTIFS('Match Log'!$D$4:$D$1510,$A91,'Match Log'!$E$4:$E$1510,"Win")</f>
        <v>23</v>
      </c>
      <c r="E91" s="86">
        <f t="shared" si="27"/>
        <v>0.52272727272727271</v>
      </c>
      <c r="F91" s="88">
        <f ca="1">IFERROR(INDEX(Calcs!$S$7:$S$20,MATCH($A91,Calcs!$A$7:$A$20,0)),"")</f>
        <v>1174.9945492849279</v>
      </c>
      <c r="G91" s="83" t="str">
        <f>IF($B91=0,"No games",IF(AND($B91&gt;='Guide &amp; Settings'!$C$45,$C91&gt;='Guide &amp; Settings'!$C$46),"Eligible","Provisional"))</f>
        <v>Eligible</v>
      </c>
      <c r="S91" s="89">
        <f ca="1">IF($G91="Eligible",IF(IFERROR(INDEX(Calcs!$T$7:$T$20,MATCH($A91,Calcs!$A$7:$A$20,0)),"")="Inactive",-1,$F91),-1)</f>
        <v>1174.9945492849279</v>
      </c>
    </row>
    <row r="92" spans="1:19" ht="15" customHeight="1" x14ac:dyDescent="0.2">
      <c r="A92" s="82" t="s">
        <v>25</v>
      </c>
      <c r="B92" s="83">
        <f>COUNTIF('Match Log'!$D$4:$D$1510,$A92)</f>
        <v>90</v>
      </c>
      <c r="C92" s="83">
        <f>SUMPRODUCT(--(COUNTIFS('Match Log'!$D$4:$D$1510,$A92,'Match Log'!$C$4:$C$1510,Lists!$C$2:$C$26)&gt;0))</f>
        <v>14</v>
      </c>
      <c r="D92" s="83">
        <f>COUNTIFS('Match Log'!$D$4:$D$1510,$A92,'Match Log'!$E$4:$E$1510,"Win")</f>
        <v>33</v>
      </c>
      <c r="E92" s="86">
        <f t="shared" si="27"/>
        <v>0.36666666666666664</v>
      </c>
      <c r="F92" s="88">
        <f ca="1">IFERROR(INDEX(Calcs!$S$7:$S$20,MATCH($A92,Calcs!$A$7:$A$20,0)),"")</f>
        <v>1004.2053573760541</v>
      </c>
      <c r="G92" s="83" t="str">
        <f>IF($B92=0,"No games",IF(AND($B92&gt;='Guide &amp; Settings'!$C$45,$C92&gt;='Guide &amp; Settings'!$C$46),"Eligible","Provisional"))</f>
        <v>Eligible</v>
      </c>
      <c r="S92" s="89">
        <f ca="1">IF($G92="Eligible",IF(IFERROR(INDEX(Calcs!$T$7:$T$20,MATCH($A92,Calcs!$A$7:$A$20,0)),"")="Inactive",-1,$F92),-1)</f>
        <v>1004.2053573760541</v>
      </c>
    </row>
    <row r="93" spans="1:19" ht="15" customHeight="1" x14ac:dyDescent="0.2">
      <c r="A93" s="82" t="s">
        <v>22</v>
      </c>
      <c r="B93" s="83">
        <f>COUNTIF('Match Log'!$D$4:$D$1510,$A93)</f>
        <v>162</v>
      </c>
      <c r="C93" s="83">
        <f>SUMPRODUCT(--(COUNTIFS('Match Log'!$D$4:$D$1510,$A93,'Match Log'!$C$4:$C$1510,Lists!$C$2:$C$26)&gt;0))</f>
        <v>20</v>
      </c>
      <c r="D93" s="83">
        <f>COUNTIFS('Match Log'!$D$4:$D$1510,$A93,'Match Log'!$E$4:$E$1510,"Win")</f>
        <v>69</v>
      </c>
      <c r="E93" s="86">
        <f t="shared" si="27"/>
        <v>0.42592592592592593</v>
      </c>
      <c r="F93" s="88">
        <f ca="1">IFERROR(INDEX(Calcs!$S$7:$S$20,MATCH($A93,Calcs!$A$7:$A$20,0)),"")</f>
        <v>1154.949342448014</v>
      </c>
      <c r="G93" s="83" t="str">
        <f>IF($B93=0,"No games",IF(AND($B93&gt;='Guide &amp; Settings'!$C$45,$C93&gt;='Guide &amp; Settings'!$C$46),"Eligible","Provisional"))</f>
        <v>Eligible</v>
      </c>
      <c r="S93" s="89">
        <f ca="1">IF($G93="Eligible",IF(IFERROR(INDEX(Calcs!$T$7:$T$20,MATCH($A93,Calcs!$A$7:$A$20,0)),"")="Inactive",-1,$F93),-1)</f>
        <v>1154.949342448014</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172</v>
      </c>
      <c r="C95" s="83">
        <f>SUMPRODUCT(--(COUNTIFS('Match Log'!$D$4:$D$1510,$A95,'Match Log'!$C$4:$C$1510,Lists!$C$2:$C$26)&gt;0))</f>
        <v>19</v>
      </c>
      <c r="D95" s="83">
        <f>COUNTIFS('Match Log'!$D$4:$D$1510,$A95,'Match Log'!$E$4:$E$1510,"Win")</f>
        <v>80</v>
      </c>
      <c r="E95" s="86">
        <f t="shared" si="27"/>
        <v>0.46511627906976744</v>
      </c>
      <c r="F95" s="88">
        <f ca="1">IFERROR(INDEX(Calcs!$S$7:$S$20,MATCH($A95,Calcs!$A$7:$A$20,0)),"")</f>
        <v>1196.1680814643371</v>
      </c>
      <c r="G95" s="83" t="str">
        <f>IF($B95=0,"No games",IF(AND($B95&gt;='Guide &amp; Settings'!$C$45,$C95&gt;='Guide &amp; Settings'!$C$46),"Eligible","Provisional"))</f>
        <v>Eligible</v>
      </c>
      <c r="S95" s="89">
        <f ca="1">IF($G95="Eligible",IF(IFERROR(INDEX(Calcs!$T$7:$T$20,MATCH($A95,Calcs!$A$7:$A$20,0)),"")="Inactive",-1,$F95),-1)</f>
        <v>1196.1680814643371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879.51759653351382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973.73504678032145</v>
      </c>
      <c r="H107" s="88">
        <f>IFERROR(LOOKUP(2,1/(('Match Log'!$D$4:$D$1510=H$105)*('Match Log'!$C$4:$C$1510=$A107)),'Match Log'!$AB$4:$AB$1510),"")</f>
        <v>989.73668858730241</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1010.2362294568643</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1016.8703665756711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972.65946434071009</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172</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6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50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6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172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328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1274</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50 behind</v>
      </c>
      <c r="E18" s="105"/>
      <c r="F18" s="27"/>
    </row>
    <row r="19" spans="1:6" ht="15" customHeight="1" x14ac:dyDescent="0.2">
      <c r="A19" s="110">
        <v>3</v>
      </c>
      <c r="B19" s="62" t="str">
        <f ca="1">Dashboard!$B$7</f>
        <v>Shawn</v>
      </c>
      <c r="C19" s="144">
        <f ca="1">ROUND(Dashboard!$C$7,0)</f>
        <v>1196</v>
      </c>
      <c r="D19" s="111" t="str">
        <f ca="1">ROUND(Dashboard!$C$5-Dashboard!$C$7,0)&amp;" behind"</f>
        <v>78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W</v>
      </c>
      <c r="G45" s="113" t="str">
        <f>IFERROR(IF(INDEX('Match Log'!$E$1:$E$1510,_xlfn.AGGREGATE(14,6,ROW('Match Log'!$A$4:$A$1510)/('Match Log'!$D$4:$D$1510=$A45),5))="Win","W","L"),"")</f>
        <v>W</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L</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W</v>
      </c>
      <c r="F46" s="113" t="str">
        <f>IFERROR(IF(INDEX('Match Log'!$E$1:$E$1510,_xlfn.AGGREGATE(14,6,ROW('Match Log'!$A$4:$A$1510)/('Match Log'!$D$4:$D$1510=$A46),6))="Win","W","L"),"")</f>
        <v>W</v>
      </c>
      <c r="G46" s="113" t="str">
        <f>IFERROR(IF(INDEX('Match Log'!$E$1:$E$1510,_xlfn.AGGREGATE(14,6,ROW('Match Log'!$A$4:$A$1510)/('Match Log'!$D$4:$D$1510=$A46),5))="Win","W","L"),"")</f>
        <v>W</v>
      </c>
      <c r="H46" s="113" t="str">
        <f>IFERROR(IF(INDEX('Match Log'!$E$1:$E$1510,_xlfn.AGGREGATE(14,6,ROW('Match Log'!$A$4:$A$1510)/('Match Log'!$D$4:$D$1510=$A46),4))="Win","W","L"),"")</f>
        <v>L</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L</v>
      </c>
      <c r="H47" s="113" t="str">
        <f>IFERROR(IF(INDEX('Match Log'!$E$1:$E$1510,_xlfn.AGGREGATE(14,6,ROW('Match Log'!$A$4:$A$1510)/('Match Log'!$D$4:$D$1510=$A47),4))="Win","W","L"),"")</f>
        <v>L</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W</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0.6</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0.27272727272727271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0.2857142857142857</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0.41666666666666669</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0.42857142857142855</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46313</v>
      </c>
    </row>
    <row r="4" spans="1:41" ht="15" customHeight="1" x14ac:dyDescent="0.2">
      <c r="A4" t="s">
        <v>416</v>
      </c>
      <c r="B4" s="138">
        <f>MAX('Match Log'!$B$4:$B$1510)</f>
        <v>46320</v>
      </c>
      <c r="C4" t="s">
        <v>417</v>
      </c>
      <c r="D4" s="138">
        <f ca="1">MAX($B$4,TODAY())</f>
        <v>46320</v>
      </c>
    </row>
    <row r="5" spans="1:41" x14ac:dyDescent="0.2">
      <c r="B5" s="137">
        <f ca="1">TODAY()-7</f>
        <v>46313</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1146.685510610808</v>
      </c>
      <c r="D7">
        <f t="shared" ref="D7:D20" si="0">RANK($B7,$B$7:$B$20)</f>
        <v>2</v>
      </c>
      <c r="E7">
        <f t="shared" ref="E7:E20" si="1">MAX($B$7:$B$20)-$B7</f>
        <v>7.644661049557044</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1188.5766163390554</v>
      </c>
      <c r="K7">
        <f t="shared" ref="K7:K20" ca="1" si="4">RANK($J7,$J$7:$J$20)</f>
        <v>4</v>
      </c>
      <c r="L7">
        <f t="shared" ref="L7:L20" ca="1" si="5">$K7-RANK($AI7,$AI$7:$AI$20)</f>
        <v>2</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0.14285714285714285</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86.671377652702006</v>
      </c>
      <c r="AB7">
        <f t="shared" ref="AB7:AB20" ca="1" si="14">0.35*$W7+0.2*$X7+0.2*$Y7+0.15*$Z7+0.1*$AA7</f>
        <v>79.028839892929781</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1103.5259077246819</v>
      </c>
      <c r="D8">
        <f t="shared" si="0"/>
        <v>9</v>
      </c>
      <c r="E8">
        <f t="shared" si="1"/>
        <v>222.41824046115153</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889.51759733351378</v>
      </c>
      <c r="K8">
        <f t="shared" ca="1" si="4"/>
        <v>12</v>
      </c>
      <c r="L8">
        <f t="shared" ca="1" si="5"/>
        <v>0</v>
      </c>
      <c r="M8">
        <f t="shared" si="6"/>
        <v>0</v>
      </c>
      <c r="N8">
        <f t="shared" si="7"/>
        <v>2</v>
      </c>
      <c r="O8">
        <f t="shared" si="8"/>
        <v>0</v>
      </c>
      <c r="P8">
        <f>IFERROR(SUMPRODUCT(MAX(('Match Log'!$D$4:$D$1510=$A8)*'Match Log'!$B$4:$B$1510)),0)</f>
        <v>46188</v>
      </c>
      <c r="Q8">
        <f t="shared" ca="1" si="9"/>
        <v>18.857142857142858</v>
      </c>
      <c r="R8">
        <f ca="1">IF($P8=0,0,IF($Q8&gt;='Guide &amp; Settings'!$C$48,(INT($Q8-'Guide &amp; Settings'!$C$48)+1)*'Guide &amp; Settings'!$C$49,0))</f>
        <v>150</v>
      </c>
      <c r="S8">
        <f ca="1">$B8-$R8-$U8+SUMIF('Poker Stake Ledger'!$C$18:$C$137,$A8,'Poker Stake Ledger'!$K$18:$K$137)</f>
        <v>879.51759653351382</v>
      </c>
      <c r="T8" t="str">
        <f ca="1">IF($P8=0,"No games",IF($Q8&gt;='Guide &amp; Settings'!$C$48,"Inactive",IF($Q8&gt;='Guide &amp; Settings'!$C$47,"At risk","Active")))</f>
        <v>Inactive</v>
      </c>
      <c r="U8">
        <f>SUMIF('Match Log'!$D$4:$D$1510,$A8,'Match Log'!$AC$4:$AC$1510)</f>
        <v>0</v>
      </c>
      <c r="V8">
        <f t="shared" si="10"/>
        <v>2</v>
      </c>
      <c r="W8">
        <f t="shared" ca="1" si="11"/>
        <v>19.879399133378456</v>
      </c>
      <c r="X8">
        <f ca="1">IFERROR(INDEX(Dashboard!$G$5:$G$18,MATCH($A8,Dashboard!$B$5:$B$18,0))*100,0)</f>
        <v>50</v>
      </c>
      <c r="Y8">
        <f ca="1">MIN(100,IFERROR(INDEX(Dashboard!$K$5:$K$18,MATCH($A8,Dashboard!$B$5:$B$18,0)),0)/5*50+$AC8/4*50)</f>
        <v>42.5</v>
      </c>
      <c r="Z8">
        <f t="shared" si="12"/>
        <v>40</v>
      </c>
      <c r="AA8">
        <f t="shared" si="13"/>
        <v>75.881476931170482</v>
      </c>
      <c r="AB8">
        <f t="shared" ca="1" si="14"/>
        <v>39.045937389799512</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879.51759733351378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140</v>
      </c>
    </row>
    <row r="9" spans="1:41" ht="15" customHeight="1" x14ac:dyDescent="0.2">
      <c r="A9" t="s">
        <v>17</v>
      </c>
      <c r="B9">
        <f>IFERROR(INDEX(Engine!$B$2:$B$15,MATCH($A9,Engine!$A$2:$A$15,0)),1000)</f>
        <v>1048.0761030598392</v>
      </c>
      <c r="C9">
        <f>IFERROR(INDEX(Engine!$C$2:$C$15,MATCH($A9,Engine!$A$2:$A$15,0)),"")</f>
        <v>1154.022084283099</v>
      </c>
      <c r="D9">
        <f t="shared" si="0"/>
        <v>8</v>
      </c>
      <c r="E9">
        <f t="shared" si="1"/>
        <v>203.85973393482618</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3.2857142857142856</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88.505521070774762</v>
      </c>
      <c r="AB9">
        <f t="shared" ca="1" si="14"/>
        <v>59.633298081335141</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1170.4226955003128</v>
      </c>
      <c r="D10">
        <f t="shared" si="0"/>
        <v>13</v>
      </c>
      <c r="E10">
        <f t="shared" si="1"/>
        <v>344.90450055349106</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9.1428571428571423</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92.605673875078196</v>
      </c>
      <c r="AB10">
        <f t="shared" ca="1" si="14"/>
        <v>27.973635413067093</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1251.9358369946654</v>
      </c>
      <c r="C11">
        <f>IFERROR(INDEX(Engine!$C$2:$C$15,MATCH($A11,Engine!$A$2:$A$15,0)),"")</f>
        <v>1132.6146517494653</v>
      </c>
      <c r="D11">
        <f t="shared" si="0"/>
        <v>1</v>
      </c>
      <c r="E11">
        <f t="shared" si="1"/>
        <v>0</v>
      </c>
      <c r="F11" t="str">
        <f>IFERROR(LOOKUP(2,1/('Match Log'!$D$4:$D$1510=$A11),'Match Log'!$E$4:$E$1510),"")</f>
        <v>Win</v>
      </c>
      <c r="G11">
        <f>IF($F11="",0,SUMPRODUCT(('Match Log'!$D$4:$D$1510=$A11)*(ROW('Match Log'!$A$4:$A$1510)&gt;SUMPRODUCT(MAX(('Match Log'!$D$4:$D$1510=$A11)*('Match Log'!$E$4:$E$1510&lt;&gt;$F11)*ROW('Match Log'!$A$4:$A$1510))))))</f>
        <v>6</v>
      </c>
      <c r="H11" t="str">
        <f t="shared" si="2"/>
        <v>W6</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1273.6858380946653</v>
      </c>
      <c r="K11">
        <f t="shared" ca="1" si="4"/>
        <v>1</v>
      </c>
      <c r="L11">
        <f t="shared" ca="1" si="5"/>
        <v>0</v>
      </c>
      <c r="M11">
        <f t="shared" si="6"/>
        <v>2</v>
      </c>
      <c r="N11">
        <f t="shared" si="7"/>
        <v>5</v>
      </c>
      <c r="O11">
        <f t="shared" si="8"/>
        <v>6</v>
      </c>
      <c r="P11">
        <f>IFERROR(SUMPRODUCT(MAX(('Match Log'!$D$4:$D$1510=$A11)*'Match Log'!$B$4:$B$1510)),0)</f>
        <v>46303</v>
      </c>
      <c r="Q11">
        <f t="shared" ca="1" si="9"/>
        <v>2.4285714285714284</v>
      </c>
      <c r="R11">
        <f ca="1">IF($P11=0,0,IF($Q11&gt;='Guide &amp; Settings'!$C$48,(INT($Q11-'Guide &amp; Settings'!$C$48)+1)*'Guide &amp; Settings'!$C$49,0))</f>
        <v>0</v>
      </c>
      <c r="S11">
        <f ca="1">$B11-$R11-$U11+SUMIF('Poker Stake Ledger'!$C$18:$C$137,$A11,'Poker Stake Ledger'!$K$18:$K$137)</f>
        <v>1273.6858369946654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61.53846153846154</v>
      </c>
      <c r="Y11">
        <f ca="1">MIN(100,IFERROR(INDEX(Dashboard!$K$5:$K$18,MATCH($A11,Dashboard!$B$5:$B$18,0)),0)/5*50+$AC11/4*50)</f>
        <v>100</v>
      </c>
      <c r="Z11">
        <f t="shared" si="12"/>
        <v>100</v>
      </c>
      <c r="AA11">
        <f t="shared" si="13"/>
        <v>83.153662937366335</v>
      </c>
      <c r="AB11">
        <f t="shared" ca="1" si="14"/>
        <v>90.623058601428937</v>
      </c>
      <c r="AC11">
        <f>IFERROR(SUMPRODUCT((INDEX('Sport Records'!$B$8:$O$32,0,MATCH($A11,'Sport Records'!$B$7:$O$7,0))&gt;=2)*(INDEX('Sport Records'!$B$62:$O$86,0,MATCH($A11,'Sport Records'!$B$61:$O$61,0))&gt;=0.5)),0)</f>
        <v>9</v>
      </c>
      <c r="AD11">
        <f ca="1">IFERROR(INDEX(Dashboard!$D$5:$D$18,MATCH($A11,Dashboard!$B$5:$B$18,0)),0)</f>
        <v>65</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1273.6858380946653</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1199.9180814643371</v>
      </c>
      <c r="C12">
        <f>IFERROR(INDEX(Engine!$C$2:$C$15,MATCH($A12,Engine!$A$2:$A$15,0)),"")</f>
        <v>1147.9566464464178</v>
      </c>
      <c r="D12">
        <f t="shared" si="0"/>
        <v>5</v>
      </c>
      <c r="E12">
        <f t="shared" si="1"/>
        <v>52.017755530328259</v>
      </c>
      <c r="F12" t="str">
        <f>IFERROR(LOOKUP(2,1/('Match Log'!$D$4:$D$1510=$A12),'Match Log'!$E$4:$E$1510),"")</f>
        <v>Loss</v>
      </c>
      <c r="G12">
        <f>IF($F12="",0,SUMPRODUCT(('Match Log'!$D$4:$D$1510=$A12)*(ROW('Match Log'!$A$4:$A$1510)&gt;SUMPRODUCT(MAX(('Match Log'!$D$4:$D$1510=$A12)*('Match Log'!$E$4:$E$1510&lt;&gt;$F12)*ROW('Match Log'!$A$4:$A$1510))))))</f>
        <v>2</v>
      </c>
      <c r="H12" t="str">
        <f t="shared" si="2"/>
        <v>L2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WLWLL</v>
      </c>
      <c r="J12">
        <f t="shared" ca="1" si="3"/>
        <v>1236.847271277964</v>
      </c>
      <c r="K12">
        <f t="shared" ca="1" si="4"/>
        <v>2</v>
      </c>
      <c r="L12">
        <f t="shared" ca="1" si="5"/>
        <v>-1</v>
      </c>
      <c r="M12">
        <f t="shared" si="6"/>
        <v>7</v>
      </c>
      <c r="N12">
        <f t="shared" si="7"/>
        <v>2</v>
      </c>
      <c r="O12">
        <f t="shared" si="8"/>
        <v>0</v>
      </c>
      <c r="P12">
        <f>IFERROR(SUMPRODUCT(MAX(('Match Log'!$D$4:$D$1510=$A12)*'Match Log'!$B$4:$B$1510)),0)</f>
        <v>46320</v>
      </c>
      <c r="Q12">
        <f t="shared" ca="1" si="9"/>
        <v>0</v>
      </c>
      <c r="R12">
        <f ca="1">IF($P12=0,0,IF($Q12&gt;='Guide &amp; Settings'!$C$48,(INT($Q12-'Guide &amp; Settings'!$C$48)+1)*'Guide &amp; Settings'!$C$49,0))</f>
        <v>0</v>
      </c>
      <c r="S12">
        <f ca="1">$B12-$R12-$U12+SUMIF('Poker Stake Ledger'!$C$18:$C$137,$A12,'Poker Stake Ledger'!$K$18:$K$137)</f>
        <v>1196.1680814643371</v>
      </c>
      <c r="T12" t="str">
        <f ca="1">IF($P12=0,"No games",IF($Q12&gt;='Guide &amp; Settings'!$C$48,"Inactive",IF($Q12&gt;='Guide &amp; Settings'!$C$47,"At risk","Active")))</f>
        <v>Active</v>
      </c>
      <c r="U12">
        <f>SUMIF('Match Log'!$D$4:$D$1510,$A12,'Match Log'!$AC$4:$AC$1510)</f>
        <v>0</v>
      </c>
      <c r="V12">
        <f t="shared" si="10"/>
        <v>2</v>
      </c>
      <c r="W12">
        <f t="shared" ca="1" si="11"/>
        <v>99.042020366084273</v>
      </c>
      <c r="X12">
        <f ca="1">IFERROR(INDEX(Dashboard!$G$5:$G$18,MATCH($A12,Dashboard!$B$5:$B$18,0))*100,0)</f>
        <v>46.511627906976742</v>
      </c>
      <c r="Y12">
        <f ca="1">MIN(100,IFERROR(INDEX(Dashboard!$K$5:$K$18,MATCH($A12,Dashboard!$B$5:$B$18,0)),0)/5*50+$AC12/4*50)</f>
        <v>100</v>
      </c>
      <c r="Z12">
        <f t="shared" si="12"/>
        <v>40</v>
      </c>
      <c r="AA12">
        <f t="shared" si="13"/>
        <v>86.989161611604459</v>
      </c>
      <c r="AB12">
        <f t="shared" ca="1" si="14"/>
        <v>78.665948870685284</v>
      </c>
      <c r="AC12">
        <f>IFERROR(SUMPRODUCT((INDEX('Sport Records'!$B$8:$O$32,0,MATCH($A12,'Sport Records'!$B$7:$O$7,0))&gt;=2)*(INDEX('Sport Records'!$B$62:$O$86,0,MATCH($A12,'Sport Records'!$B$61:$O$61,0))&gt;=0.5)),0)</f>
        <v>5</v>
      </c>
      <c r="AD12">
        <f ca="1">IFERROR(INDEX(Dashboard!$D$5:$D$18,MATCH($A12,Dashboard!$B$5:$B$18,0)),0)</f>
        <v>172</v>
      </c>
      <c r="AE12">
        <f ca="1">IFERROR(INDEX(Dashboard!$K$5:$K$18,MATCH($A12,Dashboard!$B$5:$B$18,0)),0)</f>
        <v>19</v>
      </c>
      <c r="AF12" t="str">
        <f t="shared" ca="1" si="15"/>
        <v>Elite</v>
      </c>
      <c r="AG12">
        <f ca="1">COUNTIFS('Match Log'!$D$4:$D$1510,$A12,'Match Log'!$B$4:$B$1510,"&gt;="&amp;$B$5)</f>
        <v>2</v>
      </c>
      <c r="AH12">
        <f ca="1">COUNTIFS('Match Log'!$D$4:$D$1510,$A12,'Match Log'!$B$4:$B$1510,"&gt;="&amp;$B$5,'Match Log'!$E$4:$E$1510,"Win")</f>
        <v>0</v>
      </c>
      <c r="AI12">
        <f t="shared" ca="1" si="16"/>
        <v>1196.1680826643371</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1210.5445492849278</v>
      </c>
      <c r="C13">
        <f>IFERROR(INDEX(Engine!$C$2:$C$15,MATCH($A13,Engine!$A$2:$A$15,0)),"")</f>
        <v>1094.3151934324785</v>
      </c>
      <c r="D13">
        <f t="shared" si="0"/>
        <v>4</v>
      </c>
      <c r="E13">
        <f t="shared" si="1"/>
        <v>41.391287709737526</v>
      </c>
      <c r="F13" t="str">
        <f>IFERROR(LOOKUP(2,1/('Match Log'!$D$4:$D$1510=$A13),'Match Log'!$E$4:$E$1510),"")</f>
        <v>Win</v>
      </c>
      <c r="G13">
        <f>IF($F13="",0,SUMPRODUCT(('Match Log'!$D$4:$D$1510=$A13)*(ROW('Match Log'!$A$4:$A$1510)&gt;SUMPRODUCT(MAX(('Match Log'!$D$4:$D$1510=$A13)*('Match Log'!$E$4:$E$1510&lt;&gt;$F13)*ROW('Match Log'!$A$4:$A$1510))))))</f>
        <v>1</v>
      </c>
      <c r="H13" t="str">
        <f t="shared" si="2"/>
        <v>W1</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WLWLW</v>
      </c>
      <c r="J13">
        <f t="shared" ca="1" si="3"/>
        <v>1180.4461829871429</v>
      </c>
      <c r="K13">
        <f t="shared" ca="1" si="4"/>
        <v>6</v>
      </c>
      <c r="L13">
        <f t="shared" ca="1" si="5"/>
        <v>1</v>
      </c>
      <c r="M13">
        <f t="shared" si="6"/>
        <v>4</v>
      </c>
      <c r="N13">
        <f t="shared" si="7"/>
        <v>3</v>
      </c>
      <c r="O13">
        <f t="shared" si="8"/>
        <v>1</v>
      </c>
      <c r="P13">
        <f>IFERROR(SUMPRODUCT(MAX(('Match Log'!$D$4:$D$1510=$A13)*'Match Log'!$B$4:$B$1510)),0)</f>
        <v>46319</v>
      </c>
      <c r="Q13">
        <f t="shared" ca="1" si="9"/>
        <v>0.14285714285714285</v>
      </c>
      <c r="R13">
        <f ca="1">IF($P13=0,0,IF($Q13&gt;='Guide &amp; Settings'!$C$48,(INT($Q13-'Guide &amp; Settings'!$C$48)+1)*'Guide &amp; Settings'!$C$49,0))</f>
        <v>0</v>
      </c>
      <c r="S13">
        <f ca="1">$B13-$R13-$U13+SUMIF('Poker Stake Ledger'!$C$18:$C$137,$A13,'Poker Stake Ledger'!$K$18:$K$137)</f>
        <v>1174.9945492849279</v>
      </c>
      <c r="T13" t="str">
        <f ca="1">IF($P13=0,"No games",IF($Q13&gt;='Guide &amp; Settings'!$C$48,"Inactive",IF($Q13&gt;='Guide &amp; Settings'!$C$47,"At risk","Active")))</f>
        <v>Active</v>
      </c>
      <c r="U13">
        <f>SUMIF('Match Log'!$D$4:$D$1510,$A13,'Match Log'!$AC$4:$AC$1510)</f>
        <v>30</v>
      </c>
      <c r="V13">
        <f t="shared" si="10"/>
        <v>0</v>
      </c>
      <c r="W13">
        <f t="shared" ca="1" si="11"/>
        <v>93.748637321231968</v>
      </c>
      <c r="X13">
        <f ca="1">IFERROR(INDEX(Dashboard!$G$5:$G$18,MATCH($A13,Dashboard!$B$5:$B$18,0))*100,0)</f>
        <v>52.272727272727273</v>
      </c>
      <c r="Y13">
        <f ca="1">MIN(100,IFERROR(INDEX(Dashboard!$K$5:$K$18,MATCH($A13,Dashboard!$B$5:$B$18,0)),0)/5*50+$AC13/4*50)</f>
        <v>100</v>
      </c>
      <c r="Z13">
        <f t="shared" si="12"/>
        <v>60</v>
      </c>
      <c r="AA13">
        <f t="shared" si="13"/>
        <v>73.578798358119627</v>
      </c>
      <c r="AB13">
        <f t="shared" ca="1" si="14"/>
        <v>79.62444835278859</v>
      </c>
      <c r="AC13">
        <f>IFERROR(SUMPRODUCT((INDEX('Sport Records'!$B$8:$O$32,0,MATCH($A13,'Sport Records'!$B$7:$O$7,0))&gt;=2)*(INDEX('Sport Records'!$B$62:$O$86,0,MATCH($A13,'Sport Records'!$B$61:$O$61,0))&gt;=0.5)),0)</f>
        <v>5</v>
      </c>
      <c r="AD13">
        <f ca="1">IFERROR(INDEX(Dashboard!$D$5:$D$18,MATCH($A13,Dashboard!$B$5:$B$18,0)),0)</f>
        <v>44</v>
      </c>
      <c r="AE13">
        <f ca="1">IFERROR(INDEX(Dashboard!$K$5:$K$18,MATCH($A13,Dashboard!$B$5:$B$18,0)),0)</f>
        <v>12</v>
      </c>
      <c r="AF13" t="str">
        <f t="shared" ca="1" si="15"/>
        <v>Elite</v>
      </c>
      <c r="AG13">
        <f ca="1">COUNTIFS('Match Log'!$D$4:$D$1510,$A13,'Match Log'!$B$4:$B$1510,"&gt;="&amp;$B$5)</f>
        <v>4</v>
      </c>
      <c r="AH13">
        <f ca="1">COUNTIFS('Match Log'!$D$4:$D$1510,$A13,'Match Log'!$B$4:$B$1510,"&gt;="&amp;$B$5,'Match Log'!$E$4:$E$1510,"Win")</f>
        <v>2</v>
      </c>
      <c r="AI13">
        <f t="shared" ca="1" si="16"/>
        <v>1174.9945505849278</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30</v>
      </c>
    </row>
    <row r="14" spans="1:41" ht="15" customHeight="1" x14ac:dyDescent="0.2">
      <c r="A14" t="s">
        <v>22</v>
      </c>
      <c r="B14">
        <f>IFERROR(INDEX(Engine!$B$2:$B$15,MATCH($A14,Engine!$A$2:$A$15,0)),1000)</f>
        <v>1156.2993424480139</v>
      </c>
      <c r="C14">
        <f>IFERROR(INDEX(Engine!$C$2:$C$15,MATCH($A14,Engine!$A$2:$A$15,0)),"")</f>
        <v>1173.3851203906686</v>
      </c>
      <c r="D14">
        <f t="shared" si="0"/>
        <v>6</v>
      </c>
      <c r="E14">
        <f t="shared" si="1"/>
        <v>95.63649454665142</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LLWLL</v>
      </c>
      <c r="J14">
        <f t="shared" ca="1" si="3"/>
        <v>1189.5639041540671</v>
      </c>
      <c r="K14">
        <f t="shared" ca="1" si="4"/>
        <v>3</v>
      </c>
      <c r="L14">
        <f t="shared" ca="1" si="5"/>
        <v>-3</v>
      </c>
      <c r="M14">
        <f t="shared" si="6"/>
        <v>10</v>
      </c>
      <c r="N14">
        <f t="shared" si="7"/>
        <v>1</v>
      </c>
      <c r="O14">
        <f t="shared" si="8"/>
        <v>0</v>
      </c>
      <c r="P14">
        <f>IFERROR(SUMPRODUCT(MAX(('Match Log'!$D$4:$D$1510=$A14)*'Match Log'!$B$4:$B$1510)),0)</f>
        <v>46319</v>
      </c>
      <c r="Q14">
        <f t="shared" ca="1" si="9"/>
        <v>0.14285714285714285</v>
      </c>
      <c r="R14">
        <f ca="1">IF($P14=0,0,IF($Q14&gt;='Guide &amp; Settings'!$C$48,(INT($Q14-'Guide &amp; Settings'!$C$48)+1)*'Guide &amp; Settings'!$C$49,0))</f>
        <v>0</v>
      </c>
      <c r="S14">
        <f ca="1">$B14-$R14-$U14+SUMIF('Poker Stake Ledger'!$C$18:$C$137,$A14,'Poker Stake Ledger'!$K$18:$K$137)</f>
        <v>1154.949342448014</v>
      </c>
      <c r="T14" t="str">
        <f ca="1">IF($P14=0,"No games",IF($Q14&gt;='Guide &amp; Settings'!$C$48,"Inactive",IF($Q14&gt;='Guide &amp; Settings'!$C$47,"At risk","Active")))</f>
        <v>Active</v>
      </c>
      <c r="U14">
        <f>SUMIF('Match Log'!$D$4:$D$1510,$A14,'Match Log'!$AC$4:$AC$1510)</f>
        <v>0</v>
      </c>
      <c r="V14">
        <f t="shared" si="10"/>
        <v>2</v>
      </c>
      <c r="W14">
        <f t="shared" ca="1" si="11"/>
        <v>88.737335612003506</v>
      </c>
      <c r="X14">
        <f ca="1">IFERROR(INDEX(Dashboard!$G$5:$G$18,MATCH($A14,Dashboard!$B$5:$B$18,0))*100,0)</f>
        <v>42.592592592592595</v>
      </c>
      <c r="Y14">
        <f ca="1">MIN(100,IFERROR(INDEX(Dashboard!$K$5:$K$18,MATCH($A14,Dashboard!$B$5:$B$18,0)),0)/5*50+$AC14/4*50)</f>
        <v>100</v>
      </c>
      <c r="Z14">
        <f t="shared" si="12"/>
        <v>20</v>
      </c>
      <c r="AA14">
        <f t="shared" si="13"/>
        <v>93.346280097667147</v>
      </c>
      <c r="AB14">
        <f t="shared" ca="1" si="14"/>
        <v>71.911213992486466</v>
      </c>
      <c r="AC14">
        <f>IFERROR(SUMPRODUCT((INDEX('Sport Records'!$B$8:$O$32,0,MATCH($A14,'Sport Records'!$B$7:$O$7,0))&gt;=2)*(INDEX('Sport Records'!$B$62:$O$86,0,MATCH($A14,'Sport Records'!$B$61:$O$61,0))&gt;=0.5)),0)</f>
        <v>5</v>
      </c>
      <c r="AD14">
        <f ca="1">IFERROR(INDEX(Dashboard!$D$5:$D$18,MATCH($A14,Dashboard!$B$5:$B$18,0)),0)</f>
        <v>162</v>
      </c>
      <c r="AE14">
        <f ca="1">IFERROR(INDEX(Dashboard!$K$5:$K$18,MATCH($A14,Dashboard!$B$5:$B$18,0)),0)</f>
        <v>20</v>
      </c>
      <c r="AF14" t="str">
        <f t="shared" ca="1" si="15"/>
        <v>Strong</v>
      </c>
      <c r="AG14">
        <f ca="1">COUNTIFS('Match Log'!$D$4:$D$1510,$A14,'Match Log'!$B$4:$B$1510,"&gt;="&amp;$B$5)</f>
        <v>3</v>
      </c>
      <c r="AH14">
        <f ca="1">COUNTIFS('Match Log'!$D$4:$D$1510,$A14,'Match Log'!$B$4:$B$1510,"&gt;="&amp;$B$5,'Match Log'!$E$4:$E$1510,"Win")</f>
        <v>1</v>
      </c>
      <c r="AI14">
        <f t="shared" ca="1" si="16"/>
        <v>1154.949343848014</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1134.4310446977699</v>
      </c>
      <c r="D15">
        <f t="shared" si="0"/>
        <v>3</v>
      </c>
      <c r="E15">
        <f t="shared" si="1"/>
        <v>34.034295267717198</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4.2857142857142856</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83.607761174442487</v>
      </c>
      <c r="AB15">
        <f t="shared" ca="1" si="14"/>
        <v>82.33192292331411</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1133.8532772743704</v>
      </c>
      <c r="D16">
        <f t="shared" si="0"/>
        <v>14</v>
      </c>
      <c r="E16">
        <f t="shared" si="1"/>
        <v>389.71289325789041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83.463319318592596</v>
      </c>
      <c r="AB16">
        <f t="shared" ca="1" si="14"/>
        <v>17.012998598525925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1004.2053573760541</v>
      </c>
      <c r="C17">
        <f>IFERROR(INDEX(Engine!$C$2:$C$15,MATCH($A17,Engine!$A$2:$A$15,0)),"")</f>
        <v>1173.8979302852865</v>
      </c>
      <c r="D17">
        <f t="shared" si="0"/>
        <v>11</v>
      </c>
      <c r="E17">
        <f t="shared" si="1"/>
        <v>247.7304796186113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WLWLW</v>
      </c>
      <c r="J17">
        <f t="shared" ca="1" si="3"/>
        <v>949.07453806021215</v>
      </c>
      <c r="K17">
        <f t="shared" ca="1" si="4"/>
        <v>11</v>
      </c>
      <c r="L17">
        <f t="shared" ca="1" si="5"/>
        <v>2</v>
      </c>
      <c r="M17">
        <f t="shared" si="6"/>
        <v>5</v>
      </c>
      <c r="N17">
        <f t="shared" si="7"/>
        <v>3</v>
      </c>
      <c r="O17">
        <f t="shared" si="8"/>
        <v>1</v>
      </c>
      <c r="P17">
        <f>IFERROR(SUMPRODUCT(MAX(('Match Log'!$D$4:$D$1510=$A17)*'Match Log'!$B$4:$B$1510)),0)</f>
        <v>46320</v>
      </c>
      <c r="Q17">
        <f t="shared" ca="1" si="9"/>
        <v>0</v>
      </c>
      <c r="R17">
        <f ca="1">IF($P17=0,0,IF($Q17&gt;='Guide &amp; Settings'!$C$48,(INT($Q17-'Guide &amp; Settings'!$C$48)+1)*'Guide &amp; Settings'!$C$49,0))</f>
        <v>0</v>
      </c>
      <c r="S17">
        <f ca="1">$B17-$R17-$U17+SUMIF('Poker Stake Ledger'!$C$18:$C$137,$A17,'Poker Stake Ledger'!$K$18:$K$137)</f>
        <v>1004.2053573760541</v>
      </c>
      <c r="T17" t="str">
        <f ca="1">IF($P17=0,"No games",IF($Q17&gt;='Guide &amp; Settings'!$C$48,"Inactive",IF($Q17&gt;='Guide &amp; Settings'!$C$47,"At risk","Active")))</f>
        <v>Active</v>
      </c>
      <c r="U17">
        <f>SUMIF('Match Log'!$D$4:$D$1510,$A17,'Match Log'!$AC$4:$AC$1510)</f>
        <v>0</v>
      </c>
      <c r="V17">
        <f t="shared" si="10"/>
        <v>0</v>
      </c>
      <c r="W17">
        <f t="shared" ca="1" si="11"/>
        <v>51.051339344013513</v>
      </c>
      <c r="X17">
        <f ca="1">IFERROR(INDEX(Dashboard!$G$5:$G$18,MATCH($A17,Dashboard!$B$5:$B$18,0))*100,0)</f>
        <v>36.666666666666664</v>
      </c>
      <c r="Y17">
        <f ca="1">MIN(100,IFERROR(INDEX(Dashboard!$K$5:$K$18,MATCH($A17,Dashboard!$B$5:$B$18,0)),0)/5*50+$AC17/4*50)</f>
        <v>100</v>
      </c>
      <c r="Z17">
        <f t="shared" si="12"/>
        <v>60</v>
      </c>
      <c r="AA17">
        <f t="shared" si="13"/>
        <v>93.47448257132163</v>
      </c>
      <c r="AB17">
        <f t="shared" ca="1" si="14"/>
        <v>63.548750360870223</v>
      </c>
      <c r="AC17">
        <f>IFERROR(SUMPRODUCT((INDEX('Sport Records'!$B$8:$O$32,0,MATCH($A17,'Sport Records'!$B$7:$O$7,0))&gt;=2)*(INDEX('Sport Records'!$B$62:$O$86,0,MATCH($A17,'Sport Records'!$B$61:$O$61,0))&gt;=0.5)),0)</f>
        <v>3</v>
      </c>
      <c r="AD17">
        <f ca="1">IFERROR(INDEX(Dashboard!$D$5:$D$18,MATCH($A17,Dashboard!$B$5:$B$18,0)),0)</f>
        <v>90</v>
      </c>
      <c r="AE17">
        <f ca="1">IFERROR(INDEX(Dashboard!$K$5:$K$18,MATCH($A17,Dashboard!$B$5:$B$18,0)),0)</f>
        <v>14</v>
      </c>
      <c r="AF17" t="str">
        <f t="shared" ca="1" si="15"/>
        <v>Strong</v>
      </c>
      <c r="AG17">
        <f ca="1">COUNTIFS('Match Log'!$D$4:$D$1510,$A17,'Match Log'!$B$4:$B$1510,"&gt;="&amp;$B$5)</f>
        <v>5</v>
      </c>
      <c r="AH17">
        <f ca="1">COUNTIFS('Match Log'!$D$4:$D$1510,$A17,'Match Log'!$B$4:$B$1510,"&gt;="&amp;$B$5,'Match Log'!$E$4:$E$1510,"Win")</f>
        <v>3</v>
      </c>
      <c r="AI17">
        <f t="shared" ca="1" si="16"/>
        <v>1004.205359076054</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1065.4085288890217</v>
      </c>
      <c r="D18">
        <f t="shared" si="0"/>
        <v>7</v>
      </c>
      <c r="E18">
        <f t="shared" si="1"/>
        <v>164.38694228817985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10.142857142857142</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66.35213222225542</v>
      </c>
      <c r="AB18">
        <f t="shared" ca="1" si="14"/>
        <v>57.004074842376362</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1114.8130906468098</v>
      </c>
      <c r="D19">
        <f t="shared" si="0"/>
        <v>10</v>
      </c>
      <c r="E19">
        <f t="shared" si="1"/>
        <v>241.42859671250858</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3.1428571428571428</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78.703272661702442</v>
      </c>
      <c r="AB19">
        <f t="shared" ca="1" si="14"/>
        <v>44.848534320270723</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251.93583699466535</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1146.685510610808</v>
      </c>
      <c r="D2">
        <f>$B$2</f>
        <v>1244.2911759451083</v>
      </c>
      <c r="E2">
        <f>$B$3</f>
        <v>1029.5175965335138</v>
      </c>
      <c r="F2">
        <f>$B$4</f>
        <v>1048.0761030598392</v>
      </c>
      <c r="G2">
        <f>$B$5</f>
        <v>907.03133644117429</v>
      </c>
      <c r="H2">
        <f>$B$6</f>
        <v>1251.9358369946654</v>
      </c>
      <c r="I2">
        <f>$B$7</f>
        <v>1199.9180814643371</v>
      </c>
      <c r="J2">
        <f>$B$8</f>
        <v>1210.5445492849278</v>
      </c>
      <c r="K2">
        <f>$B$9</f>
        <v>1156.2993424480139</v>
      </c>
      <c r="L2">
        <f>$B$10</f>
        <v>1217.9015417269482</v>
      </c>
      <c r="M2">
        <f>$B$11</f>
        <v>862.22294373677494</v>
      </c>
      <c r="N2">
        <f>$B$12</f>
        <v>1004.2053573760541</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1103.5259077246819</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1154.022084283099</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1170.4226955003128</v>
      </c>
    </row>
    <row r="6" spans="1:17" ht="15" customHeight="1" x14ac:dyDescent="0.2">
      <c r="A6" t="s">
        <v>19</v>
      </c>
      <c r="B6">
        <f>IF(COUNTIF('Match Log'!$D$4:$D$1510,$A6)=0,'Guide &amp; Settings'!$C$41,IFERROR(LOOKUP(2,1/('Match Log'!$D$4:$D$1510=$A6),'Match Log'!$N$4:$N$1510),'Guide &amp; Settings'!$C$41))</f>
        <v>1251.9358369946654</v>
      </c>
      <c r="C6">
        <f>IFERROR(SUMPRODUCT(INDEX('Head-to-Head'!$B$22:$O$35,5,0),$D$2:$Q$2)/SUM(INDEX('Head-to-Head'!$B$22:$O$35,5,0)),"")</f>
        <v>1132.6146517494653</v>
      </c>
    </row>
    <row r="7" spans="1:17" ht="15" customHeight="1" x14ac:dyDescent="0.2">
      <c r="A7" t="s">
        <v>20</v>
      </c>
      <c r="B7">
        <f>IF(COUNTIF('Match Log'!$D$4:$D$1510,$A7)=0,'Guide &amp; Settings'!$C$41,IFERROR(LOOKUP(2,1/('Match Log'!$D$4:$D$1510=$A7),'Match Log'!$N$4:$N$1510),'Guide &amp; Settings'!$C$41))</f>
        <v>1199.9180814643371</v>
      </c>
      <c r="C7">
        <f>IFERROR(SUMPRODUCT(INDEX('Head-to-Head'!$B$22:$O$35,6,0),$D$2:$Q$2)/SUM(INDEX('Head-to-Head'!$B$22:$O$35,6,0)),"")</f>
        <v>1147.9566464464178</v>
      </c>
    </row>
    <row r="8" spans="1:17" ht="15" customHeight="1" x14ac:dyDescent="0.2">
      <c r="A8" t="s">
        <v>21</v>
      </c>
      <c r="B8">
        <f>IF(COUNTIF('Match Log'!$D$4:$D$1510,$A8)=0,'Guide &amp; Settings'!$C$41,IFERROR(LOOKUP(2,1/('Match Log'!$D$4:$D$1510=$A8),'Match Log'!$N$4:$N$1510),'Guide &amp; Settings'!$C$41))</f>
        <v>1210.5445492849278</v>
      </c>
      <c r="C8">
        <f>IFERROR(SUMPRODUCT(INDEX('Head-to-Head'!$B$22:$O$35,7,0),$D$2:$Q$2)/SUM(INDEX('Head-to-Head'!$B$22:$O$35,7,0)),"")</f>
        <v>1094.3151934324785</v>
      </c>
    </row>
    <row r="9" spans="1:17" ht="15" customHeight="1" x14ac:dyDescent="0.2">
      <c r="A9" t="s">
        <v>22</v>
      </c>
      <c r="B9">
        <f>IF(COUNTIF('Match Log'!$D$4:$D$1510,$A9)=0,'Guide &amp; Settings'!$C$41,IFERROR(LOOKUP(2,1/('Match Log'!$D$4:$D$1510=$A9),'Match Log'!$N$4:$N$1510),'Guide &amp; Settings'!$C$41))</f>
        <v>1156.2993424480139</v>
      </c>
      <c r="C9">
        <f>IFERROR(SUMPRODUCT(INDEX('Head-to-Head'!$B$22:$O$35,8,0),$D$2:$Q$2)/SUM(INDEX('Head-to-Head'!$B$22:$O$35,8,0)),"")</f>
        <v>1173.3851203906686</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1134.4310446977699</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1133.8532772743704</v>
      </c>
    </row>
    <row r="12" spans="1:17" ht="15" customHeight="1" x14ac:dyDescent="0.2">
      <c r="A12" t="s">
        <v>25</v>
      </c>
      <c r="B12">
        <f>IF(COUNTIF('Match Log'!$D$4:$D$1510,$A12)=0,'Guide &amp; Settings'!$C$41,IFERROR(LOOKUP(2,1/('Match Log'!$D$4:$D$1510=$A12),'Match Log'!$N$4:$N$1510),'Guide &amp; Settings'!$C$41))</f>
        <v>1004.2053573760541</v>
      </c>
      <c r="C12">
        <f>IFERROR(SUMPRODUCT(INDEX('Head-to-Head'!$B$22:$O$35,11,0),$D$2:$Q$2)/SUM(INDEX('Head-to-Head'!$B$22:$O$35,11,0)),"")</f>
        <v>1173.8979302852865</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1065.4085288890217</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1114.8130906468098</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2026-10-25T10:08:17Z</dcterms:modified>
  <dc:language>en-US</dc:language>
</cp:coreProperties>
</file>