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AF119C74-BA17-F145-8A7D-BFC0463DAB06}"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24" i="10" l="1"/>
  <c r="L724" i="10"/>
  <c r="S723" i="10"/>
  <c r="I723" i="10" s="1"/>
  <c r="S724" i="10"/>
  <c r="I724" i="10" s="1"/>
  <c r="K724" i="10" s="1"/>
  <c r="O723" i="10"/>
  <c r="K723" i="10"/>
  <c r="F330" i="13"/>
  <c r="E330" i="13"/>
  <c r="H330" i="13" s="1" a="1"/>
  <c r="H330" i="13" s="1"/>
  <c r="L723" i="10"/>
  <c r="O722" i="10"/>
  <c r="L722" i="10"/>
  <c r="S721" i="10"/>
  <c r="I721" i="10" s="1"/>
  <c r="S722" i="10"/>
  <c r="I722" i="10" s="1"/>
  <c r="K722" i="10" s="1"/>
  <c r="O721" i="10"/>
  <c r="K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39" i="13"/>
  <c r="Y367" i="13"/>
  <c r="Y355" i="13"/>
  <c r="Y344" i="13"/>
  <c r="Y360" i="13"/>
  <c r="Y346" i="13"/>
  <c r="Y369" i="13"/>
  <c r="Y341" i="13"/>
  <c r="Y357" i="13"/>
  <c r="Y376" i="13"/>
  <c r="Y343" i="13"/>
  <c r="Y351" i="13"/>
  <c r="Y335" i="13"/>
  <c r="Y353" i="13"/>
  <c r="Y33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G330" i="13" l="1"/>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F97" i="13"/>
  <c r="G97" i="13" s="1"/>
  <c r="I97" i="13" s="1"/>
  <c r="Y97" i="13" s="1"/>
  <c r="F105" i="13"/>
  <c r="F99" i="13"/>
  <c r="G99" i="13" s="1"/>
  <c r="I99" i="13" s="1"/>
  <c r="Y99" i="13" s="1"/>
  <c r="K363" i="10"/>
  <c r="F104" i="13"/>
  <c r="K216" i="10"/>
  <c r="K132" i="10"/>
  <c r="F95" i="13"/>
  <c r="G95" i="13" s="1"/>
  <c r="I95" i="13" s="1"/>
  <c r="Y95" i="13" s="1"/>
  <c r="F98" i="13"/>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G105" i="13"/>
  <c r="I105" i="13" s="1"/>
  <c r="Y105" i="13" s="1"/>
  <c r="K196" i="10"/>
  <c r="G58" i="13"/>
  <c r="I58" i="13" s="1"/>
  <c r="Y58" i="13" s="1"/>
  <c r="K77" i="10"/>
  <c r="G226" i="13"/>
  <c r="I226" i="13" s="1"/>
  <c r="Y226" i="13" s="1"/>
  <c r="K468" i="10"/>
  <c r="G104" i="13"/>
  <c r="I104" i="13" s="1"/>
  <c r="Y104" i="13" s="1"/>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AA404" i="10" l="1"/>
  <c r="AB404" i="10" s="1"/>
  <c r="U406" i="10" s="1"/>
  <c r="AA405" i="10"/>
  <c r="AB405" i="10" s="1"/>
  <c r="U407" i="10" s="1"/>
  <c r="J17" i="10"/>
  <c r="M17" i="10" s="1"/>
  <c r="N17" i="10" s="1"/>
  <c r="J18" i="10"/>
  <c r="M18" i="10" s="1"/>
  <c r="N18" i="10" s="1"/>
  <c r="H20" i="10" s="1"/>
  <c r="P106" i="7"/>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Y406" i="10" l="1"/>
  <c r="Z406" i="10" s="1"/>
  <c r="Y407" i="10"/>
  <c r="Z407" i="10" s="1"/>
  <c r="C10" i="3"/>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406" i="10" l="1"/>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Y714" i="10"/>
  <c r="Z713"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P110" i="7" s="1"/>
  <c r="B14" i="3"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C14" i="3" l="1"/>
  <c r="D14" i="3"/>
  <c r="AA449" i="10"/>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G124" i="7"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B124" i="7" s="1"/>
  <c r="AA711" i="10"/>
  <c r="AB711" i="10" s="1"/>
  <c r="I124" i="7" s="1"/>
  <c r="P124" i="7" s="1"/>
  <c r="B28" i="3" s="1"/>
  <c r="AA639" i="10"/>
  <c r="AB639" i="10" s="1"/>
  <c r="U641" i="10" s="1"/>
  <c r="Y642" i="10" s="1"/>
  <c r="Z642" i="10" s="1"/>
  <c r="AA642" i="10" s="1"/>
  <c r="AB642" i="10" s="1"/>
  <c r="L117" i="7" s="1"/>
  <c r="U560" i="10"/>
  <c r="U558" i="10"/>
  <c r="J63" i="10"/>
  <c r="M63" i="10" s="1"/>
  <c r="N63" i="10" s="1"/>
  <c r="J64" i="10"/>
  <c r="M64" i="10" s="1"/>
  <c r="N64" i="10" s="1"/>
  <c r="D28" i="3" l="1"/>
  <c r="C28" i="3"/>
  <c r="Y641" i="10"/>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W212" i="10" s="1"/>
  <c r="X212" i="10" s="1"/>
  <c r="P215" i="10"/>
  <c r="W215" i="10"/>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30" i="13" s="1"/>
  <c r="L328" i="13" l="1"/>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30" i="13" s="1"/>
  <c r="J241" i="10"/>
  <c r="M241" i="10" s="1"/>
  <c r="N241" i="10" s="1"/>
  <c r="J240" i="10"/>
  <c r="M240" i="10" s="1"/>
  <c r="N240" i="10" s="1"/>
  <c r="W279" i="10"/>
  <c r="X279" i="10" s="1"/>
  <c r="W278" i="10"/>
  <c r="T328" i="13" l="1"/>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30" i="13" s="1"/>
  <c r="Q484" i="10"/>
  <c r="Q485" i="10"/>
  <c r="V484" i="10"/>
  <c r="W328" i="13" l="1"/>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30" i="13" s="1"/>
  <c r="V247" i="13"/>
  <c r="V248" i="13"/>
  <c r="R232" i="13"/>
  <c r="H488" i="10"/>
  <c r="V232" i="13"/>
  <c r="V234" i="13"/>
  <c r="V236" i="13"/>
  <c r="V233" i="13"/>
  <c r="V235" i="13"/>
  <c r="P2" i="14"/>
  <c r="B19" i="13"/>
  <c r="V328" i="13" l="1"/>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AL15" i="13"/>
  <c r="J15" i="13" s="1"/>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29" i="13" l="1"/>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6" i="10" s="1"/>
  <c r="M626" i="10" s="1"/>
  <c r="N626" i="10" s="1"/>
  <c r="J624" i="10"/>
  <c r="M624" i="10" s="1"/>
  <c r="N624" i="10" s="1"/>
  <c r="K286" i="13"/>
  <c r="H691" i="10"/>
  <c r="V691" i="10" s="1"/>
  <c r="R286" i="13"/>
  <c r="R287" i="13"/>
  <c r="H628" i="10"/>
  <c r="V628" i="10" s="1"/>
  <c r="J625" i="10"/>
  <c r="M625" i="10" s="1"/>
  <c r="N625" i="10" s="1"/>
  <c r="K294" i="13" l="1"/>
  <c r="K312" i="13"/>
  <c r="K295" i="13"/>
  <c r="K288" i="13"/>
  <c r="K290" i="13"/>
  <c r="K289" i="13"/>
  <c r="K292" i="13"/>
  <c r="K293" i="13"/>
  <c r="K287" i="13"/>
  <c r="K296" i="13"/>
  <c r="K297" i="13"/>
  <c r="K298" i="13"/>
  <c r="K303" i="13"/>
  <c r="K302" i="13"/>
  <c r="K306" i="13"/>
  <c r="K308" i="13"/>
  <c r="K301" i="13"/>
  <c r="K309" i="13"/>
  <c r="K300" i="13"/>
  <c r="K314" i="13"/>
  <c r="K299" i="13"/>
  <c r="K313" i="13"/>
  <c r="K305" i="13"/>
  <c r="AL7" i="13"/>
  <c r="J7" i="13" s="1"/>
  <c r="K311" i="13"/>
  <c r="K310" i="13"/>
  <c r="K307" i="13"/>
  <c r="K291" i="13"/>
  <c r="K304" i="13"/>
  <c r="H627" i="10"/>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Q330" i="13" s="1"/>
  <c r="J672" i="10"/>
  <c r="M672" i="10" s="1"/>
  <c r="N672" i="10" s="1"/>
  <c r="P308" i="13" s="1"/>
  <c r="U326" i="13"/>
  <c r="U327" i="13"/>
  <c r="U324" i="13"/>
  <c r="U325" i="13"/>
  <c r="U322" i="13"/>
  <c r="U323" i="13"/>
  <c r="U320" i="13"/>
  <c r="U321" i="13"/>
  <c r="U318" i="13"/>
  <c r="U319" i="13"/>
  <c r="U316" i="13"/>
  <c r="U317" i="13"/>
  <c r="AL17" i="13"/>
  <c r="J17" i="13" s="1"/>
  <c r="U315" i="13"/>
  <c r="Q315" i="13"/>
  <c r="U313" i="13"/>
  <c r="U314" i="13"/>
  <c r="Q314" i="13"/>
  <c r="U312" i="13"/>
  <c r="U310" i="13"/>
  <c r="U311" i="13"/>
  <c r="H679" i="10"/>
  <c r="P309" i="13"/>
  <c r="U308" i="13"/>
  <c r="U309" i="13"/>
  <c r="P307" i="13"/>
  <c r="Q329" i="13" l="1"/>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J679" i="10"/>
  <c r="M679" i="10" s="1"/>
  <c r="N679" i="10" s="1"/>
  <c r="W679" i="10"/>
  <c r="X679" i="10" s="1"/>
  <c r="P310" i="13"/>
  <c r="M329" i="13" l="1"/>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B4" i="14"/>
  <c r="Q682" i="10" l="1"/>
  <c r="V682" i="10"/>
  <c r="X682" i="10" s="1"/>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J688" i="10" l="1"/>
  <c r="M688" i="10" s="1"/>
  <c r="N688" i="10" s="1"/>
  <c r="AL12" i="13" s="1"/>
  <c r="J12" i="13" s="1"/>
  <c r="X687" i="10"/>
  <c r="J687" i="10" s="1"/>
  <c r="M687" i="10" s="1"/>
  <c r="N687" i="10" s="1"/>
  <c r="AL14" i="13" s="1"/>
  <c r="J14" i="13" s="1"/>
  <c r="K14" i="13" l="1"/>
  <c r="K12" i="13"/>
  <c r="K13" i="13"/>
  <c r="K17" i="13"/>
  <c r="K11" i="13"/>
  <c r="K19" i="13"/>
  <c r="K15" i="13"/>
  <c r="K9" i="13"/>
  <c r="K8" i="13"/>
  <c r="K10" i="13"/>
  <c r="K16" i="13"/>
  <c r="K7" i="13"/>
  <c r="K20" i="13"/>
  <c r="K18" i="13"/>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H720" i="10" s="1"/>
  <c r="J710" i="10"/>
  <c r="M710" i="10" s="1"/>
  <c r="N710" i="10" s="1"/>
  <c r="P326" i="13"/>
  <c r="P327" i="13"/>
  <c r="P324" i="13"/>
  <c r="P325" i="13"/>
  <c r="P323" i="13"/>
  <c r="Q720" i="10" l="1"/>
  <c r="V720" i="10"/>
  <c r="X720" i="10" s="1"/>
  <c r="R323" i="13"/>
  <c r="H711" i="10"/>
  <c r="J720" i="10" l="1"/>
  <c r="M720" i="10" s="1"/>
  <c r="N720" i="10" s="1"/>
  <c r="J719" i="10"/>
  <c r="M719" i="10" s="1"/>
  <c r="N719" i="10" s="1"/>
  <c r="B7" i="14"/>
  <c r="P328" i="13"/>
  <c r="P712" i="10"/>
  <c r="Q712" i="10" s="1"/>
  <c r="V711" i="10"/>
  <c r="W711" i="10" s="1"/>
  <c r="X711" i="10" s="1"/>
  <c r="P711" i="10"/>
  <c r="Q711" i="10" s="1"/>
  <c r="W712" i="10"/>
  <c r="X712" i="10" s="1"/>
  <c r="P329" i="13" l="1"/>
  <c r="P330" i="13"/>
  <c r="U329" i="13"/>
  <c r="U330" i="13"/>
  <c r="B12" i="14"/>
  <c r="U328" i="13"/>
  <c r="I2" i="14"/>
  <c r="B12" i="13"/>
  <c r="S12" i="13" s="1"/>
  <c r="F95" i="7" s="1"/>
  <c r="S95" i="7" s="1"/>
  <c r="J712" i="10"/>
  <c r="M712" i="10" s="1"/>
  <c r="N712" i="10" s="1"/>
  <c r="J711" i="10"/>
  <c r="M711" i="10" s="1"/>
  <c r="K329" i="13" l="1"/>
  <c r="K330" i="13"/>
  <c r="N2" i="14"/>
  <c r="B17" i="13"/>
  <c r="S17" i="13" s="1"/>
  <c r="AI12" i="13"/>
  <c r="W12" i="13"/>
  <c r="K327" i="13"/>
  <c r="K328" i="13"/>
  <c r="K325" i="13"/>
  <c r="K326" i="13"/>
  <c r="N711" i="10"/>
  <c r="H713" i="10" s="1"/>
  <c r="B2" i="14"/>
  <c r="K324" i="13"/>
  <c r="W17" i="13" l="1"/>
  <c r="F92" i="7"/>
  <c r="S92" i="7" s="1"/>
  <c r="AI17" i="13"/>
  <c r="P713" i="10"/>
  <c r="Q713" i="10" s="1"/>
  <c r="P714" i="10"/>
  <c r="Q714" i="10" s="1"/>
  <c r="V713" i="10"/>
  <c r="R324" i="13"/>
  <c r="D2" i="14"/>
  <c r="B7" i="13"/>
  <c r="W713" i="10" l="1"/>
  <c r="X713" i="10" s="1"/>
  <c r="W714" i="10"/>
  <c r="X714" i="10" s="1"/>
  <c r="S7" i="13"/>
  <c r="J714" i="10" l="1"/>
  <c r="M714" i="10" s="1"/>
  <c r="N714" i="10" s="1"/>
  <c r="H715" i="10" s="1"/>
  <c r="J713" i="10"/>
  <c r="M713" i="10" s="1"/>
  <c r="AI7" i="13"/>
  <c r="W7" i="13"/>
  <c r="F94" i="7"/>
  <c r="S94" i="7" s="1"/>
  <c r="P715" i="10" l="1"/>
  <c r="Q715" i="10" s="1"/>
  <c r="P716" i="10"/>
  <c r="N713" i="10"/>
  <c r="H716" i="10" s="1"/>
  <c r="V715" i="10"/>
  <c r="R325" i="13"/>
  <c r="S325" i="13"/>
  <c r="Q716" i="10" l="1"/>
  <c r="V716" i="10"/>
  <c r="W715" i="10"/>
  <c r="X715" i="10" s="1"/>
  <c r="W716" i="10"/>
  <c r="X716" i="10" l="1"/>
  <c r="J716" i="10" s="1"/>
  <c r="M716" i="10" s="1"/>
  <c r="N716" i="10" s="1"/>
  <c r="J715" i="10"/>
  <c r="M715" i="10" s="1"/>
  <c r="R326" i="13" l="1"/>
  <c r="H717" i="10"/>
  <c r="N715" i="10"/>
  <c r="H718" i="10" s="1"/>
  <c r="S326" i="13"/>
  <c r="P717" i="10" l="1"/>
  <c r="Q717" i="10" s="1"/>
  <c r="P718" i="10"/>
  <c r="Q718" i="10" s="1"/>
  <c r="V717" i="10"/>
  <c r="W717" i="10"/>
  <c r="X717" i="10" s="1"/>
  <c r="W718" i="10"/>
  <c r="X718" i="10" s="1"/>
  <c r="V718" i="10"/>
  <c r="J718" i="10" l="1"/>
  <c r="M718" i="10" s="1"/>
  <c r="N718" i="10" s="1"/>
  <c r="S330" i="13" s="1"/>
  <c r="J717" i="10"/>
  <c r="M717" i="10" s="1"/>
  <c r="S327" i="13"/>
  <c r="B10" i="14"/>
  <c r="S328" i="13" l="1"/>
  <c r="S329" i="13"/>
  <c r="N717" i="10"/>
  <c r="H722" i="10" s="1"/>
  <c r="B15" i="13"/>
  <c r="L2" i="14"/>
  <c r="Q722" i="10" l="1"/>
  <c r="V722" i="10"/>
  <c r="X722" i="10" s="1"/>
  <c r="R328" i="13"/>
  <c r="R327" i="13"/>
  <c r="S15" i="13"/>
  <c r="J722" i="10" l="1"/>
  <c r="M722" i="10" s="1"/>
  <c r="N722" i="10" s="1"/>
  <c r="H724" i="10" s="1"/>
  <c r="J721" i="10"/>
  <c r="M721" i="10" s="1"/>
  <c r="R329" i="13"/>
  <c r="W15" i="13"/>
  <c r="AI15" i="13"/>
  <c r="F89" i="7"/>
  <c r="S89" i="7" s="1"/>
  <c r="V724" i="10" l="1"/>
  <c r="N721" i="10"/>
  <c r="H723" i="10" s="1"/>
  <c r="O329" i="13"/>
  <c r="P723" i="10" l="1"/>
  <c r="Q723" i="10" s="1"/>
  <c r="P724" i="10"/>
  <c r="Q724" i="10" s="1"/>
  <c r="V723" i="10"/>
  <c r="W723" i="10" l="1"/>
  <c r="X723" i="10" s="1"/>
  <c r="W724" i="10"/>
  <c r="X724" i="10" s="1"/>
  <c r="J724" i="10" l="1"/>
  <c r="M724" i="10" s="1"/>
  <c r="J723" i="10"/>
  <c r="M723" i="10" s="1"/>
  <c r="B19" i="8"/>
  <c r="N724" i="10"/>
  <c r="H19" i="8"/>
  <c r="N723" i="10" l="1"/>
  <c r="B18" i="8"/>
  <c r="H18" i="8"/>
  <c r="H17" i="8"/>
  <c r="B17" i="8"/>
  <c r="B9" i="14"/>
  <c r="R330" i="13"/>
  <c r="D19" i="8"/>
  <c r="E19" i="8"/>
  <c r="C19" i="8"/>
  <c r="F19" i="8"/>
  <c r="B6" i="14" l="1"/>
  <c r="O330" i="13"/>
  <c r="F18" i="8"/>
  <c r="D18" i="8"/>
  <c r="C18" i="8"/>
  <c r="E18" i="8"/>
  <c r="C17" i="8"/>
  <c r="F17" i="8" s="1"/>
  <c r="D17" i="8"/>
  <c r="E17" i="8"/>
  <c r="K2" i="14"/>
  <c r="B14" i="13"/>
  <c r="H2" i="14" l="1"/>
  <c r="B11" i="13"/>
  <c r="S11" i="13" s="1"/>
  <c r="C13" i="14"/>
  <c r="C18" i="13" s="1"/>
  <c r="AA18" i="13" s="1"/>
  <c r="C6" i="14"/>
  <c r="C11" i="13" s="1"/>
  <c r="C9" i="14"/>
  <c r="C14" i="13" s="1"/>
  <c r="AA14" i="13" s="1"/>
  <c r="C12" i="14"/>
  <c r="C17" i="13" s="1"/>
  <c r="AA17" i="13" s="1"/>
  <c r="C2" i="14"/>
  <c r="C7" i="13" s="1"/>
  <c r="AA7" i="13" s="1"/>
  <c r="C11" i="14"/>
  <c r="C16" i="13" s="1"/>
  <c r="AA16" i="13" s="1"/>
  <c r="C15" i="14"/>
  <c r="C20" i="13" s="1"/>
  <c r="AA20" i="13" s="1"/>
  <c r="C5" i="14"/>
  <c r="C10" i="13" s="1"/>
  <c r="AA10" i="13" s="1"/>
  <c r="C7" i="14"/>
  <c r="C12" i="13" s="1"/>
  <c r="AA12" i="13" s="1"/>
  <c r="C14" i="14"/>
  <c r="C19" i="13" s="1"/>
  <c r="AA19" i="13" s="1"/>
  <c r="C8" i="14"/>
  <c r="C13" i="13" s="1"/>
  <c r="AA13" i="13" s="1"/>
  <c r="C10" i="14"/>
  <c r="C15" i="13" s="1"/>
  <c r="AA15" i="13" s="1"/>
  <c r="C4" i="14"/>
  <c r="C9" i="13" s="1"/>
  <c r="AA9" i="13" s="1"/>
  <c r="C3" i="14"/>
  <c r="C8" i="13" s="1"/>
  <c r="AA8" i="13" s="1"/>
  <c r="E18" i="13"/>
  <c r="E10" i="13"/>
  <c r="D16" i="13"/>
  <c r="D10" i="13"/>
  <c r="D11" i="13"/>
  <c r="E14" i="13"/>
  <c r="E12" i="13"/>
  <c r="E20" i="13"/>
  <c r="D19" i="13"/>
  <c r="D8" i="13"/>
  <c r="D20" i="13"/>
  <c r="E16" i="13"/>
  <c r="D14" i="13"/>
  <c r="D7" i="13"/>
  <c r="D15" i="13"/>
  <c r="E17" i="13"/>
  <c r="E8" i="13"/>
  <c r="D17" i="13"/>
  <c r="D18" i="13"/>
  <c r="D12" i="13"/>
  <c r="E7" i="13"/>
  <c r="E15" i="13"/>
  <c r="E9" i="13"/>
  <c r="E13" i="13"/>
  <c r="E11" i="13"/>
  <c r="D9" i="13"/>
  <c r="D13" i="13"/>
  <c r="E19" i="13"/>
  <c r="S14" i="13"/>
  <c r="W11" i="13" l="1"/>
  <c r="B24" i="5" s="1"/>
  <c r="AI11" i="13"/>
  <c r="F90" i="7"/>
  <c r="S90" i="7" s="1"/>
  <c r="B12" i="5"/>
  <c r="AA11" i="13"/>
  <c r="B28" i="5" s="1"/>
  <c r="AI14" i="13"/>
  <c r="W14" i="13"/>
  <c r="F93" i="7"/>
  <c r="S93" i="7" s="1"/>
  <c r="C4" i="7" s="1"/>
  <c r="B16" i="4" l="1"/>
  <c r="B13" i="4"/>
  <c r="B14" i="4"/>
  <c r="L12" i="13"/>
  <c r="B7" i="4"/>
  <c r="B6" i="4"/>
  <c r="L17" i="13"/>
  <c r="B12" i="4"/>
  <c r="B18" i="4"/>
  <c r="L13" i="13"/>
  <c r="B8" i="4"/>
  <c r="L20" i="13"/>
  <c r="B5" i="4"/>
  <c r="B11" i="4"/>
  <c r="L10" i="13"/>
  <c r="B10" i="4"/>
  <c r="L15" i="13"/>
  <c r="L8" i="13"/>
  <c r="B9" i="4"/>
  <c r="L11" i="13"/>
  <c r="B15" i="4"/>
  <c r="L9" i="13"/>
  <c r="L7" i="13"/>
  <c r="L14" i="13"/>
  <c r="L19" i="13"/>
  <c r="L16" i="13"/>
  <c r="L18" i="13"/>
  <c r="B17" i="4"/>
  <c r="A6" i="3"/>
  <c r="A5" i="3"/>
  <c r="B28" i="8" s="1"/>
  <c r="Q17" i="4" l="1"/>
  <c r="H16" i="4"/>
  <c r="T16" i="4"/>
  <c r="M16" i="4"/>
  <c r="K16" i="4"/>
  <c r="C16" i="4"/>
  <c r="Q16" i="4"/>
  <c r="D16" i="4"/>
  <c r="AD8" i="13" s="1"/>
  <c r="S16" i="4"/>
  <c r="P16" i="4"/>
  <c r="I16" i="4"/>
  <c r="U16" i="4"/>
  <c r="J16" i="4"/>
  <c r="E16" i="4"/>
  <c r="V16" i="4"/>
  <c r="O16" i="4"/>
  <c r="R16" i="4"/>
  <c r="X16" i="4"/>
  <c r="Q13" i="4"/>
  <c r="U13" i="4"/>
  <c r="O13" i="4"/>
  <c r="D13" i="4"/>
  <c r="K13" i="4"/>
  <c r="P13" i="4"/>
  <c r="T13" i="4"/>
  <c r="X13" i="4"/>
  <c r="E13" i="4"/>
  <c r="R13" i="4"/>
  <c r="C13" i="4"/>
  <c r="H13" i="4"/>
  <c r="S13" i="4"/>
  <c r="J13" i="4"/>
  <c r="M13" i="4"/>
  <c r="V13" i="4"/>
  <c r="I13" i="4"/>
  <c r="S14" i="4"/>
  <c r="R14" i="4"/>
  <c r="T14" i="4"/>
  <c r="X14" i="4"/>
  <c r="M14" i="4"/>
  <c r="U14" i="4"/>
  <c r="I14" i="4"/>
  <c r="K14" i="4"/>
  <c r="Q14" i="4"/>
  <c r="J14" i="4"/>
  <c r="E14" i="4"/>
  <c r="P14" i="4"/>
  <c r="V14" i="4"/>
  <c r="C14" i="4"/>
  <c r="D14" i="4"/>
  <c r="AD19" i="13" s="1"/>
  <c r="O14" i="4"/>
  <c r="H14" i="4"/>
  <c r="H7" i="4"/>
  <c r="M7" i="4"/>
  <c r="K7" i="4"/>
  <c r="I7" i="4"/>
  <c r="B19" i="9"/>
  <c r="Q7" i="4"/>
  <c r="V7" i="4"/>
  <c r="R7" i="4"/>
  <c r="T7" i="4"/>
  <c r="U7" i="4"/>
  <c r="C7" i="4"/>
  <c r="C19" i="9" s="1"/>
  <c r="P7" i="4"/>
  <c r="X7" i="4"/>
  <c r="E7" i="4"/>
  <c r="D7" i="4"/>
  <c r="AD7" i="13" s="1"/>
  <c r="J7" i="4"/>
  <c r="O7" i="4"/>
  <c r="S7" i="4"/>
  <c r="R6" i="4"/>
  <c r="X6" i="4"/>
  <c r="D6" i="4"/>
  <c r="AD13" i="13" s="1"/>
  <c r="H6" i="4"/>
  <c r="E6" i="4"/>
  <c r="T6" i="4"/>
  <c r="Q6" i="4"/>
  <c r="C6" i="4"/>
  <c r="C18" i="9" s="1"/>
  <c r="S6" i="4"/>
  <c r="O6" i="4"/>
  <c r="I6" i="4"/>
  <c r="K6" i="4"/>
  <c r="P6" i="4"/>
  <c r="V6" i="4"/>
  <c r="U6" i="4"/>
  <c r="B18" i="9"/>
  <c r="J6" i="4"/>
  <c r="M6" i="4"/>
  <c r="J12" i="4"/>
  <c r="R12" i="4"/>
  <c r="K12" i="4"/>
  <c r="P12" i="4"/>
  <c r="O12" i="4"/>
  <c r="T12" i="4"/>
  <c r="V12" i="4"/>
  <c r="M12" i="4"/>
  <c r="E12" i="4"/>
  <c r="H12" i="4"/>
  <c r="U12" i="4"/>
  <c r="S12" i="4"/>
  <c r="C12" i="4"/>
  <c r="I12" i="4"/>
  <c r="D12" i="4"/>
  <c r="AD18" i="13" s="1"/>
  <c r="Q12" i="4"/>
  <c r="X12" i="4"/>
  <c r="V18" i="4"/>
  <c r="R18" i="4"/>
  <c r="T18" i="4"/>
  <c r="X18" i="4"/>
  <c r="S18" i="4"/>
  <c r="J18" i="4"/>
  <c r="U18" i="4"/>
  <c r="Q18" i="4"/>
  <c r="K18" i="4"/>
  <c r="P18" i="4"/>
  <c r="H18" i="4"/>
  <c r="M18" i="4"/>
  <c r="O18" i="4"/>
  <c r="C18" i="4"/>
  <c r="I18" i="4"/>
  <c r="E18" i="4"/>
  <c r="D18" i="4"/>
  <c r="AD16" i="13" s="1"/>
  <c r="Q8" i="4"/>
  <c r="J8" i="4"/>
  <c r="U8" i="4"/>
  <c r="T8" i="4"/>
  <c r="S8" i="4"/>
  <c r="K8" i="4"/>
  <c r="D8" i="4"/>
  <c r="AD15" i="13" s="1"/>
  <c r="E8" i="4"/>
  <c r="P8" i="4"/>
  <c r="M8" i="4"/>
  <c r="C8" i="4"/>
  <c r="H8" i="4"/>
  <c r="O8" i="4"/>
  <c r="X8" i="4"/>
  <c r="R8" i="4"/>
  <c r="I8" i="4"/>
  <c r="V8" i="4"/>
  <c r="AD20" i="13"/>
  <c r="AF20" i="13" s="1"/>
  <c r="W13" i="4" s="1"/>
  <c r="K5" i="4"/>
  <c r="P5" i="4"/>
  <c r="S5" i="4"/>
  <c r="V5" i="4"/>
  <c r="H5" i="4"/>
  <c r="O5" i="4"/>
  <c r="B17" i="9"/>
  <c r="R5" i="4"/>
  <c r="U5" i="4"/>
  <c r="X5" i="4"/>
  <c r="T5" i="4"/>
  <c r="E5" i="4"/>
  <c r="M5" i="4"/>
  <c r="C5" i="4"/>
  <c r="I5" i="4"/>
  <c r="B5" i="5"/>
  <c r="J5" i="4"/>
  <c r="D5" i="4"/>
  <c r="Q5" i="4"/>
  <c r="P11" i="4"/>
  <c r="V11" i="4"/>
  <c r="R11" i="4"/>
  <c r="I11" i="4"/>
  <c r="O11" i="4"/>
  <c r="J11" i="4"/>
  <c r="T11" i="4"/>
  <c r="Q11" i="4"/>
  <c r="D11" i="4"/>
  <c r="AD9" i="13" s="1"/>
  <c r="U11" i="4"/>
  <c r="X11" i="4"/>
  <c r="K11" i="4"/>
  <c r="C11" i="4"/>
  <c r="E11" i="4"/>
  <c r="H11" i="4"/>
  <c r="S11" i="4"/>
  <c r="M11" i="4"/>
  <c r="U10" i="4"/>
  <c r="K10" i="4"/>
  <c r="C10" i="4"/>
  <c r="O10" i="4"/>
  <c r="D10" i="4"/>
  <c r="AD12" i="13" s="1"/>
  <c r="S10" i="4"/>
  <c r="M10" i="4"/>
  <c r="H10" i="4"/>
  <c r="Q10" i="4"/>
  <c r="I10" i="4"/>
  <c r="T10" i="4"/>
  <c r="V10" i="4"/>
  <c r="P10" i="4"/>
  <c r="E10" i="4"/>
  <c r="X10" i="4"/>
  <c r="R10" i="4"/>
  <c r="J10" i="4"/>
  <c r="R9" i="4"/>
  <c r="H9" i="4"/>
  <c r="S9" i="4"/>
  <c r="D9" i="4"/>
  <c r="AD14" i="13" s="1"/>
  <c r="Q9" i="4"/>
  <c r="U9" i="4"/>
  <c r="E9" i="4"/>
  <c r="C9" i="4"/>
  <c r="J9" i="4"/>
  <c r="I9" i="4"/>
  <c r="K9" i="4"/>
  <c r="P9" i="4"/>
  <c r="M9" i="4"/>
  <c r="V9" i="4"/>
  <c r="O9" i="4"/>
  <c r="X9" i="4"/>
  <c r="T9" i="4"/>
  <c r="X15" i="4"/>
  <c r="D15" i="4"/>
  <c r="AD17" i="13" s="1"/>
  <c r="H15" i="4"/>
  <c r="U15" i="4"/>
  <c r="C15" i="4"/>
  <c r="K15" i="4"/>
  <c r="T15" i="4"/>
  <c r="R15" i="4"/>
  <c r="I15" i="4"/>
  <c r="O15" i="4"/>
  <c r="J15" i="4"/>
  <c r="E15" i="4"/>
  <c r="M15" i="4"/>
  <c r="Q15" i="4"/>
  <c r="P15" i="4"/>
  <c r="V15" i="4"/>
  <c r="S15" i="4"/>
  <c r="T17" i="4"/>
  <c r="O17" i="4"/>
  <c r="K17" i="4"/>
  <c r="V17" i="4"/>
  <c r="E17" i="4"/>
  <c r="D17" i="4"/>
  <c r="AD10" i="13" s="1"/>
  <c r="H17" i="4"/>
  <c r="P17" i="4"/>
  <c r="S17" i="4"/>
  <c r="J17" i="4"/>
  <c r="I17" i="4"/>
  <c r="R17" i="4"/>
  <c r="M17" i="4"/>
  <c r="U17" i="4"/>
  <c r="X17" i="4"/>
  <c r="C17" i="4"/>
  <c r="A8" i="9"/>
  <c r="G16" i="4" l="1"/>
  <c r="X8" i="13" s="1"/>
  <c r="L16" i="4"/>
  <c r="F16" i="4"/>
  <c r="F13" i="4"/>
  <c r="G13" i="4"/>
  <c r="X20" i="13" s="1"/>
  <c r="L13" i="4"/>
  <c r="F14" i="4"/>
  <c r="G14" i="4"/>
  <c r="X19" i="13" s="1"/>
  <c r="L14" i="4"/>
  <c r="F7" i="4"/>
  <c r="L7" i="4"/>
  <c r="G7" i="4"/>
  <c r="G6" i="4"/>
  <c r="X13" i="13" s="1"/>
  <c r="L6" i="4"/>
  <c r="F6" i="4"/>
  <c r="F12" i="4"/>
  <c r="L12" i="4"/>
  <c r="G12" i="4"/>
  <c r="X18" i="13" s="1"/>
  <c r="AB18" i="13" s="1"/>
  <c r="L18" i="4"/>
  <c r="F18" i="4"/>
  <c r="G18" i="4"/>
  <c r="X16" i="13" s="1"/>
  <c r="L8" i="4"/>
  <c r="G8" i="4"/>
  <c r="F8" i="4"/>
  <c r="B31" i="8"/>
  <c r="B22" i="8"/>
  <c r="C22" i="8"/>
  <c r="C17" i="9"/>
  <c r="N6" i="4"/>
  <c r="D19" i="9"/>
  <c r="N10" i="4"/>
  <c r="N16" i="4"/>
  <c r="N18" i="4"/>
  <c r="N12" i="4"/>
  <c r="N15" i="4"/>
  <c r="N17" i="4"/>
  <c r="N7" i="4"/>
  <c r="N11" i="4"/>
  <c r="N13" i="4"/>
  <c r="N9" i="4"/>
  <c r="N14" i="4"/>
  <c r="N8" i="4"/>
  <c r="D18" i="9"/>
  <c r="N5" i="4"/>
  <c r="B15" i="5" s="1"/>
  <c r="B33" i="8"/>
  <c r="B21" i="8"/>
  <c r="A10" i="9"/>
  <c r="L5" i="4"/>
  <c r="G5" i="4"/>
  <c r="C21" i="8"/>
  <c r="F21" i="8" s="1"/>
  <c r="B30" i="8"/>
  <c r="F5" i="4"/>
  <c r="B8" i="5" s="1"/>
  <c r="F11" i="4"/>
  <c r="L11" i="4"/>
  <c r="G11" i="4"/>
  <c r="X9" i="13" s="1"/>
  <c r="F10" i="4"/>
  <c r="G10" i="4"/>
  <c r="X12" i="13" s="1"/>
  <c r="L10" i="4"/>
  <c r="L9" i="4"/>
  <c r="F9" i="4"/>
  <c r="G9" i="4"/>
  <c r="L15" i="4"/>
  <c r="F15" i="4"/>
  <c r="G15" i="4"/>
  <c r="X17" i="13" s="1"/>
  <c r="L17" i="4"/>
  <c r="F17" i="4"/>
  <c r="G17" i="4"/>
  <c r="X10" i="13" s="1"/>
  <c r="T2" i="4"/>
  <c r="Y8" i="13"/>
  <c r="AE8" i="13"/>
  <c r="AE20" i="13"/>
  <c r="Y20" i="13"/>
  <c r="Y19" i="13"/>
  <c r="AE19" i="13"/>
  <c r="AE7" i="13"/>
  <c r="Y7" i="13"/>
  <c r="Y13" i="13"/>
  <c r="AE13" i="13"/>
  <c r="AE18" i="13"/>
  <c r="Y18" i="13"/>
  <c r="AE16" i="13"/>
  <c r="Y16" i="13"/>
  <c r="Y15" i="13"/>
  <c r="AE15" i="13"/>
  <c r="B11" i="5"/>
  <c r="AE11" i="13"/>
  <c r="Y11" i="13"/>
  <c r="B26" i="5" s="1"/>
  <c r="A5" i="9"/>
  <c r="B6" i="5"/>
  <c r="AD11" i="13"/>
  <c r="B10" i="5"/>
  <c r="AE9" i="13"/>
  <c r="Y9" i="13"/>
  <c r="AE12" i="13"/>
  <c r="Y12" i="13"/>
  <c r="Y14" i="13"/>
  <c r="AE14" i="13"/>
  <c r="Y17" i="13"/>
  <c r="AE17" i="13"/>
  <c r="Y10" i="13"/>
  <c r="AE10" i="13"/>
  <c r="AF18" i="13" l="1"/>
  <c r="W12" i="4" s="1"/>
  <c r="AB13" i="13"/>
  <c r="AF13" i="13" s="1"/>
  <c r="W6" i="4" s="1"/>
  <c r="AB16" i="13"/>
  <c r="AF16" i="13" s="1"/>
  <c r="W18" i="4" s="1"/>
  <c r="X7" i="13"/>
  <c r="X14" i="13"/>
  <c r="AB14" i="13" s="1"/>
  <c r="AF14" i="13" s="1"/>
  <c r="AB9" i="13"/>
  <c r="AF9" i="13" s="1"/>
  <c r="W11" i="4" s="1"/>
  <c r="AB12" i="13"/>
  <c r="AF12" i="13" s="1"/>
  <c r="W10" i="4" s="1"/>
  <c r="AB17" i="13"/>
  <c r="AF17" i="13" s="1"/>
  <c r="W15" i="4" s="1"/>
  <c r="A3" i="4"/>
  <c r="B16" i="5"/>
  <c r="B9" i="5"/>
  <c r="X11" i="13"/>
  <c r="AB8" i="13"/>
  <c r="AF8" i="13" s="1"/>
  <c r="W16" i="4" s="1"/>
  <c r="AB20" i="13"/>
  <c r="AB7" i="13"/>
  <c r="AF7" i="13" s="1"/>
  <c r="X15" i="13"/>
  <c r="AB15" i="13" s="1"/>
  <c r="AF15" i="13" s="1"/>
  <c r="W9" i="4" s="1"/>
  <c r="AB10" i="13"/>
  <c r="AF10" i="13" s="1"/>
  <c r="W17" i="4" s="1"/>
  <c r="AB19" i="13"/>
  <c r="AF19" i="13" s="1"/>
  <c r="W14" i="4" s="1"/>
  <c r="B25" i="5" l="1"/>
  <c r="AB11" i="13"/>
  <c r="W7" i="4"/>
  <c r="W8" i="4"/>
  <c r="B23" i="5" l="1"/>
  <c r="AF11" i="13"/>
  <c r="B7" i="5" l="1"/>
  <c r="W5" i="4"/>
</calcChain>
</file>

<file path=xl/sharedStrings.xml><?xml version="1.0" encoding="utf-8"?>
<sst xmlns="http://schemas.openxmlformats.org/spreadsheetml/2006/main" count="3156" uniqueCount="466">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</sst>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1128</v>
      </c>
      <c r="D28" s="31" t="str">
        <f>IF(OR($B28="—",$B28=""),"—",COUNTIFS('Match Log'!$D$4:$D$1510,$B28,'Match Log'!$C$4:$C$1510,$A28,'Match Log'!$E$4:$E$1510,"Win")&amp;"–"&amp;(COUNTIFS('Match Log'!$D$4:$D$1510,$B28,'Match Log'!$C$4:$C$1510,$A28)-COUNTIFS('Match Log'!$D$4:$D$1510,$B28,'Match Log'!$C$4:$C$1510,$A28,'Match Log'!$E$4:$E$1510,"Win")))</f>
        <v>19–12</v>
      </c>
      <c r="E28" s="31">
        <f>IFERROR('Sport Records'!$P$26,0)</f>
        <v>47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306  ·  27 Sep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t="shared" ref="F5:F18" ca="1" si="1">$D5-$E5</f>
        <v>25</v>
      </c>
      <c r="G5" s="56">
        <f t="shared" ref="G5:G18" ca="1" si="2">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1122.8870443335802</v>
      </c>
      <c r="N5" s="54">
        <f t="shared" ref="N5:N18" ca="1" si="3">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▲3</v>
      </c>
      <c r="R5" s="55" t="str">
        <f ca="1">IFERROR(IF(INDEX(Calcs!$P$7:$P$20,MATCH($B5,Calcs!$A$7:$A$20,0))=0,"—",TEXT(INDEX(Calcs!$P$7:$P$20,MATCH($B5,Calcs!$A$7:$A$20,0)),"d mmm")),"")</f>
        <v>27 Sep</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Simon</v>
      </c>
      <c r="C6" s="54">
        <f ca="1">IFERROR(INDEX(Calcs!$S$7:$S$20,MATCH($B6,Calcs!$A$7:$A$20,0)),"")</f>
        <v>1210.4461816871431</v>
      </c>
      <c r="D6" s="55">
        <f ca="1">COUNTIF('Match Log'!$D$4:$D$1510,$B6)</f>
        <v>40</v>
      </c>
      <c r="E6" s="55">
        <f ca="1">COUNTIFS('Match Log'!$D$4:$D$1510,$B6,'Match Log'!$E$4:$E$1510,"Win")</f>
        <v>21</v>
      </c>
      <c r="F6" s="55">
        <f t="shared" ca="1" si="1"/>
        <v>19</v>
      </c>
      <c r="G6" s="56">
        <f t="shared" ca="1" si="2"/>
        <v>0.52500000000000002</v>
      </c>
      <c r="H6" s="57">
        <f ca="1">SUMIF('Match Log'!$D$4:$D$1510,$B6,'Match Log'!$J$4:$J$1510)</f>
        <v>74.310240078644824</v>
      </c>
      <c r="I6" s="57">
        <f ca="1">SUMIF('Match Log'!$D$4:$D$1510,$B6,'Match Log'!$K$4:$K$1510)</f>
        <v>55.685941608498204</v>
      </c>
      <c r="J6" s="57">
        <f ca="1">SUMIF('Match Log'!$D$4:$D$1510,$B6,'Match Log'!$L$4:$L$1510)</f>
        <v>86</v>
      </c>
      <c r="K6" s="55">
        <f ca="1">SUMPRODUCT(--(COUNTIFS('Match Log'!$D$4:$D$1510,$B6,'Match Log'!$C$4:$C$1510,Lists!$C$2:$C$26)&gt;0))</f>
        <v>12</v>
      </c>
      <c r="L6" s="55" t="str">
        <f ca="1">IF($D6=0,"No games",IF(AND($D6&gt;='Guide &amp; Settings'!$C$45,$K6&gt;='Guide &amp; Settings'!$C$46),"Eligible","Provisional"))</f>
        <v>Eligible</v>
      </c>
      <c r="M6" s="54">
        <f ca="1">IFERROR(INDEX(Calcs!$C$7:$C$20,MATCH($B6,Calcs!$A$7:$A$20,0)),"")</f>
        <v>1071.5000984207491</v>
      </c>
      <c r="N6" s="54">
        <f t="shared" ca="1" si="3"/>
        <v>44.80083901807393</v>
      </c>
      <c r="O6" s="55" t="str">
        <f ca="1">IFERROR(INDEX(Calcs!$H$7:$H$20,MATCH($B6,Calcs!$A$7:$A$20,0)),"")</f>
        <v>W5</v>
      </c>
      <c r="P6" s="55" t="str">
        <f ca="1">IFERROR(INDEX(Calcs!$I$7:$I$20,MATCH($B6,Calcs!$A$7:$A$20,0)),"")</f>
        <v>WWWWW</v>
      </c>
      <c r="Q6" s="55" t="str">
        <f ca="1">IFERROR(IF(INDEX(Calcs!$L$7:$L$20,MATCH($B6,Calcs!$A$7:$A$20,0))&gt;0,"▲"&amp;INDEX(Calcs!$L$7:$L$20,MATCH($B6,Calcs!$A$7:$A$20,0)),IF(INDEX(Calcs!$L$7:$L$20,MATCH($B6,Calcs!$A$7:$A$20,0))&lt;0,"▼"&amp;ABS(INDEX(Calcs!$L$7:$L$20,MATCH($B6,Calcs!$A$7:$A$20,0))),"–")),"")</f>
        <v>▲3</v>
      </c>
      <c r="R6" s="55" t="str">
        <f ca="1">IFERROR(IF(INDEX(Calcs!$P$7:$P$20,MATCH($B6,Calcs!$A$7:$A$20,0))=0,"—",TEXT(INDEX(Calcs!$P$7:$P$20,MATCH($B6,Calcs!$A$7:$A$20,0)),"d mmm")),"")</f>
        <v>6 Sep</v>
      </c>
      <c r="S6" s="55">
        <f ca="1">IFERROR(ROUND(INDEX(Calcs!$Q$7:$Q$20,MATCH($B6,Calcs!$A$7:$A$20,0)),1),"")</f>
        <v>3.1</v>
      </c>
      <c r="T6" s="55" t="str">
        <f ca="1">IFERROR(INDEX(Calcs!$T$7:$T$20,MATCH($B6,Calcs!$A$7:$A$20,0)),"")</f>
        <v>At risk</v>
      </c>
      <c r="U6">
        <f ca="1">IFERROR(ROUND(INDEX(Calcs!$R$7:$R$20,MATCH($B6,Calcs!$A$7:$A$20,0))+INDEX(Calcs!$U$7:$U$20,MATCH($B6,Calcs!$A$7:$A$20,0)),0),0)</f>
        <v>0</v>
      </c>
      <c r="V6" s="57">
        <f ca="1">IFERROR(ROUND(INDEX(Calcs!$S$7:$S$20,MATCH($B6,Calcs!$A$7:$A$20,0)),0),"")</f>
        <v>1210</v>
      </c>
      <c r="W6" s="55" t="str">
        <f ca="1">IFERROR(INDEX(Calcs!$AF$7:$AF$20,MATCH($B6,Calcs!$A$7:$A$20,0)),"")</f>
        <v>Elite</v>
      </c>
      <c r="X6" s="57">
        <f ca="1">IFERROR(ROUND(SUMIF('Poker Stake Ledger'!$C$18:$C$137,$B6,'Poker Stake Ledger'!$K$18:$K$137),1),0)</f>
        <v>-5.6</v>
      </c>
    </row>
    <row r="7" spans="1:24" ht="15" customHeight="1" x14ac:dyDescent="0.2">
      <c r="A7" s="52">
        <f t="shared" si="0"/>
        <v>3</v>
      </c>
      <c r="B7" s="53" t="str">
        <f ca="1">IFERROR(INDEX(Calcs!$A$7:$A$20,MATCH(LARGE(Calcs!$AI$7:$AI$20,ROW()-4),Calcs!$AI$7:$AI$20,0)),"")</f>
        <v>Aaron</v>
      </c>
      <c r="C7" s="54">
        <f ca="1">IFERROR(INDEX(Calcs!$S$7:$S$20,MATCH($B7,Calcs!$A$7:$A$20,0)),"")</f>
        <v>1196.4573388632245</v>
      </c>
      <c r="D7" s="55">
        <f ca="1">COUNTIF('Match Log'!$D$4:$D$1510,$B7)</f>
        <v>89</v>
      </c>
      <c r="E7" s="55">
        <f ca="1">COUNTIFS('Match Log'!$D$4:$D$1510,$B7,'Match Log'!$E$4:$E$1510,"Win")</f>
        <v>42</v>
      </c>
      <c r="F7" s="55">
        <f t="shared" ca="1" si="1"/>
        <v>47</v>
      </c>
      <c r="G7" s="56">
        <f t="shared" ca="1" si="2"/>
        <v>0.47191011235955055</v>
      </c>
      <c r="H7" s="57">
        <f ca="1">SUMIF('Match Log'!$D$4:$D$1510,$B7,'Match Log'!$J$4:$J$1510)</f>
        <v>47.757035931473901</v>
      </c>
      <c r="I7" s="57">
        <f ca="1">SUMIF('Match Log'!$D$4:$D$1510,$B7,'Match Log'!$K$4:$K$1510)</f>
        <v>65.800302931750437</v>
      </c>
      <c r="J7" s="57">
        <f ca="1">SUMIF('Match Log'!$D$4:$D$1510,$B7,'Match Log'!$L$4:$L$1510)</f>
        <v>104</v>
      </c>
      <c r="K7" s="55">
        <f ca="1">SUMPRODUCT(--(COUNTIFS('Match Log'!$D$4:$D$1510,$B7,'Match Log'!$C$4:$C$1510,Lists!$C$2:$C$26)&gt;0))</f>
        <v>14</v>
      </c>
      <c r="L7" s="55" t="str">
        <f ca="1">IF($D7=0,"No games",IF(AND($D7&gt;='Guide &amp; Settings'!$C$45,$K7&gt;='Guide &amp; Settings'!$C$46),"Eligible","Provisional"))</f>
        <v>Eligible</v>
      </c>
      <c r="M7" s="54">
        <f ca="1">IFERROR(INDEX(Calcs!$C$7:$C$20,MATCH($B7,Calcs!$A$7:$A$20,0)),"")</f>
        <v>1123.3386571798642</v>
      </c>
      <c r="N7" s="54">
        <f t="shared" ca="1" si="3"/>
        <v>58.789681841992433</v>
      </c>
      <c r="O7" s="55" t="str">
        <f ca="1">IFERROR(INDEX(Calcs!$H$7:$H$20,MATCH($B7,Calcs!$A$7:$A$20,0)),"")</f>
        <v>L5</v>
      </c>
      <c r="P7" s="55" t="str">
        <f ca="1">IFERROR(INDEX(Calcs!$I$7:$I$20,MATCH($B7,Calcs!$A$7:$A$20,0)),"")</f>
        <v>LLLLL</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25 Sep</v>
      </c>
      <c r="S7" s="55">
        <f ca="1">IFERROR(ROUND(INDEX(Calcs!$Q$7:$Q$20,MATCH($B7,Calcs!$A$7:$A$20,0)),1),"")</f>
        <v>0.4</v>
      </c>
      <c r="T7" s="55" t="str">
        <f ca="1">IFERROR(INDEX(Calcs!$T$7:$T$20,MATCH($B7,Calcs!$A$7:$A$20,0)),"")</f>
        <v>Active</v>
      </c>
      <c r="U7">
        <f ca="1">IFERROR(ROUND(INDEX(Calcs!$R$7:$R$20,MATCH($B7,Calcs!$A$7:$A$20,0))+INDEX(Calcs!$U$7:$U$20,MATCH($B7,Calcs!$A$7:$A$20,0)),0),0)</f>
        <v>10</v>
      </c>
      <c r="V7" s="57">
        <f ca="1">IFERROR(ROUND(INDEX(Calcs!$S$7:$S$20,MATCH($B7,Calcs!$A$7:$A$20,0)),0),"")</f>
        <v>1196</v>
      </c>
      <c r="W7" s="55" t="str">
        <f ca="1">IFERROR(INDEX(Calcs!$AF$7:$AF$20,MATCH($B7,Calcs!$A$7:$A$20,0)),"")</f>
        <v>Elite</v>
      </c>
      <c r="X7" s="57">
        <f ca="1">IFERROR(ROUND(SUMIF('Poker Stake Ledger'!$C$18:$C$137,$B7,'Poker Stake Ledger'!$K$18:$K$137),1),0)</f>
        <v>-11.1</v>
      </c>
    </row>
    <row r="8" spans="1:24" ht="15" customHeight="1" x14ac:dyDescent="0.2">
      <c r="A8" s="52">
        <f t="shared" si="0"/>
        <v>4</v>
      </c>
      <c r="B8" s="53" t="str">
        <f ca="1">IFERROR(INDEX(Calcs!$A$7:$A$20,MATCH(LARGE(Calcs!$AI$7:$AI$20,ROW()-4),Calcs!$AI$7:$AI$20,0)),"")</f>
        <v>Dean B</v>
      </c>
      <c r="C8" s="54">
        <f ca="1">IFERROR(INDEX(Calcs!$S$7:$S$20,MATCH($B8,Calcs!$A$7:$A$20,0)),"")</f>
        <v>1187.9015417269482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1128.6162246665585</v>
      </c>
      <c r="N8" s="54">
        <f t="shared" ca="1" si="3"/>
        <v>67.345478978268829</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0.4</v>
      </c>
      <c r="T8" s="55" t="str">
        <f ca="1">IFERROR(INDEX(Calcs!$T$7:$T$20,MATCH($B8,Calcs!$A$7:$A$20,0)),"")</f>
        <v>Active</v>
      </c>
      <c r="U8">
        <f ca="1">IFERROR(ROUND(INDEX(Calcs!$R$7:$R$20,MATCH($B8,Calcs!$A$7:$A$20,0))+INDEX(Calcs!$U$7:$U$20,MATCH($B8,Calcs!$A$7:$A$20,0)),0),0)</f>
        <v>30</v>
      </c>
      <c r="V8" s="57">
        <f ca="1">IFERROR(ROUND(INDEX(Calcs!$S$7:$S$20,MATCH($B8,Calcs!$A$7:$A$20,0)),0),"")</f>
        <v>1188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Daniel (Ferret)</v>
      </c>
      <c r="C9" s="54">
        <f ca="1">IFERROR(INDEX(Calcs!$S$7:$S$20,MATCH($B9,Calcs!$A$7:$A$20,0)),"")</f>
        <v>1178.8141127775541</v>
      </c>
      <c r="D9" s="55">
        <f ca="1">COUNTIF('Match Log'!$D$4:$D$1510,$B9)</f>
        <v>148</v>
      </c>
      <c r="E9" s="55">
        <f ca="1">COUNTIFS('Match Log'!$D$4:$D$1510,$B9,'Match Log'!$E$4:$E$1510,"Win")</f>
        <v>62</v>
      </c>
      <c r="F9" s="55">
        <f t="shared" ca="1" si="1"/>
        <v>86</v>
      </c>
      <c r="G9" s="56">
        <f t="shared" ca="1" si="2"/>
        <v>0.41891891891891891</v>
      </c>
      <c r="H9" s="57">
        <f ca="1">SUMIF('Match Log'!$D$4:$D$1510,$B9,'Match Log'!$J$4:$J$1510)</f>
        <v>-16.783767640738354</v>
      </c>
      <c r="I9" s="57">
        <f ca="1">SUMIF('Match Log'!$D$4:$D$1510,$B9,'Match Log'!$K$4:$K$1510)</f>
        <v>41.947880418292939</v>
      </c>
      <c r="J9" s="57">
        <f ca="1">SUMIF('Match Log'!$D$4:$D$1510,$B9,'Match Log'!$L$4:$L$1510)</f>
        <v>155</v>
      </c>
      <c r="K9" s="55">
        <f ca="1">SUMPRODUCT(--(COUNTIFS('Match Log'!$D$4:$D$1510,$B9,'Match Log'!$C$4:$C$1510,Lists!$C$2:$C$26)&gt;0))</f>
        <v>20</v>
      </c>
      <c r="L9" s="55" t="str">
        <f ca="1">IF($D9=0,"No games",IF(AND($D9&gt;='Guide &amp; Settings'!$C$45,$K9&gt;='Guide &amp; Settings'!$C$46),"Eligible","Provisional"))</f>
        <v>Eligible</v>
      </c>
      <c r="M9" s="54">
        <f ca="1">IFERROR(INDEX(Calcs!$C$7:$C$20,MATCH($B9,Calcs!$A$7:$A$20,0)),"")</f>
        <v>1143.4731534680354</v>
      </c>
      <c r="N9" s="54">
        <f t="shared" ca="1" si="3"/>
        <v>76.432907927662882</v>
      </c>
      <c r="O9" s="55" t="str">
        <f ca="1">IFERROR(INDEX(Calcs!$H$7:$H$20,MATCH($B9,Calcs!$A$7:$A$20,0)),"")</f>
        <v>L2</v>
      </c>
      <c r="P9" s="55" t="str">
        <f ca="1">IFERROR(INDEX(Calcs!$I$7:$I$20,MATCH($B9,Calcs!$A$7:$A$20,0)),"")</f>
        <v>WLWLL</v>
      </c>
      <c r="Q9" s="55" t="str">
        <f ca="1">IFERROR(IF(INDEX(Calcs!$L$7:$L$20,MATCH($B9,Calcs!$A$7:$A$20,0))&gt;0,"▲"&amp;INDEX(Calcs!$L$7:$L$20,MATCH($B9,Calcs!$A$7:$A$20,0)),IF(INDEX(Calcs!$L$7:$L$20,MATCH($B9,Calcs!$A$7:$A$20,0))&lt;0,"▼"&amp;ABS(INDEX(Calcs!$L$7:$L$20,MATCH($B9,Calcs!$A$7:$A$20,0))),"–")),"")</f>
        <v>▲3</v>
      </c>
      <c r="R9" s="55" t="str">
        <f ca="1">IFERROR(IF(INDEX(Calcs!$P$7:$P$20,MATCH($B9,Calcs!$A$7:$A$20,0))=0,"—",TEXT(INDEX(Calcs!$P$7:$P$20,MATCH($B9,Calcs!$A$7:$A$20,0)),"d mmm")),"")</f>
        <v>27 Sep</v>
      </c>
      <c r="S9" s="55">
        <f ca="1">IFERROR(ROUND(INDEX(Calcs!$Q$7:$Q$20,MATCH($B9,Calcs!$A$7:$A$20,0)),1),"")</f>
        <v>0.1</v>
      </c>
      <c r="T9" s="55" t="str">
        <f ca="1">IFERROR(INDEX(Calcs!$T$7:$T$20,MATCH($B9,Calcs!$A$7:$A$20,0)),"")</f>
        <v>Active</v>
      </c>
      <c r="U9">
        <f ca="1">IFERROR(ROUND(INDEX(Calcs!$R$7:$R$20,MATCH($B9,Calcs!$A$7:$A$20,0))+INDEX(Calcs!$U$7:$U$20,MATCH($B9,Calcs!$A$7:$A$20,0)),0),0)</f>
        <v>0</v>
      </c>
      <c r="V9" s="57">
        <f ca="1">IFERROR(ROUND(INDEX(Calcs!$S$7:$S$20,MATCH($B9,Calcs!$A$7:$A$20,0)),0),"")</f>
        <v>1179</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Shawn</v>
      </c>
      <c r="C10" s="54">
        <f ca="1">IFERROR(INDEX(Calcs!$S$7:$S$20,MATCH($B10,Calcs!$A$7:$A$20,0)),"")</f>
        <v>1129.1037274164212</v>
      </c>
      <c r="D10" s="55">
        <f ca="1">COUNTIF('Match Log'!$D$4:$D$1510,$B10)</f>
        <v>157</v>
      </c>
      <c r="E10" s="55">
        <f ca="1">COUNTIFS('Match Log'!$D$4:$D$1510,$B10,'Match Log'!$E$4:$E$1510,"Win")</f>
        <v>73</v>
      </c>
      <c r="F10" s="55">
        <f t="shared" ca="1" si="1"/>
        <v>84</v>
      </c>
      <c r="G10" s="56">
        <f t="shared" ca="1" si="2"/>
        <v>0.46496815286624205</v>
      </c>
      <c r="H10" s="57">
        <f ca="1">SUMIF('Match Log'!$D$4:$D$1510,$B10,'Match Log'!$J$4:$J$1510)</f>
        <v>-44.253366039741373</v>
      </c>
      <c r="I10" s="57">
        <f ca="1">SUMIF('Match Log'!$D$4:$D$1510,$B10,'Match Log'!$K$4:$K$1510)</f>
        <v>0.10709345616288424</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1144.9300050548341</v>
      </c>
      <c r="N10" s="54">
        <f t="shared" ca="1" si="3"/>
        <v>126.1432932887958</v>
      </c>
      <c r="O10" s="55" t="str">
        <f ca="1">IFERROR(INDEX(Calcs!$H$7:$H$20,MATCH($B10,Calcs!$A$7:$A$20,0)),"")</f>
        <v>L6</v>
      </c>
      <c r="P10" s="55" t="str">
        <f ca="1">IFERROR(INDEX(Calcs!$I$7:$I$20,MATCH($B10,Calcs!$A$7:$A$20,0)),"")</f>
        <v>LLLLL</v>
      </c>
      <c r="Q10" s="55" t="str">
        <f ca="1">IFERROR(IF(INDEX(Calcs!$L$7:$L$20,MATCH($B10,Calcs!$A$7:$A$20,0))&gt;0,"▲"&amp;INDEX(Calcs!$L$7:$L$20,MATCH($B10,Calcs!$A$7:$A$20,0)),IF(INDEX(Calcs!$L$7:$L$20,MATCH($B10,Calcs!$A$7:$A$20,0))&lt;0,"▼"&amp;ABS(INDEX(Calcs!$L$7:$L$20,MATCH($B10,Calcs!$A$7:$A$20,0))),"–")),"")</f>
        <v>▼4</v>
      </c>
      <c r="R10" s="55" t="str">
        <f ca="1">IFERROR(IF(INDEX(Calcs!$P$7:$P$20,MATCH($B10,Calcs!$A$7:$A$20,0))=0,"—",TEXT(INDEX(Calcs!$P$7:$P$20,MATCH($B10,Calcs!$A$7:$A$20,0)),"d mmm")),"")</f>
        <v>26 Sep</v>
      </c>
      <c r="S10" s="55">
        <f ca="1">IFERROR(ROUND(INDEX(Calcs!$Q$7:$Q$20,MATCH($B10,Calcs!$A$7:$A$20,0)),1),"")</f>
        <v>0.3</v>
      </c>
      <c r="T10" s="55" t="str">
        <f ca="1">IFERROR(INDEX(Calcs!$T$7:$T$20,MATCH($B10,Calcs!$A$7:$A$20,0)),"")</f>
        <v>Active</v>
      </c>
      <c r="U10">
        <f ca="1">IFERROR(ROUND(INDEX(Calcs!$R$7:$R$20,MATCH($B10,Calcs!$A$7:$A$20,0))+INDEX(Calcs!$U$7:$U$20,MATCH($B10,Calcs!$A$7:$A$20,0)),0),0)</f>
        <v>0</v>
      </c>
      <c r="V10" s="57">
        <f ca="1">IFERROR(ROUND(INDEX(Calcs!$S$7:$S$20,MATCH($B10,Calcs!$A$7:$A$20,0)),0),"")</f>
        <v>1129</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Log'!$D$4:$D$1510,$B11)</f>
        <v>20</v>
      </c>
      <c r="E11" s="55">
        <f ca="1">COUNTIFS('Match Log'!$D$4:$D$1510,$B11,'Match Log'!$E$4:$E$1510,"Win")</f>
        <v>9</v>
      </c>
      <c r="F11" s="55">
        <f t="shared" ca="1" si="1"/>
        <v>11</v>
      </c>
      <c r="G11" s="56">
        <f t="shared" ca="1" si="2"/>
        <v>0.45</v>
      </c>
      <c r="H11" s="57">
        <f ca="1">SUMIF('Match Log'!$D$4:$D$1510,$B11,'Match Log'!$J$4:$J$1510)</f>
        <v>38.265554488910006</v>
      </c>
      <c r="I11" s="57">
        <f ca="1">SUMIF('Match Log'!$D$4:$D$1510,$B11,'Match Log'!$K$4:$K$1510)</f>
        <v>2.963167039732447</v>
      </c>
      <c r="J11" s="57">
        <f ca="1">SUMIF('Match Log'!$D$4:$D$1510,$B11,'Match Log'!$L$4:$L$1510)</f>
        <v>40</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1127.400685202153</v>
      </c>
      <c r="N11" s="54">
        <f t="shared" ca="1" si="3"/>
        <v>194.0182991765746</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2.7</v>
      </c>
      <c r="T11" s="55" t="str">
        <f ca="1">IFERROR(INDEX(Calcs!$T$7:$T$20,MATCH($B11,Calcs!$A$7:$A$20,0)),"")</f>
        <v>At risk</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1057.5488947064855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1070.0329344029183</v>
      </c>
      <c r="N12" s="54">
        <f t="shared" ca="1" si="3"/>
        <v>197.69812599873148</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15 Aug</v>
      </c>
      <c r="S12" s="55">
        <f ca="1">IFERROR(ROUND(INDEX(Calcs!$Q$7:$Q$20,MATCH($B12,Calcs!$A$7:$A$20,0)),1),"")</f>
        <v>6.3</v>
      </c>
      <c r="T12" s="55" t="str">
        <f ca="1">IFERROR(INDEX(Calcs!$T$7:$T$20,MATCH($B12,Calcs!$A$7:$A$20,0)),"")</f>
        <v>Inactive</v>
      </c>
      <c r="U12">
        <f ca="1">IFERROR(ROUND(INDEX(Calcs!$R$7:$R$20,MATCH($B12,Calcs!$A$7:$A$20,0))+INDEX(Calcs!$U$7:$U$20,MATCH($B12,Calcs!$A$7:$A$20,0)),0),0)</f>
        <v>30</v>
      </c>
      <c r="V12" s="57">
        <f ca="1">IFERROR(ROUND(INDEX(Calcs!$S$7:$S$20,MATCH($B12,Calcs!$A$7:$A$20,0)),0),"")</f>
        <v>1058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993.2192605207141</v>
      </c>
      <c r="D14" s="55">
        <f ca="1">COUNTIF('Match Log'!$D$4:$D$1510,$B14)</f>
        <v>15</v>
      </c>
      <c r="E14" s="55">
        <f ca="1">COUNTIFS('Match Log'!$D$4:$D$1510,$B14,'Match Log'!$E$4:$E$1510,"Win")</f>
        <v>6</v>
      </c>
      <c r="F14" s="55">
        <f t="shared" ca="1" si="1"/>
        <v>9</v>
      </c>
      <c r="G14" s="56">
        <f t="shared" ca="1" si="2"/>
        <v>0.4</v>
      </c>
      <c r="H14" s="57">
        <f ca="1">SUMIF('Match Log'!$D$4:$D$1510,$B14,'Match Log'!$J$4:$J$1510)</f>
        <v>-11.626983026245711</v>
      </c>
      <c r="I14" s="57">
        <f ca="1">SUMIF('Match Log'!$D$4:$D$1510,$B14,'Match Log'!$K$4:$K$1510)</f>
        <v>3.8462435469599932</v>
      </c>
      <c r="J14" s="57">
        <f ca="1">SUMIF('Match Log'!$D$4:$D$1510,$B14,'Match Log'!$L$4:$L$1510)</f>
        <v>31</v>
      </c>
      <c r="K14" s="55">
        <f ca="1">SUMPRODUCT(--(COUNTIFS('Match Log'!$D$4:$D$1510,$B14,'Match Log'!$C$4:$C$1510,Lists!$C$2:$C$26)&gt;0))</f>
        <v>4</v>
      </c>
      <c r="L14" s="55" t="str">
        <f ca="1">IF($D14=0,"No games",IF(AND($D14&gt;='Guide &amp; Settings'!$C$45,$K14&gt;='Guide &amp; Settings'!$C$46),"Eligible","Provisional"))</f>
        <v>Eligible</v>
      </c>
      <c r="M14" s="54">
        <f ca="1">IFERROR(INDEX(Calcs!$C$7:$C$20,MATCH($B14,Calcs!$A$7:$A$20,0)),"")</f>
        <v>1106.5053382716901</v>
      </c>
      <c r="N14" s="54">
        <f t="shared" ca="1" si="3"/>
        <v>262.02776018450288</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15 Aug</v>
      </c>
      <c r="S14" s="55">
        <f ca="1">IFERROR(ROUND(INDEX(Calcs!$Q$7:$Q$20,MATCH($B14,Calcs!$A$7:$A$20,0)),1),"")</f>
        <v>6.3</v>
      </c>
      <c r="T14" s="55" t="str">
        <f ca="1">IFERROR(INDEX(Calcs!$T$7:$T$20,MATCH($B14,Calcs!$A$7:$A$20,0)),"")</f>
        <v>Inactive</v>
      </c>
      <c r="U14">
        <f ca="1">IFERROR(ROUND(INDEX(Calcs!$R$7:$R$20,MATCH($B14,Calcs!$A$7:$A$20,0))+INDEX(Calcs!$U$7:$U$20,MATCH($B14,Calcs!$A$7:$A$20,0)),0),0)</f>
        <v>30</v>
      </c>
      <c r="V14" s="57">
        <f ca="1">IFERROR(ROUND(INDEX(Calcs!$S$7:$S$20,MATCH($B14,Calcs!$A$7:$A$20,0)),0),"")</f>
        <v>993</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t="shared" ca="1" si="1"/>
        <v>54</v>
      </c>
      <c r="G15" s="56">
        <f t="shared" ca="1" si="2"/>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1152.1620835642163</v>
      </c>
      <c r="N15" s="54">
        <f t="shared" ca="1" si="3"/>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0.3</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909.51759653351382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1093.9220605220819</v>
      </c>
      <c r="N16" s="54">
        <f t="shared" ca="1" si="3"/>
        <v>345.72942417170316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15</v>
      </c>
      <c r="T16" s="55" t="str">
        <f ca="1">IFERROR(INDEX(Calcs!$T$7:$T$20,MATCH($B16,Calcs!$A$7:$A$20,0)),"")</f>
        <v>Inactive</v>
      </c>
      <c r="U16">
        <f ca="1">IFERROR(ROUND(INDEX(Calcs!$R$7:$R$20,MATCH($B16,Calcs!$A$7:$A$20,0))+INDEX(Calcs!$U$7:$U$20,MATCH($B16,Calcs!$A$7:$A$20,0)),0),0)</f>
        <v>120</v>
      </c>
      <c r="V16" s="57">
        <f ca="1">IFERROR(ROUND(INDEX(Calcs!$S$7:$S$20,MATCH($B16,Calcs!$A$7:$A$20,0)),0),"")</f>
        <v>910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867.03133644117429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1159.2986464389289</v>
      </c>
      <c r="N17" s="54">
        <f t="shared" ca="1" si="3"/>
        <v>388.21568426404269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5.3</v>
      </c>
      <c r="T17" s="55" t="str">
        <f ca="1">IFERROR(INDEX(Calcs!$T$7:$T$20,MATCH($B17,Calcs!$A$7:$A$20,0)),"")</f>
        <v>Inactive</v>
      </c>
      <c r="U17">
        <f ca="1">IFERROR(ROUND(INDEX(Calcs!$R$7:$R$20,MATCH($B17,Calcs!$A$7:$A$20,0))+INDEX(Calcs!$U$7:$U$20,MATCH($B17,Calcs!$A$7:$A$20,0)),0),0)</f>
        <v>40</v>
      </c>
      <c r="V17" s="57">
        <f ca="1">IFERROR(ROUND(INDEX(Calcs!$S$7:$S$20,MATCH($B17,Calcs!$A$7:$A$20,0)),0),"")</f>
        <v>867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782.22294373677494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1126.981824789618</v>
      </c>
      <c r="N18" s="54">
        <f t="shared" ca="1" si="3"/>
        <v>473.02407696844205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10.1</v>
      </c>
      <c r="T18" s="55" t="str">
        <f ca="1">IFERROR(INDEX(Calcs!$T$7:$T$20,MATCH($B18,Calcs!$A$7:$A$20,0)),"")</f>
        <v>Inactive</v>
      </c>
      <c r="U18">
        <f ca="1">IFERROR(ROUND(INDEX(Calcs!$R$7:$R$20,MATCH($B18,Calcs!$A$7:$A$20,0))+INDEX(Calcs!$U$7:$U$20,MATCH($B18,Calcs!$A$7:$A$20,0)),0),0)</f>
        <v>80</v>
      </c>
      <c r="V18" s="57">
        <f ca="1">IFERROR(ROUND(INDEX(Calcs!$S$7:$S$20,MATCH($B18,Calcs!$A$7:$A$20,0)),0),"")</f>
        <v>782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1122.8870443335802</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90</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81</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54% of 26</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46% of 26</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36</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36</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306</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14</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47</v>
      </c>
      <c r="Q26" s="85" t="str">
        <f t="shared" si="0"/>
        <v>Daniel (Ferret)</v>
      </c>
      <c r="R26" s="84">
        <f t="shared" si="1"/>
        <v>19</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19</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0.21428571428571427</v>
      </c>
      <c r="C80" s="86" t="str">
        <f t="shared" si="20"/>
        <v/>
      </c>
      <c r="D80" s="86">
        <f t="shared" si="20"/>
        <v>0.5</v>
      </c>
      <c r="E80" s="86" t="str">
        <f t="shared" si="20"/>
        <v/>
      </c>
      <c r="F80" s="86">
        <f t="shared" si="20"/>
        <v>0.5</v>
      </c>
      <c r="G80" s="86">
        <f t="shared" si="20"/>
        <v>0.47368421052631576</v>
      </c>
      <c r="H80" s="86">
        <f t="shared" si="20"/>
        <v>0</v>
      </c>
      <c r="I80" s="86">
        <f t="shared" si="20"/>
        <v>0.61290322580645162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148</v>
      </c>
      <c r="C93" s="83">
        <f>SUMPRODUCT(--(COUNTIFS('Match Log'!$D$4:$D$1510,$A93,'Match Log'!$C$4:$C$1510,Lists!$C$2:$C$26)&gt;0))</f>
        <v>20</v>
      </c>
      <c r="D93" s="83">
        <f>COUNTIFS('Match Log'!$D$4:$D$1510,$A93,'Match Log'!$E$4:$E$1510,"Win")</f>
        <v>62</v>
      </c>
      <c r="E93" s="86">
        <f t="shared" si="27"/>
        <v>0.41891891891891891</v>
      </c>
      <c r="F93" s="88">
        <f ca="1">IFERROR(INDEX(Calcs!$S$7:$S$20,MATCH($A93,Calcs!$A$7:$A$20,0)),"")</f>
        <v>1178.8141127775541</v>
      </c>
      <c r="G93" s="83" t="str">
        <f>IF($B93=0,"No games",IF(AND($B93&gt;='Guide &amp; Settings'!$C$45,$C93&gt;='Guide &amp; Settings'!$C$46),"Eligible","Provisional"))</f>
        <v>Eligible</v>
      </c>
      <c r="S93" s="89">
        <f ca="1">IF($G93="Eligible",IF(IFERROR(INDEX(Calcs!$T$7:$T$20,MATCH($A93,Calcs!$A$7:$A$20,0)),"")="Inactive",-1,$F93),-1)</f>
        <v>1178.8141127775541</v>
      </c>
    </row>
    <row r="94" spans="1:19" ht="15" customHeight="1" x14ac:dyDescent="0.2">
      <c r="A94" s="82" t="s">
        <v>15</v>
      </c>
      <c r="B94" s="83">
        <f>COUNTIF('Match Log'!$D$4:$D$1510,$A94)</f>
        <v>89</v>
      </c>
      <c r="C94" s="83">
        <f>SUMPRODUCT(--(COUNTIFS('Match Log'!$D$4:$D$1510,$A94,'Match Log'!$C$4:$C$1510,Lists!$C$2:$C$26)&gt;0))</f>
        <v>14</v>
      </c>
      <c r="D94" s="83">
        <f>COUNTIFS('Match Log'!$D$4:$D$1510,$A94,'Match Log'!$E$4:$E$1510,"Win")</f>
        <v>42</v>
      </c>
      <c r="E94" s="86">
        <f t="shared" si="27"/>
        <v>0.47191011235955055</v>
      </c>
      <c r="F94" s="88">
        <f ca="1">IFERROR(INDEX(Calcs!$S$7:$S$20,MATCH($A94,Calcs!$A$7:$A$20,0)),"")</f>
        <v>1196.4573388632245</v>
      </c>
      <c r="G94" s="83" t="str">
        <f>IF($B94=0,"No games",IF(AND($B94&gt;='Guide &amp; Settings'!$C$45,$C94&gt;='Guide &amp; Settings'!$C$46),"Eligible","Provisional"))</f>
        <v>Eligible</v>
      </c>
      <c r="S94" s="89">
        <f ca="1">IF($G94="Eligible",IF(IFERROR(INDEX(Calcs!$T$7:$T$20,MATCH($A94,Calcs!$A$7:$A$20,0)),"")="Inactive",-1,$F94),-1)</f>
        <v>1196.4573388632245</v>
      </c>
    </row>
    <row r="95" spans="1:19" ht="15" customHeight="1" x14ac:dyDescent="0.2">
      <c r="A95" s="82" t="s">
        <v>20</v>
      </c>
      <c r="B95" s="83">
        <f>COUNTIF('Match Log'!$D$4:$D$1510,$A95)</f>
        <v>157</v>
      </c>
      <c r="C95" s="83">
        <f>SUMPRODUCT(--(COUNTIFS('Match Log'!$D$4:$D$1510,$A95,'Match Log'!$C$4:$C$1510,Lists!$C$2:$C$26)&gt;0))</f>
        <v>19</v>
      </c>
      <c r="D95" s="83">
        <f>COUNTIFS('Match Log'!$D$4:$D$1510,$A95,'Match Log'!$E$4:$E$1510,"Win")</f>
        <v>73</v>
      </c>
      <c r="E95" s="86">
        <f t="shared" si="27"/>
        <v>0.46496815286624205</v>
      </c>
      <c r="F95" s="88">
        <f ca="1">IFERROR(INDEX(Calcs!$S$7:$S$20,MATCH($A95,Calcs!$A$7:$A$20,0)),"")</f>
        <v>1129.1037274164212</v>
      </c>
      <c r="G95" s="83" t="str">
        <f>IF($B95=0,"No games",IF(AND($B95&gt;='Guide &amp; Settings'!$C$45,$C95&gt;='Guide &amp; Settings'!$C$46),"Eligible","Provisional"))</f>
        <v>Eligible</v>
      </c>
      <c r="S95" s="89">
        <f ca="1">IF($G95="Eligible",IF(IFERROR(INDEX(Calcs!$T$7:$T$20,MATCH($A95,Calcs!$A$7:$A$20,0)),"")="Inactive",-1,$F95),-1)</f>
        <v>1129.1037274164212</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909.51759653351382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1057.5488947064855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993.2192605207141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867.03133644117429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782.22294373677494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941.66416056941034</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1127.9441393405727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157</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45 points clear of Simon.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Shawn can't take a trick — 6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Josh is surging — up 3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306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Simon</v>
      </c>
      <c r="C18" s="144">
        <f ca="1">ROUND(Dashboard!$C$6,0)</f>
        <v>1210</v>
      </c>
      <c r="D18" s="111" t="str">
        <f ca="1">ROUND(Dashboard!$C$5-Dashboard!$C$6,0)&amp;" behind"</f>
        <v>45 behind</v>
      </c>
      <c r="E18" s="105"/>
      <c r="F18" s="27"/>
    </row>
    <row r="19" spans="1:6" ht="15" customHeight="1" x14ac:dyDescent="0.2">
      <c r="A19" s="110">
        <v>3</v>
      </c>
      <c r="B19" s="62" t="str">
        <f ca="1">Dashboard!$B$7</f>
        <v>Aaron</v>
      </c>
      <c r="C19" s="144">
        <f ca="1">ROUND(Dashboard!$C$7,0)</f>
        <v>1196</v>
      </c>
      <c r="D19" s="111" t="str">
        <f ca="1">ROUND(Dashboard!$C$5-Dashboard!$C$7,0)&amp;" behind"</f>
        <v>59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W</v>
      </c>
      <c r="C40" s="113" t="str">
        <f>IFERROR(IF(INDEX('Match Log'!$E$1:$E$1510,_xlfn.AGGREGATE(14,6,ROW('Match Log'!$A$4:$A$1510)/('Match Log'!$D$4:$D$1510=$A40),9))="Win","W","L"),"")</f>
        <v>W</v>
      </c>
      <c r="D40" s="113" t="str">
        <f>IFERROR(IF(INDEX('Match Log'!$E$1:$E$1510,_xlfn.AGGREGATE(14,6,ROW('Match Log'!$A$4:$A$1510)/('Match Log'!$D$4:$D$1510=$A40),8))="Win","W","L"),"")</f>
        <v>L</v>
      </c>
      <c r="E40" s="113" t="str">
        <f>IFERROR(IF(INDEX('Match Log'!$E$1:$E$1510,_xlfn.AGGREGATE(14,6,ROW('Match Log'!$A$4:$A$1510)/('Match Log'!$D$4:$D$1510=$A40),7))="Win","W","L"),"")</f>
        <v>W</v>
      </c>
      <c r="F40" s="113" t="str">
        <f>IFERROR(IF(INDEX('Match Log'!$E$1:$E$1510,_xlfn.AGGREGATE(14,6,ROW('Match Log'!$A$4:$A$1510)/('Match Log'!$D$4:$D$1510=$A40),6))="Win","W","L"),"")</f>
        <v>W</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L</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0.21428571428571427</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0.61290322580645162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46285</v>
      </c>
    </row>
    <row r="4" spans="1:41" ht="15" customHeight="1" x14ac:dyDescent="0.2">
      <c r="A4" t="s">
        <v>416</v>
      </c>
      <c r="B4" s="138">
        <f>MAX('Match Log'!$B$4:$B$1510)</f>
        <v>46292</v>
      </c>
      <c r="C4" t="s">
        <v>417</v>
      </c>
      <c r="D4" s="138">
        <f ca="1">MAX($B$4,TODAY())</f>
        <v>46293</v>
      </c>
    </row>
    <row r="5" spans="1:41" x14ac:dyDescent="0.2">
      <c r="B5" s="137">
        <f ca="1">TODAY()-7</f>
        <v>46286</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1217.5573388632245</v>
      </c>
      <c r="C7">
        <f>IFERROR(INDEX(Engine!$C$2:$C$15,MATCH($A7,Engine!$A$2:$A$15,0)),"")</f>
        <v>1123.3386571798642</v>
      </c>
      <c r="D7">
        <f t="shared" ref="D7:D20" si="0">RANK($B7,$B$7:$B$20)</f>
        <v>3</v>
      </c>
      <c r="E7">
        <f t="shared" ref="E7:E20" si="1">MAX($B$7:$B$20)-$B7</f>
        <v>15.939681841992524</v>
      </c>
      <c r="F7" t="str">
        <f>IFERROR(LOOKUP(2,1/('Match Log'!$D$4:$D$1510=$A7),'Match Log'!$E$4:$E$1510),"")</f>
        <v>Loss</v>
      </c>
      <c r="G7">
        <f>IF($F7="",0,SUMPRODUCT(('Match Log'!$D$4:$D$1510=$A7)*(ROW('Match Log'!$A$4:$A$1510)&gt;SUMPRODUCT(MAX(('Match Log'!$D$4:$D$1510=$A7)*('Match Log'!$E$4:$E$1510&lt;&gt;$F7)*ROW('Match Log'!$A$4:$A$1510))))))</f>
        <v>5</v>
      </c>
      <c r="H7" t="str">
        <f t="shared" ref="H7:H20" si="2">IF($G7=0,"",LEFT($F7,1)&amp;$G7)</f>
        <v>L5</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1244.4221860966829</v>
      </c>
      <c r="K7">
        <f t="shared" ref="K7:K20" ca="1" si="4">RANK($J7,$J$7:$J$20)</f>
        <v>1</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46290</v>
      </c>
      <c r="Q7">
        <f t="shared" ref="Q7:Q20" ca="1" si="9">IF($P7=0,"",($D$4-$P7)/7)</f>
        <v>0.42857142857142855</v>
      </c>
      <c r="R7">
        <f ca="1">IF($P7=0,0,IF($Q7&gt;='Guide &amp; Settings'!$C$48,(INT($Q7-'Guide &amp; Settings'!$C$48)+1)*'Guide &amp; Settings'!$C$49,0))</f>
        <v>0</v>
      </c>
      <c r="S7">
        <f ca="1">$B7-$R7-$U7+SUMIF('Poker Stake Ledger'!$C$18:$C$137,$A7,'Poker Stake Ledger'!$K$18:$K$137)</f>
        <v>1196.4573388632245</v>
      </c>
      <c r="T7" t="str">
        <f ca="1">IF($P7=0,"No games",IF($Q7&gt;='Guide &amp; Settings'!$C$48,"Inactive",IF($Q7&gt;='Guide &amp; Settings'!$C$47,"At risk","Active")))</f>
        <v>Active</v>
      </c>
      <c r="U7">
        <f>SUMIF('Match Log'!$D$4:$D$1510,$A7,'Match Log'!$AC$4:$AC$1510)</f>
        <v>10</v>
      </c>
      <c r="V7">
        <f t="shared" ref="V7:V20" si="10">IF($F7="Loss",$G7,0)</f>
        <v>5</v>
      </c>
      <c r="W7">
        <f t="shared" ref="W7:W20" ca="1" si="11">MAX(0,MIN(100,50+($S7-1000)/4))</f>
        <v>99.114334715806137</v>
      </c>
      <c r="X7">
        <f ca="1">IFERROR(INDEX(Dashboard!$G$5:$G$18,MATCH($A7,Dashboard!$B$5:$B$18,0))*100,0)</f>
        <v>47.191011235955052</v>
      </c>
      <c r="Y7">
        <f ca="1">MIN(100,IFERROR(INDEX(Dashboard!$K$5:$K$18,MATCH($A7,Dashboard!$B$5:$B$18,0)),0)/5*50+$AC7/4*50)</f>
        <v>100</v>
      </c>
      <c r="Z7">
        <f t="shared" ref="Z7:Z20" si="12">IFERROR($N7/LEN($I7)*100,0)</f>
        <v>0</v>
      </c>
      <c r="AA7">
        <f t="shared" ref="AA7:AA20" si="13">IF($C7="",0,MAX(0,MIN(100,50+($C7-1000)/4)))</f>
        <v>80.834664294966046</v>
      </c>
      <c r="AB7">
        <f t="shared" ref="AB7:AB20" ca="1" si="14">0.35*$W7+0.2*$X7+0.2*$Y7+0.15*$Z7+0.1*$AA7</f>
        <v>72.211685827219767</v>
      </c>
      <c r="AC7">
        <f>IFERROR(SUMPRODUCT((INDEX('Sport Records'!$B$8:$O$32,0,MATCH($A7,'Sport Records'!$B$7:$O$7,0))&gt;=2)*(INDEX('Sport Records'!$B$62:$O$86,0,MATCH($A7,'Sport Records'!$B$61:$O$61,0))&gt;=0.5)),0)</f>
        <v>4</v>
      </c>
      <c r="AD7">
        <f ca="1">IFERROR(INDEX(Dashboard!$D$5:$D$18,MATCH($A7,Dashboard!$B$5:$B$18,0)),0)</f>
        <v>89</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5</v>
      </c>
      <c r="AH7">
        <f ca="1">COUNTIFS('Match Log'!$D$4:$D$1510,$A7,'Match Log'!$B$4:$B$1510,"&gt;="&amp;$B$5,'Match Log'!$E$4:$E$1510,"Win")</f>
        <v>0</v>
      </c>
      <c r="AI7">
        <f t="shared" ref="AI7:AI20" ca="1" si="16">IF(ISNUMBER($S7),$S7,-1000000)+ROW()/10000000</f>
        <v>1196.4573395632247</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10</v>
      </c>
    </row>
    <row r="8" spans="1:41" ht="15" customHeight="1" x14ac:dyDescent="0.2">
      <c r="A8" t="s">
        <v>16</v>
      </c>
      <c r="B8">
        <f>IFERROR(INDEX(Engine!$B$2:$B$15,MATCH($A8,Engine!$A$2:$A$15,0)),1000)</f>
        <v>1029.5175965335138</v>
      </c>
      <c r="C8">
        <f>IFERROR(INDEX(Engine!$C$2:$C$15,MATCH($A8,Engine!$A$2:$A$15,0)),"")</f>
        <v>1093.9220605220819</v>
      </c>
      <c r="D8">
        <f t="shared" si="0"/>
        <v>9</v>
      </c>
      <c r="E8">
        <f t="shared" si="1"/>
        <v>203.97942417170316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919.51759733351378</v>
      </c>
      <c r="K8">
        <f t="shared" ca="1" si="4"/>
        <v>12</v>
      </c>
      <c r="L8">
        <f t="shared" ca="1" si="5"/>
        <v>0</v>
      </c>
      <c r="M8">
        <f t="shared" si="6"/>
        <v>0</v>
      </c>
      <c r="N8">
        <f t="shared" si="7"/>
        <v>2</v>
      </c>
      <c r="O8">
        <f t="shared" si="8"/>
        <v>0</v>
      </c>
      <c r="P8">
        <f>IFERROR(SUMPRODUCT(MAX(('Match Log'!$D$4:$D$1510=$A8)*'Match Log'!$B$4:$B$1510)),0)</f>
        <v>46188</v>
      </c>
      <c r="Q8">
        <f t="shared" ca="1" si="9"/>
        <v>15</v>
      </c>
      <c r="R8">
        <f ca="1">IF($P8=0,0,IF($Q8&gt;='Guide &amp; Settings'!$C$48,(INT($Q8-'Guide &amp; Settings'!$C$48)+1)*'Guide &amp; Settings'!$C$49,0))</f>
        <v>120</v>
      </c>
      <c r="S8">
        <f ca="1">$B8-$R8-$U8+SUMIF('Poker Stake Ledger'!$C$18:$C$137,$A8,'Poker Stake Ledger'!$K$18:$K$137)</f>
        <v>909.51759653351382</v>
      </c>
      <c r="T8" t="str">
        <f ca="1">IF($P8=0,"No games",IF($Q8&gt;='Guide &amp; Settings'!$C$48,"Inactive",IF($Q8&gt;='Guide &amp; Settings'!$C$47,"At risk","Active")))</f>
        <v>Inactive</v>
      </c>
      <c r="U8">
        <f>SUMIF('Match Log'!$D$4:$D$1510,$A8,'Match Log'!$AC$4:$AC$1510)</f>
        <v>0</v>
      </c>
      <c r="V8">
        <f t="shared" si="10"/>
        <v>2</v>
      </c>
      <c r="W8">
        <f t="shared" ca="1" si="11"/>
        <v>27.379399133378456</v>
      </c>
      <c r="X8">
        <f ca="1">IFERROR(INDEX(Dashboard!$G$5:$G$18,MATCH($A8,Dashboard!$B$5:$B$18,0))*100,0)</f>
        <v>50</v>
      </c>
      <c r="Y8">
        <f ca="1">MIN(100,IFERROR(INDEX(Dashboard!$K$5:$K$18,MATCH($A8,Dashboard!$B$5:$B$18,0)),0)/5*50+$AC8/4*50)</f>
        <v>42.5</v>
      </c>
      <c r="Z8">
        <f t="shared" si="12"/>
        <v>40</v>
      </c>
      <c r="AA8">
        <f t="shared" si="13"/>
        <v>73.480515130520473</v>
      </c>
      <c r="AB8">
        <f t="shared" ca="1" si="14"/>
        <v>41.43084120973451</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909.51759733351378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110</v>
      </c>
    </row>
    <row r="9" spans="1:41" ht="15" customHeight="1" x14ac:dyDescent="0.2">
      <c r="A9" t="s">
        <v>17</v>
      </c>
      <c r="B9">
        <f>IFERROR(INDEX(Engine!$B$2:$B$15,MATCH($A9,Engine!$A$2:$A$15,0)),1000)</f>
        <v>1081.2287215286424</v>
      </c>
      <c r="C9">
        <f>IFERROR(INDEX(Engine!$C$2:$C$15,MATCH($A9,Engine!$A$2:$A$15,0)),"")</f>
        <v>1127.400685202153</v>
      </c>
      <c r="D9">
        <f t="shared" si="0"/>
        <v>8</v>
      </c>
      <c r="E9">
        <f t="shared" si="1"/>
        <v>152.2682991765746</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0</v>
      </c>
      <c r="M9">
        <f t="shared" si="6"/>
        <v>0</v>
      </c>
      <c r="N9">
        <f t="shared" si="7"/>
        <v>2</v>
      </c>
      <c r="O9">
        <f t="shared" si="8"/>
        <v>0</v>
      </c>
      <c r="P9">
        <f>IFERROR(SUMPRODUCT(MAX(('Match Log'!$D$4:$D$1510=$A9)*'Match Log'!$B$4:$B$1510)),0)</f>
        <v>46274</v>
      </c>
      <c r="Q9">
        <f t="shared" ca="1" si="9"/>
        <v>2.7142857142857144</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At risk</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81.85017130053825</v>
      </c>
      <c r="AB9">
        <f t="shared" ca="1" si="14"/>
        <v>66.042530263810036</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1159.2986464389289</v>
      </c>
      <c r="D10">
        <f t="shared" si="0"/>
        <v>13</v>
      </c>
      <c r="E10">
        <f t="shared" si="1"/>
        <v>326.46568426404269</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877.03133744117429</v>
      </c>
      <c r="K10">
        <f t="shared" ca="1" si="4"/>
        <v>13</v>
      </c>
      <c r="L10">
        <f t="shared" ca="1" si="5"/>
        <v>0</v>
      </c>
      <c r="M10">
        <f t="shared" si="6"/>
        <v>0</v>
      </c>
      <c r="N10">
        <f t="shared" si="7"/>
        <v>0</v>
      </c>
      <c r="O10">
        <f t="shared" si="8"/>
        <v>0</v>
      </c>
      <c r="P10">
        <f>IFERROR(SUMPRODUCT(MAX(('Match Log'!$D$4:$D$1510=$A10)*'Match Log'!$B$4:$B$1510)),0)</f>
        <v>46256</v>
      </c>
      <c r="Q10">
        <f t="shared" ca="1" si="9"/>
        <v>5.2857142857142856</v>
      </c>
      <c r="R10">
        <f ca="1">IF($P10=0,0,IF($Q10&gt;='Guide &amp; Settings'!$C$48,(INT($Q10-'Guide &amp; Settings'!$C$48)+1)*'Guide &amp; Settings'!$C$49,0))</f>
        <v>20</v>
      </c>
      <c r="S10">
        <f ca="1">$B10-$R10-$U10+SUMIF('Poker Stake Ledger'!$C$18:$C$137,$A10,'Poker Stake Ledger'!$K$18:$K$137)</f>
        <v>867.03133644117429</v>
      </c>
      <c r="T10" t="str">
        <f ca="1">IF($P10=0,"No games",IF($Q10&gt;='Guide &amp; Settings'!$C$48,"Inactive",IF($Q10&gt;='Guide &amp; Settings'!$C$47,"At risk","Active")))</f>
        <v>Inactive</v>
      </c>
      <c r="U10">
        <f>SUMIF('Match Log'!$D$4:$D$1510,$A10,'Match Log'!$AC$4:$AC$1510)</f>
        <v>20</v>
      </c>
      <c r="V10">
        <f t="shared" si="10"/>
        <v>5</v>
      </c>
      <c r="W10">
        <f t="shared" ca="1" si="11"/>
        <v>16.757834110293572</v>
      </c>
      <c r="X10">
        <f ca="1">IFERROR(INDEX(Dashboard!$G$5:$G$18,MATCH($A10,Dashboard!$B$5:$B$18,0))*100,0)</f>
        <v>21.739130434782609</v>
      </c>
      <c r="Y10">
        <f ca="1">MIN(100,IFERROR(INDEX(Dashboard!$K$5:$K$18,MATCH($A10,Dashboard!$B$5:$B$18,0)),0)/5*50+$AC10/4*50)</f>
        <v>60</v>
      </c>
      <c r="Z10">
        <f t="shared" si="12"/>
        <v>0</v>
      </c>
      <c r="AA10">
        <f t="shared" si="13"/>
        <v>89.824661609732232</v>
      </c>
      <c r="AB10">
        <f t="shared" ca="1" si="14"/>
        <v>31.195534186532498</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867.03133744117429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10</v>
      </c>
    </row>
    <row r="11" spans="1:41" ht="15" customHeight="1" x14ac:dyDescent="0.2">
      <c r="A11" t="s">
        <v>19</v>
      </c>
      <c r="B11">
        <f>IFERROR(INDEX(Engine!$B$2:$B$15,MATCH($A11,Engine!$A$2:$A$15,0)),1000)</f>
        <v>1233.497020705217</v>
      </c>
      <c r="C11">
        <f>IFERROR(INDEX(Engine!$C$2:$C$15,MATCH($A11,Engine!$A$2:$A$15,0)),"")</f>
        <v>1122.8870443335802</v>
      </c>
      <c r="D11">
        <f t="shared" si="0"/>
        <v>1</v>
      </c>
      <c r="E11">
        <f t="shared" si="1"/>
        <v>0</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1214.0621503095624</v>
      </c>
      <c r="K11">
        <f t="shared" ca="1" si="4"/>
        <v>4</v>
      </c>
      <c r="L11">
        <f t="shared" ca="1" si="5"/>
        <v>3</v>
      </c>
      <c r="M11">
        <f t="shared" si="6"/>
        <v>2</v>
      </c>
      <c r="N11">
        <f t="shared" si="7"/>
        <v>5</v>
      </c>
      <c r="O11">
        <f t="shared" si="8"/>
        <v>5</v>
      </c>
      <c r="P11">
        <f>IFERROR(SUMPRODUCT(MAX(('Match Log'!$D$4:$D$1510=$A11)*'Match Log'!$B$4:$B$1510)),0)</f>
        <v>46292</v>
      </c>
      <c r="Q11">
        <f t="shared" ca="1" si="9"/>
        <v>0.14285714285714285</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80.721761083395052</v>
      </c>
      <c r="AB11">
        <f t="shared" ca="1" si="14"/>
        <v>90.259676108339505</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2</v>
      </c>
      <c r="AH11">
        <f ca="1">COUNTIFS('Match Log'!$D$4:$D$1510,$A11,'Match Log'!$B$4:$B$1510,"&gt;="&amp;$B$5,'Match Log'!$E$4:$E$1510,"Win")</f>
        <v>2</v>
      </c>
      <c r="AI11">
        <f t="shared" ca="1" si="16"/>
        <v>1255.2470218052169</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1132.8537274164212</v>
      </c>
      <c r="C12">
        <f>IFERROR(INDEX(Engine!$C$2:$C$15,MATCH($A12,Engine!$A$2:$A$15,0)),"")</f>
        <v>1144.9300050548341</v>
      </c>
      <c r="D12">
        <f t="shared" si="0"/>
        <v>6</v>
      </c>
      <c r="E12">
        <f t="shared" si="1"/>
        <v>100.6432932887958</v>
      </c>
      <c r="F12" t="str">
        <f>IFERROR(LOOKUP(2,1/('Match Log'!$D$4:$D$1510=$A12),'Match Log'!$E$4:$E$1510),"")</f>
        <v>Loss</v>
      </c>
      <c r="G12">
        <f>IF($F12="",0,SUMPRODUCT(('Match Log'!$D$4:$D$1510=$A12)*(ROW('Match Log'!$A$4:$A$1510)&gt;SUMPRODUCT(MAX(('Match Log'!$D$4:$D$1510=$A12)*('Match Log'!$E$4:$E$1510&lt;&gt;$F12)*ROW('Match Log'!$A$4:$A$1510))))))</f>
        <v>6</v>
      </c>
      <c r="H12" t="str">
        <f t="shared" si="2"/>
        <v>L6</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LLLLL</v>
      </c>
      <c r="J12">
        <f t="shared" ca="1" si="3"/>
        <v>1224.3457490478258</v>
      </c>
      <c r="K12">
        <f t="shared" ca="1" si="4"/>
        <v>2</v>
      </c>
      <c r="L12">
        <f t="shared" ca="1" si="5"/>
        <v>-4</v>
      </c>
      <c r="M12">
        <f t="shared" si="6"/>
        <v>6</v>
      </c>
      <c r="N12">
        <f t="shared" si="7"/>
        <v>0</v>
      </c>
      <c r="O12">
        <f t="shared" si="8"/>
        <v>0</v>
      </c>
      <c r="P12">
        <f>IFERROR(SUMPRODUCT(MAX(('Match Log'!$D$4:$D$1510=$A12)*'Match Log'!$B$4:$B$1510)),0)</f>
        <v>46291</v>
      </c>
      <c r="Q12">
        <f t="shared" ca="1" si="9"/>
        <v>0.2857142857142857</v>
      </c>
      <c r="R12">
        <f ca="1">IF($P12=0,0,IF($Q12&gt;='Guide &amp; Settings'!$C$48,(INT($Q12-'Guide &amp; Settings'!$C$48)+1)*'Guide &amp; Settings'!$C$49,0))</f>
        <v>0</v>
      </c>
      <c r="S12">
        <f ca="1">$B12-$R12-$U12+SUMIF('Poker Stake Ledger'!$C$18:$C$137,$A12,'Poker Stake Ledger'!$K$18:$K$137)</f>
        <v>1129.1037274164212</v>
      </c>
      <c r="T12" t="str">
        <f ca="1">IF($P12=0,"No games",IF($Q12&gt;='Guide &amp; Settings'!$C$48,"Inactive",IF($Q12&gt;='Guide &amp; Settings'!$C$47,"At risk","Active")))</f>
        <v>Active</v>
      </c>
      <c r="U12">
        <f>SUMIF('Match Log'!$D$4:$D$1510,$A12,'Match Log'!$AC$4:$AC$1510)</f>
        <v>0</v>
      </c>
      <c r="V12">
        <f t="shared" si="10"/>
        <v>6</v>
      </c>
      <c r="W12">
        <f t="shared" ca="1" si="11"/>
        <v>82.275931854105295</v>
      </c>
      <c r="X12">
        <f ca="1">IFERROR(INDEX(Dashboard!$G$5:$G$18,MATCH($A12,Dashboard!$B$5:$B$18,0))*100,0)</f>
        <v>46.496815286624205</v>
      </c>
      <c r="Y12">
        <f ca="1">MIN(100,IFERROR(INDEX(Dashboard!$K$5:$K$18,MATCH($A12,Dashboard!$B$5:$B$18,0)),0)/5*50+$AC12/4*50)</f>
        <v>100</v>
      </c>
      <c r="Z12">
        <f t="shared" si="12"/>
        <v>0</v>
      </c>
      <c r="AA12">
        <f t="shared" si="13"/>
        <v>86.232501263708514</v>
      </c>
      <c r="AB12">
        <f t="shared" ca="1" si="14"/>
        <v>66.719189332632538</v>
      </c>
      <c r="AC12">
        <f>IFERROR(SUMPRODUCT((INDEX('Sport Records'!$B$8:$O$32,0,MATCH($A12,'Sport Records'!$B$7:$O$7,0))&gt;=2)*(INDEX('Sport Records'!$B$62:$O$86,0,MATCH($A12,'Sport Records'!$B$61:$O$61,0))&gt;=0.5)),0)</f>
        <v>5</v>
      </c>
      <c r="AD12">
        <f ca="1">IFERROR(INDEX(Dashboard!$D$5:$D$18,MATCH($A12,Dashboard!$B$5:$B$18,0)),0)</f>
        <v>157</v>
      </c>
      <c r="AE12">
        <f ca="1">IFERROR(INDEX(Dashboard!$K$5:$K$18,MATCH($A12,Dashboard!$B$5:$B$18,0)),0)</f>
        <v>19</v>
      </c>
      <c r="AF12" t="str">
        <f t="shared" ca="1" si="15"/>
        <v>Strong</v>
      </c>
      <c r="AG12">
        <f ca="1">COUNTIFS('Match Log'!$D$4:$D$1510,$A12,'Match Log'!$B$4:$B$1510,"&gt;="&amp;$B$5)</f>
        <v>10</v>
      </c>
      <c r="AH12">
        <f ca="1">COUNTIFS('Match Log'!$D$4:$D$1510,$A12,'Match Log'!$B$4:$B$1510,"&gt;="&amp;$B$5,'Match Log'!$E$4:$E$1510,"Win")</f>
        <v>2</v>
      </c>
      <c r="AI12">
        <f t="shared" ca="1" si="16"/>
        <v>1129.1037286164212</v>
      </c>
      <c r="AK12">
        <f ca="1">_xlfn.MAXIFS('Match Log'!$B$4:$B$1510,'Match Log'!$D$4:$D$1510,$A12,'Match Log'!$B$4:$B$1510,"&lt;="&amp;($D$4-7))</f>
        <v>46285</v>
      </c>
      <c r="AL12">
        <f ca="1">IFERROR(LOOKUP(2,1/(('Match Log'!$D$4:$D$1510=$A12)*('Match Log'!$B$4:$B$1510&lt;=$D$4-7)),'Match Log'!$N$4:$N$1510),1000)</f>
        <v>1228.0957478478258</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1071.5000984207491</v>
      </c>
      <c r="D13">
        <f t="shared" si="0"/>
        <v>4</v>
      </c>
      <c r="E13">
        <f t="shared" si="1"/>
        <v>17.500839018073975</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3</v>
      </c>
      <c r="M13">
        <f t="shared" si="6"/>
        <v>2</v>
      </c>
      <c r="N13">
        <f t="shared" si="7"/>
        <v>5</v>
      </c>
      <c r="O13">
        <f t="shared" si="8"/>
        <v>5</v>
      </c>
      <c r="P13">
        <f>IFERROR(SUMPRODUCT(MAX(('Match Log'!$D$4:$D$1510=$A13)*'Match Log'!$B$4:$B$1510)),0)</f>
        <v>46271</v>
      </c>
      <c r="Q13">
        <f t="shared" ca="1" si="9"/>
        <v>3.1428571428571428</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67.875024605187264</v>
      </c>
      <c r="AB13">
        <f t="shared" ca="1" si="14"/>
        <v>87.287502460518724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1180.164112777554</v>
      </c>
      <c r="C14">
        <f>IFERROR(INDEX(Engine!$C$2:$C$15,MATCH($A14,Engine!$A$2:$A$15,0)),"")</f>
        <v>1143.4731534680354</v>
      </c>
      <c r="D14">
        <f t="shared" si="0"/>
        <v>5</v>
      </c>
      <c r="E14">
        <f t="shared" si="1"/>
        <v>53.332907927662973</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WLWLL</v>
      </c>
      <c r="J14">
        <f t="shared" ca="1" si="3"/>
        <v>1021.6316258606565</v>
      </c>
      <c r="K14">
        <f t="shared" ca="1" si="4"/>
        <v>8</v>
      </c>
      <c r="L14">
        <f t="shared" ca="1" si="5"/>
        <v>3</v>
      </c>
      <c r="M14">
        <f t="shared" si="6"/>
        <v>10</v>
      </c>
      <c r="N14">
        <f t="shared" si="7"/>
        <v>2</v>
      </c>
      <c r="O14">
        <f t="shared" si="8"/>
        <v>0</v>
      </c>
      <c r="P14">
        <f>IFERROR(SUMPRODUCT(MAX(('Match Log'!$D$4:$D$1510=$A14)*'Match Log'!$B$4:$B$1510)),0)</f>
        <v>46292</v>
      </c>
      <c r="Q14">
        <f t="shared" ca="1" si="9"/>
        <v>0.14285714285714285</v>
      </c>
      <c r="R14">
        <f ca="1">IF($P14=0,0,IF($Q14&gt;='Guide &amp; Settings'!$C$48,(INT($Q14-'Guide &amp; Settings'!$C$48)+1)*'Guide &amp; Settings'!$C$49,0))</f>
        <v>0</v>
      </c>
      <c r="S14">
        <f ca="1">$B14-$R14-$U14+SUMIF('Poker Stake Ledger'!$C$18:$C$137,$A14,'Poker Stake Ledger'!$K$18:$K$137)</f>
        <v>1178.8141127775541</v>
      </c>
      <c r="T14" t="str">
        <f ca="1">IF($P14=0,"No games",IF($Q14&gt;='Guide &amp; Settings'!$C$48,"Inactive",IF($Q14&gt;='Guide &amp; Settings'!$C$47,"At risk","Active")))</f>
        <v>Active</v>
      </c>
      <c r="U14">
        <f>SUMIF('Match Log'!$D$4:$D$1510,$A14,'Match Log'!$AC$4:$AC$1510)</f>
        <v>0</v>
      </c>
      <c r="V14">
        <f t="shared" si="10"/>
        <v>2</v>
      </c>
      <c r="W14">
        <f t="shared" ca="1" si="11"/>
        <v>94.703528194388525</v>
      </c>
      <c r="X14">
        <f ca="1">IFERROR(INDEX(Dashboard!$G$5:$G$18,MATCH($A14,Dashboard!$B$5:$B$18,0))*100,0)</f>
        <v>41.891891891891895</v>
      </c>
      <c r="Y14">
        <f ca="1">MIN(100,IFERROR(INDEX(Dashboard!$K$5:$K$18,MATCH($A14,Dashboard!$B$5:$B$18,0)),0)/5*50+$AC14/4*50)</f>
        <v>100</v>
      </c>
      <c r="Z14">
        <f t="shared" si="12"/>
        <v>40</v>
      </c>
      <c r="AA14">
        <f t="shared" si="13"/>
        <v>85.868288367008859</v>
      </c>
      <c r="AB14">
        <f t="shared" ca="1" si="14"/>
        <v>76.11144208311525</v>
      </c>
      <c r="AC14">
        <f>IFERROR(SUMPRODUCT((INDEX('Sport Records'!$B$8:$O$32,0,MATCH($A14,'Sport Records'!$B$7:$O$7,0))&gt;=2)*(INDEX('Sport Records'!$B$62:$O$86,0,MATCH($A14,'Sport Records'!$B$61:$O$61,0))&gt;=0.5)),0)</f>
        <v>5</v>
      </c>
      <c r="AD14">
        <f ca="1">IFERROR(INDEX(Dashboard!$D$5:$D$18,MATCH($A14,Dashboard!$B$5:$B$18,0)),0)</f>
        <v>148</v>
      </c>
      <c r="AE14">
        <f ca="1">IFERROR(INDEX(Dashboard!$K$5:$K$18,MATCH($A14,Dashboard!$B$5:$B$18,0)),0)</f>
        <v>20</v>
      </c>
      <c r="AF14" t="str">
        <f t="shared" ca="1" si="15"/>
        <v>Elite</v>
      </c>
      <c r="AG14">
        <f ca="1">COUNTIFS('Match Log'!$D$4:$D$1510,$A14,'Match Log'!$B$4:$B$1510,"&gt;="&amp;$B$5)</f>
        <v>15</v>
      </c>
      <c r="AH14">
        <f ca="1">COUNTIFS('Match Log'!$D$4:$D$1510,$A14,'Match Log'!$B$4:$B$1510,"&gt;="&amp;$B$5,'Match Log'!$E$4:$E$1510,"Win")</f>
        <v>11</v>
      </c>
      <c r="AI14">
        <f t="shared" ca="1" si="16"/>
        <v>1178.8141141775541</v>
      </c>
      <c r="AK14">
        <f ca="1">_xlfn.MAXIFS('Match Log'!$B$4:$B$1510,'Match Log'!$D$4:$D$1510,$A14,'Match Log'!$B$4:$B$1510,"&lt;="&amp;($D$4-7))</f>
        <v>46285</v>
      </c>
      <c r="AL14">
        <f ca="1">IFERROR(LOOKUP(2,1/(('Match Log'!$D$4:$D$1510=$A14)*('Match Log'!$B$4:$B$1510&lt;=$D$4-7)),'Match Log'!$N$4:$N$1510),1000)</f>
        <v>1022.9816244606566</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1128.6162246665585</v>
      </c>
      <c r="D15">
        <f t="shared" si="0"/>
        <v>2</v>
      </c>
      <c r="E15">
        <f t="shared" si="1"/>
        <v>15.595478978268829</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1218.9288126472575</v>
      </c>
      <c r="K15">
        <f t="shared" ca="1" si="4"/>
        <v>3</v>
      </c>
      <c r="L15">
        <f t="shared" ca="1" si="5"/>
        <v>-1</v>
      </c>
      <c r="M15">
        <f t="shared" si="6"/>
        <v>3</v>
      </c>
      <c r="N15">
        <f t="shared" si="7"/>
        <v>3</v>
      </c>
      <c r="O15">
        <f t="shared" si="8"/>
        <v>0</v>
      </c>
      <c r="P15">
        <f>IFERROR(SUMPRODUCT(MAX(('Match Log'!$D$4:$D$1510=$A15)*'Match Log'!$B$4:$B$1510)),0)</f>
        <v>46290</v>
      </c>
      <c r="Q15">
        <f t="shared" ca="1" si="9"/>
        <v>0.42857142857142855</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82.154056166639634</v>
      </c>
      <c r="AB15">
        <f t="shared" ca="1" si="14"/>
        <v>83.061552422533822</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1126.981824789618</v>
      </c>
      <c r="D16">
        <f t="shared" si="0"/>
        <v>14</v>
      </c>
      <c r="E16">
        <f t="shared" si="1"/>
        <v>371.27407696844205</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792.22294533677496</v>
      </c>
      <c r="K16">
        <f t="shared" ca="1" si="4"/>
        <v>14</v>
      </c>
      <c r="L16">
        <f t="shared" ca="1" si="5"/>
        <v>0</v>
      </c>
      <c r="M16">
        <f t="shared" si="6"/>
        <v>1</v>
      </c>
      <c r="N16">
        <f t="shared" si="7"/>
        <v>0</v>
      </c>
      <c r="O16">
        <f t="shared" si="8"/>
        <v>0</v>
      </c>
      <c r="P16">
        <f>IFERROR(SUMPRODUCT(MAX(('Match Log'!$D$4:$D$1510=$A16)*'Match Log'!$B$4:$B$1510)),0)</f>
        <v>46222</v>
      </c>
      <c r="Q16">
        <f t="shared" ca="1" si="9"/>
        <v>10.142857142857142</v>
      </c>
      <c r="R16">
        <f ca="1">IF($P16=0,0,IF($Q16&gt;='Guide &amp; Settings'!$C$48,(INT($Q16-'Guide &amp; Settings'!$C$48)+1)*'Guide &amp; Settings'!$C$49,0))</f>
        <v>70</v>
      </c>
      <c r="S16">
        <f ca="1">$B16-$R16-$U16+SUMIF('Poker Stake Ledger'!$C$18:$C$137,$A16,'Poker Stake Ledger'!$K$18:$K$137)</f>
        <v>782.22294373677494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81.745456197404508</v>
      </c>
      <c r="AB16">
        <f t="shared" ca="1" si="14"/>
        <v>16.841212286407121</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782.22294533677496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60</v>
      </c>
    </row>
    <row r="17" spans="1:41" ht="15" customHeight="1" x14ac:dyDescent="0.2">
      <c r="A17" t="s">
        <v>25</v>
      </c>
      <c r="B17">
        <f>IFERROR(INDEX(Engine!$B$2:$B$15,MATCH($A17,Engine!$A$2:$A$15,0)),1000)</f>
        <v>968.26132335618615</v>
      </c>
      <c r="C17">
        <f>IFERROR(INDEX(Engine!$C$2:$C$15,MATCH($A17,Engine!$A$2:$A$15,0)),"")</f>
        <v>1152.1620835642163</v>
      </c>
      <c r="D17">
        <f t="shared" si="0"/>
        <v>12</v>
      </c>
      <c r="E17">
        <f t="shared" si="1"/>
        <v>265.23569734903083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944.39454848356581</v>
      </c>
      <c r="K17">
        <f t="shared" ca="1" si="4"/>
        <v>11</v>
      </c>
      <c r="L17">
        <f t="shared" ca="1" si="5"/>
        <v>0</v>
      </c>
      <c r="M17">
        <f t="shared" si="6"/>
        <v>4</v>
      </c>
      <c r="N17">
        <f t="shared" si="7"/>
        <v>1</v>
      </c>
      <c r="O17">
        <f t="shared" si="8"/>
        <v>1</v>
      </c>
      <c r="P17">
        <f>IFERROR(SUMPRODUCT(MAX(('Match Log'!$D$4:$D$1510=$A17)*'Match Log'!$B$4:$B$1510)),0)</f>
        <v>46291</v>
      </c>
      <c r="Q17">
        <f t="shared" ca="1" si="9"/>
        <v>0.2857142857142857</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88.040520891054086</v>
      </c>
      <c r="AB17">
        <f t="shared" ca="1" si="14"/>
        <v>53.514869690000616</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1070.0329344029183</v>
      </c>
      <c r="D18">
        <f t="shared" si="0"/>
        <v>7</v>
      </c>
      <c r="E18">
        <f t="shared" si="1"/>
        <v>145.94812599873148</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1067.5488965064856</v>
      </c>
      <c r="K18">
        <f t="shared" ca="1" si="4"/>
        <v>6</v>
      </c>
      <c r="L18">
        <f t="shared" ca="1" si="5"/>
        <v>-2</v>
      </c>
      <c r="M18">
        <f t="shared" si="6"/>
        <v>2</v>
      </c>
      <c r="N18">
        <f t="shared" si="7"/>
        <v>3</v>
      </c>
      <c r="O18">
        <f t="shared" si="8"/>
        <v>1</v>
      </c>
      <c r="P18">
        <f>IFERROR(SUMPRODUCT(MAX(('Match Log'!$D$4:$D$1510=$A18)*'Match Log'!$B$4:$B$1510)),0)</f>
        <v>46249</v>
      </c>
      <c r="Q18">
        <f t="shared" ca="1" si="9"/>
        <v>6.2857142857142856</v>
      </c>
      <c r="R18">
        <f ca="1">IF($P18=0,0,IF($Q18&gt;='Guide &amp; Settings'!$C$48,(INT($Q18-'Guide &amp; Settings'!$C$48)+1)*'Guide &amp; Settings'!$C$49,0))</f>
        <v>30</v>
      </c>
      <c r="S18">
        <f ca="1">$B18-$R18-$U18+SUMIF('Poker Stake Ledger'!$C$18:$C$137,$A18,'Poker Stake Ledger'!$K$18:$K$137)</f>
        <v>1057.5488947064855</v>
      </c>
      <c r="T18" t="str">
        <f ca="1">IF($P18=0,"No games",IF($Q18&gt;='Guide &amp; Settings'!$C$48,"Inactive",IF($Q18&gt;='Guide &amp; Settings'!$C$47,"At risk","Active")))</f>
        <v>Inactive</v>
      </c>
      <c r="U18">
        <f>SUMIF('Match Log'!$D$4:$D$1510,$A18,'Match Log'!$AC$4:$AC$1510)</f>
        <v>0</v>
      </c>
      <c r="V18">
        <f t="shared" si="10"/>
        <v>0</v>
      </c>
      <c r="W18">
        <f t="shared" ca="1" si="11"/>
        <v>64.387223676621375</v>
      </c>
      <c r="X18">
        <f ca="1">IFERROR(INDEX(Dashboard!$G$5:$G$18,MATCH($A18,Dashboard!$B$5:$B$18,0))*100,0)</f>
        <v>46.666666666666664</v>
      </c>
      <c r="Y18">
        <f ca="1">MIN(100,IFERROR(INDEX(Dashboard!$K$5:$K$18,MATCH($A18,Dashboard!$B$5:$B$18,0)),0)/5*50+$AC18/4*50)</f>
        <v>65</v>
      </c>
      <c r="Z18">
        <f t="shared" si="12"/>
        <v>60</v>
      </c>
      <c r="AA18">
        <f t="shared" si="13"/>
        <v>67.508233600729568</v>
      </c>
      <c r="AB18">
        <f t="shared" ca="1" si="14"/>
        <v>60.619684980223774</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1057.5488965064856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20</v>
      </c>
    </row>
    <row r="19" spans="1:41" ht="15" customHeight="1" x14ac:dyDescent="0.2">
      <c r="A19" t="s">
        <v>27</v>
      </c>
      <c r="B19">
        <f>IFERROR(INDEX(Engine!$B$2:$B$15,MATCH($A19,Engine!$A$2:$A$15,0)),1000)</f>
        <v>1023.2192605207141</v>
      </c>
      <c r="C19">
        <f>IFERROR(INDEX(Engine!$C$2:$C$15,MATCH($A19,Engine!$A$2:$A$15,0)),"")</f>
        <v>1106.5053382716901</v>
      </c>
      <c r="D19">
        <f t="shared" si="0"/>
        <v>10</v>
      </c>
      <c r="E19">
        <f t="shared" si="1"/>
        <v>210.27776018450288</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1003.2192624207141</v>
      </c>
      <c r="K19">
        <f t="shared" ca="1" si="4"/>
        <v>9</v>
      </c>
      <c r="L19">
        <f t="shared" ca="1" si="5"/>
        <v>-1</v>
      </c>
      <c r="M19">
        <f t="shared" si="6"/>
        <v>0</v>
      </c>
      <c r="N19">
        <f t="shared" si="7"/>
        <v>0</v>
      </c>
      <c r="O19">
        <f t="shared" si="8"/>
        <v>0</v>
      </c>
      <c r="P19">
        <f>IFERROR(SUMPRODUCT(MAX(('Match Log'!$D$4:$D$1510=$A19)*'Match Log'!$B$4:$B$1510)),0)</f>
        <v>46249</v>
      </c>
      <c r="Q19">
        <f t="shared" ca="1" si="9"/>
        <v>6.2857142857142856</v>
      </c>
      <c r="R19">
        <f ca="1">IF($P19=0,0,IF($Q19&gt;='Guide &amp; Settings'!$C$48,(INT($Q19-'Guide &amp; Settings'!$C$48)+1)*'Guide &amp; Settings'!$C$49,0))</f>
        <v>30</v>
      </c>
      <c r="S19">
        <f ca="1">$B19-$R19-$U19+SUMIF('Poker Stake Ledger'!$C$18:$C$137,$A19,'Poker Stake Ledger'!$K$18:$K$137)</f>
        <v>993.2192605207141</v>
      </c>
      <c r="T19" t="str">
        <f ca="1">IF($P19=0,"No games",IF($Q19&gt;='Guide &amp; Settings'!$C$48,"Inactive",IF($Q19&gt;='Guide &amp; Settings'!$C$47,"At risk","Active")))</f>
        <v>Inactive</v>
      </c>
      <c r="U19">
        <f>SUMIF('Match Log'!$D$4:$D$1510,$A19,'Match Log'!$AC$4:$AC$1510)</f>
        <v>0</v>
      </c>
      <c r="V19">
        <f t="shared" si="10"/>
        <v>6</v>
      </c>
      <c r="W19">
        <f t="shared" ca="1" si="11"/>
        <v>48.304815130178525</v>
      </c>
      <c r="X19">
        <f ca="1">IFERROR(INDEX(Dashboard!$G$5:$G$18,MATCH($A19,Dashboard!$B$5:$B$18,0))*100,0)</f>
        <v>40</v>
      </c>
      <c r="Y19">
        <f ca="1">MIN(100,IFERROR(INDEX(Dashboard!$K$5:$K$18,MATCH($A19,Dashboard!$B$5:$B$18,0)),0)/5*50+$AC19/4*50)</f>
        <v>65</v>
      </c>
      <c r="Z19">
        <f t="shared" si="12"/>
        <v>0</v>
      </c>
      <c r="AA19">
        <f t="shared" si="13"/>
        <v>76.626334567922527</v>
      </c>
      <c r="AB19">
        <f t="shared" ca="1" si="14"/>
        <v>45.569318752354732</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993.21926242071413</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20</v>
      </c>
    </row>
    <row r="20" spans="1:41" ht="15" customHeight="1" x14ac:dyDescent="0.2">
      <c r="A20" t="s">
        <v>28</v>
      </c>
      <c r="B20">
        <f>IFERROR(INDEX(Engine!$B$2:$B$15,MATCH($A20,Engine!$A$2:$A$15,0)),1000)</f>
        <v>1000</v>
      </c>
      <c r="C20" t="str">
        <f>IFERROR(INDEX(Engine!$C$2:$C$15,MATCH($A20,Engine!$A$2:$A$15,0)),"")</f>
        <v/>
      </c>
      <c r="D20">
        <f t="shared" si="0"/>
        <v>11</v>
      </c>
      <c r="E20">
        <f t="shared" si="1"/>
        <v>233.49702070521698</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10</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f t="shared" ca="1" si="31"/>
        <v>-0.11141611111111116</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f t="shared" ca="1" si="31"/>
        <v>-0.20030599999999996</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1217.5573388632245</v>
      </c>
      <c r="C2">
        <f>IFERROR(SUMPRODUCT(INDEX('Head-to-Head'!$B$22:$O$35,1,0),$D$2:$Q$2)/SUM(INDEX('Head-to-Head'!$B$22:$O$35,1,0)),"")</f>
        <v>1123.3386571798642</v>
      </c>
      <c r="D2">
        <f>$B$2</f>
        <v>1217.5573388632245</v>
      </c>
      <c r="E2">
        <f>$B$3</f>
        <v>1029.5175965335138</v>
      </c>
      <c r="F2">
        <f>$B$4</f>
        <v>1081.2287215286424</v>
      </c>
      <c r="G2">
        <f>$B$5</f>
        <v>907.03133644117429</v>
      </c>
      <c r="H2">
        <f>$B$6</f>
        <v>1233.497020705217</v>
      </c>
      <c r="I2">
        <f>$B$7</f>
        <v>1132.8537274164212</v>
      </c>
      <c r="J2">
        <f>$B$8</f>
        <v>1215.996181687143</v>
      </c>
      <c r="K2">
        <f>$B$9</f>
        <v>1180.164112777554</v>
      </c>
      <c r="L2">
        <f>$B$10</f>
        <v>1217.9015417269482</v>
      </c>
      <c r="M2">
        <f>$B$11</f>
        <v>862.22294373677494</v>
      </c>
      <c r="N2">
        <f>$B$12</f>
        <v>968.26132335618615</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1093.9220605220819</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1127.400685202153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1159.2986464389289</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1122.8870443335802</v>
      </c>
    </row>
    <row r="7" spans="1:17" ht="15" customHeight="1" x14ac:dyDescent="0.2">
      <c r="A7" t="s">
        <v>20</v>
      </c>
      <c r="B7">
        <f>IF(COUNTIF('Match Log'!$D$4:$D$1510,$A7)=0,'Guide &amp; Settings'!$C$41,IFERROR(LOOKUP(2,1/('Match Log'!$D$4:$D$1510=$A7),'Match Log'!$N$4:$N$1510),'Guide &amp; Settings'!$C$41))</f>
        <v>1132.8537274164212</v>
      </c>
      <c r="C7">
        <f>IFERROR(SUMPRODUCT(INDEX('Head-to-Head'!$B$22:$O$35,6,0),$D$2:$Q$2)/SUM(INDEX('Head-to-Head'!$B$22:$O$35,6,0)),"")</f>
        <v>1144.9300050548341</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1071.5000984207491</v>
      </c>
    </row>
    <row r="9" spans="1:17" ht="15" customHeight="1" x14ac:dyDescent="0.2">
      <c r="A9" t="s">
        <v>22</v>
      </c>
      <c r="B9">
        <f>IF(COUNTIF('Match Log'!$D$4:$D$1510,$A9)=0,'Guide &amp; Settings'!$C$41,IFERROR(LOOKUP(2,1/('Match Log'!$D$4:$D$1510=$A9),'Match Log'!$N$4:$N$1510),'Guide &amp; Settings'!$C$41))</f>
        <v>1180.164112777554</v>
      </c>
      <c r="C9">
        <f>IFERROR(SUMPRODUCT(INDEX('Head-to-Head'!$B$22:$O$35,8,0),$D$2:$Q$2)/SUM(INDEX('Head-to-Head'!$B$22:$O$35,8,0)),"")</f>
        <v>1143.4731534680354</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1128.6162246665585</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1126.981824789618</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1152.1620835642163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1070.0329344029183</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1106.5053382716901</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2026-09-27T21:50:01Z</dcterms:modified>
  <dc:language>en-US</dc:language>
</cp:coreProperties>
</file>