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62F7BF66-E535-E84B-87D9-4A21DB623562}"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32" i="13"/>
  <c r="E333" i="13"/>
  <c r="E334" i="13"/>
  <c r="E335" i="13"/>
  <c r="E336" i="13"/>
  <c r="E337" i="13"/>
  <c r="E338" i="13"/>
  <c r="E339" i="13"/>
  <c r="E340" i="13"/>
  <c r="E341" i="13"/>
  <c r="H341" i="13" s="1" a="1"/>
  <c r="H341" i="13" s="1"/>
  <c r="E342" i="13"/>
  <c r="H342" i="13" s="1" a="1"/>
  <c r="H342" i="13" s="1"/>
  <c r="E343" i="13"/>
  <c r="H343" i="13" s="1" a="1"/>
  <c r="H343" i="13" s="1"/>
  <c r="E344" i="13"/>
  <c r="H344" i="13" s="1" a="1"/>
  <c r="H344" i="13" s="1"/>
  <c r="E345" i="13"/>
  <c r="E346" i="13"/>
  <c r="E347" i="13"/>
  <c r="E348" i="13"/>
  <c r="E349" i="13"/>
  <c r="E350" i="13"/>
  <c r="E351" i="13"/>
  <c r="E352" i="13"/>
  <c r="E353" i="13"/>
  <c r="E354" i="13"/>
  <c r="E355" i="13"/>
  <c r="H355" i="13" s="1" a="1"/>
  <c r="H355" i="13" s="1"/>
  <c r="E356" i="13"/>
  <c r="H356" i="13" s="1" a="1"/>
  <c r="H356" i="13" s="1"/>
  <c r="E357" i="13"/>
  <c r="H357" i="13" s="1" a="1"/>
  <c r="H357" i="13" s="1"/>
  <c r="E358" i="13"/>
  <c r="H358" i="13" s="1" a="1"/>
  <c r="H358" i="13" s="1"/>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E507" i="13"/>
  <c r="E508" i="13"/>
  <c r="H508" i="13" s="1" a="1"/>
  <c r="H508" i="13" s="1"/>
  <c r="E509" i="13"/>
  <c r="H509" i="13" s="1" a="1"/>
  <c r="H509" i="13" s="1"/>
  <c r="E510" i="13"/>
  <c r="H510" i="13" s="1" a="1"/>
  <c r="H510" i="13" s="1"/>
  <c r="E511" i="13"/>
  <c r="E512" i="13"/>
  <c r="E513" i="13"/>
  <c r="H513" i="13" s="1" a="1"/>
  <c r="H513" i="13" s="1"/>
  <c r="E514" i="13"/>
  <c r="H514" i="13" s="1" a="1"/>
  <c r="H514" i="13" s="1"/>
  <c r="E515" i="13"/>
  <c r="H515" i="13" s="1" a="1"/>
  <c r="H515" i="13" s="1"/>
  <c r="E516" i="13"/>
  <c r="H516" i="13" s="1" a="1"/>
  <c r="H516" i="13" s="1"/>
  <c r="E517" i="13"/>
  <c r="E518" i="13"/>
  <c r="H518" i="13" s="1" a="1"/>
  <c r="H518" i="13" s="1"/>
  <c r="E519" i="13"/>
  <c r="H519" i="13" s="1" a="1"/>
  <c r="H519" i="13" s="1"/>
  <c r="E520" i="13"/>
  <c r="H520" i="13" s="1" a="1"/>
  <c r="H520" i="13" s="1"/>
  <c r="E521" i="13"/>
  <c r="H521" i="13" s="1" a="1"/>
  <c r="H521" i="13" s="1"/>
  <c r="E522" i="13"/>
  <c r="H522" i="13" s="1" a="1"/>
  <c r="H522" i="13" s="1"/>
  <c r="E523" i="13"/>
  <c r="E524" i="13"/>
  <c r="E525" i="13"/>
  <c r="E526" i="13"/>
  <c r="E527" i="13"/>
  <c r="H527" i="13" s="1" a="1"/>
  <c r="H527" i="13" s="1"/>
  <c r="E528" i="13"/>
  <c r="E529" i="13"/>
  <c r="H529" i="13" s="1" a="1"/>
  <c r="H529" i="13" s="1"/>
  <c r="E530" i="13"/>
  <c r="H530" i="13" s="1" a="1"/>
  <c r="H530" i="13" s="1"/>
  <c r="E531" i="13"/>
  <c r="H531" i="13" s="1" a="1"/>
  <c r="H531" i="13" s="1"/>
  <c r="E532" i="13"/>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E713" i="13"/>
  <c r="E714" i="13"/>
  <c r="E715" i="13"/>
  <c r="E716" i="13"/>
  <c r="E717" i="13"/>
  <c r="E718" i="13"/>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H506" i="13" a="1"/>
  <c r="H506" i="13" s="1"/>
  <c r="K506" i="13"/>
  <c r="L506" i="13"/>
  <c r="M506" i="13"/>
  <c r="N506" i="13"/>
  <c r="O506" i="13"/>
  <c r="P506" i="13"/>
  <c r="Q506" i="13"/>
  <c r="R506" i="13"/>
  <c r="S506" i="13"/>
  <c r="T506" i="13"/>
  <c r="U506" i="13"/>
  <c r="V506" i="13"/>
  <c r="W506" i="13"/>
  <c r="X506" i="13"/>
  <c r="D507" i="13" a="1"/>
  <c r="D507" i="13" s="1"/>
  <c r="G507" i="13" s="1"/>
  <c r="I507" i="13" s="1"/>
  <c r="H507" i="13" a="1"/>
  <c r="H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H517" i="13" a="1"/>
  <c r="H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H523" i="13" a="1"/>
  <c r="H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H525" i="13" a="1"/>
  <c r="H525" i="13" s="1"/>
  <c r="K525" i="13"/>
  <c r="L525" i="13"/>
  <c r="M525" i="13"/>
  <c r="N525" i="13"/>
  <c r="O525" i="13"/>
  <c r="P525" i="13"/>
  <c r="Q525" i="13"/>
  <c r="R525" i="13"/>
  <c r="S525" i="13"/>
  <c r="T525" i="13"/>
  <c r="U525" i="13"/>
  <c r="V525" i="13"/>
  <c r="W525" i="13"/>
  <c r="X525" i="13"/>
  <c r="D526" i="13" a="1"/>
  <c r="D526" i="13" s="1"/>
  <c r="G526" i="13" s="1"/>
  <c r="I526" i="13" s="1"/>
  <c r="H526" i="13" a="1"/>
  <c r="H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H532" i="13" a="1"/>
  <c r="H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H571" i="13" a="1"/>
  <c r="H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H580" i="13" a="1"/>
  <c r="H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H628" i="13" a="1"/>
  <c r="H628" i="13" s="1"/>
  <c r="K628" i="13"/>
  <c r="L628" i="13"/>
  <c r="M628" i="13"/>
  <c r="N628" i="13"/>
  <c r="O628" i="13"/>
  <c r="P628" i="13"/>
  <c r="Q628" i="13"/>
  <c r="R628" i="13"/>
  <c r="S628" i="13"/>
  <c r="T628" i="13"/>
  <c r="U628" i="13"/>
  <c r="V628" i="13"/>
  <c r="W628" i="13"/>
  <c r="X628" i="13"/>
  <c r="D629" i="13" a="1"/>
  <c r="D629" i="13" s="1"/>
  <c r="G629" i="13" s="1"/>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H631" i="13" a="1"/>
  <c r="H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H644" i="13" a="1"/>
  <c r="H644" i="13" s="1"/>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H653" i="13" a="1"/>
  <c r="H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H660" i="13" a="1"/>
  <c r="H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H674" i="13" a="1"/>
  <c r="H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H712" i="13" a="1"/>
  <c r="H712" i="13" s="1"/>
  <c r="K712" i="13"/>
  <c r="L712" i="13"/>
  <c r="M712" i="13"/>
  <c r="N712" i="13"/>
  <c r="O712" i="13"/>
  <c r="P712" i="13"/>
  <c r="Q712" i="13"/>
  <c r="R712" i="13"/>
  <c r="S712" i="13"/>
  <c r="T712" i="13"/>
  <c r="U712" i="13"/>
  <c r="V712" i="13"/>
  <c r="W712" i="13"/>
  <c r="X712" i="13"/>
  <c r="D713" i="13" a="1"/>
  <c r="D713" i="13" s="1"/>
  <c r="G713" i="13" s="1"/>
  <c r="I713" i="13" s="1"/>
  <c r="H713" i="13" a="1"/>
  <c r="H713" i="13" s="1"/>
  <c r="K713" i="13"/>
  <c r="L713" i="13"/>
  <c r="M713" i="13"/>
  <c r="N713" i="13"/>
  <c r="O713" i="13"/>
  <c r="P713" i="13"/>
  <c r="Q713" i="13"/>
  <c r="R713" i="13"/>
  <c r="S713" i="13"/>
  <c r="T713" i="13"/>
  <c r="U713" i="13"/>
  <c r="V713" i="13"/>
  <c r="W713" i="13"/>
  <c r="X713" i="13"/>
  <c r="D714" i="13" a="1"/>
  <c r="D714" i="13" s="1"/>
  <c r="G714" i="13" s="1"/>
  <c r="I714" i="13" s="1"/>
  <c r="H714" i="13" a="1"/>
  <c r="H714" i="13" s="1"/>
  <c r="K714" i="13"/>
  <c r="L714" i="13"/>
  <c r="M714" i="13"/>
  <c r="N714" i="13"/>
  <c r="O714" i="13"/>
  <c r="P714" i="13"/>
  <c r="Q714" i="13"/>
  <c r="R714" i="13"/>
  <c r="S714" i="13"/>
  <c r="T714" i="13"/>
  <c r="U714" i="13"/>
  <c r="V714" i="13"/>
  <c r="W714" i="13"/>
  <c r="X714" i="13"/>
  <c r="D715" i="13" a="1"/>
  <c r="D715" i="13" s="1"/>
  <c r="G715" i="13" s="1"/>
  <c r="I715" i="13" s="1"/>
  <c r="H715" i="13" a="1"/>
  <c r="H715" i="13" s="1"/>
  <c r="K715" i="13"/>
  <c r="L715" i="13"/>
  <c r="M715" i="13"/>
  <c r="N715" i="13"/>
  <c r="O715" i="13"/>
  <c r="P715" i="13"/>
  <c r="Q715" i="13"/>
  <c r="R715" i="13"/>
  <c r="S715" i="13"/>
  <c r="T715" i="13"/>
  <c r="U715" i="13"/>
  <c r="V715" i="13"/>
  <c r="W715" i="13"/>
  <c r="X715" i="13"/>
  <c r="D716" i="13" a="1"/>
  <c r="D716" i="13" s="1"/>
  <c r="G716" i="13" s="1"/>
  <c r="I716" i="13" s="1"/>
  <c r="H716" i="13" a="1"/>
  <c r="H716" i="13" s="1"/>
  <c r="K716" i="13"/>
  <c r="L716" i="13"/>
  <c r="M716" i="13"/>
  <c r="N716" i="13"/>
  <c r="O716" i="13"/>
  <c r="P716" i="13"/>
  <c r="Q716" i="13"/>
  <c r="R716" i="13"/>
  <c r="S716" i="13"/>
  <c r="T716" i="13"/>
  <c r="U716" i="13"/>
  <c r="V716" i="13"/>
  <c r="W716" i="13"/>
  <c r="X716" i="13"/>
  <c r="D717" i="13" a="1"/>
  <c r="D717" i="13" s="1"/>
  <c r="G717" i="13" s="1"/>
  <c r="I717" i="13" s="1"/>
  <c r="H717" i="13" a="1"/>
  <c r="H717" i="13" s="1"/>
  <c r="K717" i="13"/>
  <c r="L717" i="13"/>
  <c r="M717" i="13"/>
  <c r="N717" i="13"/>
  <c r="O717" i="13"/>
  <c r="P717" i="13"/>
  <c r="Q717" i="13"/>
  <c r="R717" i="13"/>
  <c r="S717" i="13"/>
  <c r="T717" i="13"/>
  <c r="U717" i="13"/>
  <c r="V717" i="13"/>
  <c r="W717" i="13"/>
  <c r="X717" i="13"/>
  <c r="D718" i="13" a="1"/>
  <c r="D718" i="13" s="1"/>
  <c r="G718" i="13" s="1"/>
  <c r="I718" i="13" s="1"/>
  <c r="H718" i="13" a="1"/>
  <c r="H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27" i="10"/>
  <c r="AC728" i="10"/>
  <c r="AC729" i="10"/>
  <c r="AC730" i="10"/>
  <c r="AC731" i="10"/>
  <c r="AC732" i="10"/>
  <c r="AC733" i="10"/>
  <c r="AC734" i="10"/>
  <c r="AC735" i="10"/>
  <c r="AC736" i="10"/>
  <c r="AC737" i="10"/>
  <c r="AC738" i="10"/>
  <c r="AC739" i="10"/>
  <c r="AC740" i="10"/>
  <c r="AC741" i="10"/>
  <c r="AC742" i="10"/>
  <c r="AC743" i="10"/>
  <c r="AC744" i="10"/>
  <c r="AC745" i="10"/>
  <c r="AC746" i="10"/>
  <c r="AC747" i="10"/>
  <c r="AC748" i="10"/>
  <c r="AC749" i="10"/>
  <c r="AC750" i="10"/>
  <c r="AC751" i="10"/>
  <c r="AC752" i="10"/>
  <c r="AC753" i="10"/>
  <c r="AC754" i="10"/>
  <c r="AC755" i="10"/>
  <c r="AC756" i="10"/>
  <c r="AC757" i="10"/>
  <c r="AC758"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D728" i="10"/>
  <c r="AD729" i="10"/>
  <c r="AD730" i="10"/>
  <c r="AD731" i="10"/>
  <c r="AD732" i="10"/>
  <c r="AD733" i="10"/>
  <c r="AD734" i="10"/>
  <c r="AD735" i="10"/>
  <c r="AD736" i="10"/>
  <c r="AD737" i="10"/>
  <c r="AD738" i="10"/>
  <c r="AD739" i="10"/>
  <c r="AD740" i="10"/>
  <c r="AD741" i="10"/>
  <c r="AD742" i="10"/>
  <c r="AD743" i="10"/>
  <c r="AD744" i="10"/>
  <c r="AD745" i="10"/>
  <c r="AD746" i="10"/>
  <c r="AD747" i="10"/>
  <c r="AD748" i="10"/>
  <c r="AD749" i="10"/>
  <c r="AD750" i="10"/>
  <c r="AD751" i="10"/>
  <c r="AD752" i="10"/>
  <c r="AD753" i="10"/>
  <c r="AD754" i="10"/>
  <c r="AD755" i="10"/>
  <c r="AD756" i="10"/>
  <c r="AD757" i="10"/>
  <c r="AD758" i="10"/>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D356" i="13" a="1"/>
  <c r="D356" i="13" s="1"/>
  <c r="G356" i="13" s="1"/>
  <c r="I356" i="13" s="1"/>
  <c r="X355" i="13"/>
  <c r="W355" i="13"/>
  <c r="V355" i="13"/>
  <c r="U355" i="13"/>
  <c r="T355" i="13"/>
  <c r="S355" i="13"/>
  <c r="R355" i="13"/>
  <c r="Q355" i="13"/>
  <c r="P355" i="13"/>
  <c r="O355" i="13"/>
  <c r="N355" i="13"/>
  <c r="M355" i="13"/>
  <c r="L355" i="13"/>
  <c r="K355" i="13"/>
  <c r="D355" i="13" a="1"/>
  <c r="D355" i="13" s="1"/>
  <c r="G355" i="13" s="1"/>
  <c r="I355" i="13" s="1"/>
  <c r="X354" i="13"/>
  <c r="W354" i="13"/>
  <c r="V354" i="13"/>
  <c r="U354" i="13"/>
  <c r="T354" i="13"/>
  <c r="S354" i="13"/>
  <c r="R354" i="13"/>
  <c r="Q354" i="13"/>
  <c r="P354" i="13"/>
  <c r="O354" i="13"/>
  <c r="N354" i="13"/>
  <c r="M354" i="13"/>
  <c r="L354" i="13"/>
  <c r="K354" i="13"/>
  <c r="H354" i="13" a="1"/>
  <c r="H354" i="13" s="1"/>
  <c r="D354" i="13" a="1"/>
  <c r="D354" i="13" s="1"/>
  <c r="G354" i="13" s="1"/>
  <c r="I354" i="13" s="1"/>
  <c r="X353" i="13"/>
  <c r="W353" i="13"/>
  <c r="V353" i="13"/>
  <c r="U353" i="13"/>
  <c r="T353" i="13"/>
  <c r="S353" i="13"/>
  <c r="R353" i="13"/>
  <c r="Q353" i="13"/>
  <c r="P353" i="13"/>
  <c r="O353" i="13"/>
  <c r="N353" i="13"/>
  <c r="M353" i="13"/>
  <c r="L353" i="13"/>
  <c r="K353" i="13"/>
  <c r="H353" i="13" a="1"/>
  <c r="H353" i="13" s="1"/>
  <c r="D353" i="13" a="1"/>
  <c r="D353" i="13" s="1"/>
  <c r="G353" i="13" s="1"/>
  <c r="I353" i="13" s="1"/>
  <c r="X352" i="13"/>
  <c r="W352" i="13"/>
  <c r="V352" i="13"/>
  <c r="U352" i="13"/>
  <c r="T352" i="13"/>
  <c r="S352" i="13"/>
  <c r="R352" i="13"/>
  <c r="Q352" i="13"/>
  <c r="P352" i="13"/>
  <c r="O352" i="13"/>
  <c r="N352" i="13"/>
  <c r="M352" i="13"/>
  <c r="L352" i="13"/>
  <c r="K352" i="13"/>
  <c r="H352" i="13" a="1"/>
  <c r="H352" i="13" s="1"/>
  <c r="D352" i="13" a="1"/>
  <c r="D352" i="13" s="1"/>
  <c r="G352" i="13" s="1"/>
  <c r="I352" i="13" s="1"/>
  <c r="X351" i="13"/>
  <c r="W351" i="13"/>
  <c r="V351" i="13"/>
  <c r="U351" i="13"/>
  <c r="T351" i="13"/>
  <c r="S351" i="13"/>
  <c r="R351" i="13"/>
  <c r="Q351" i="13"/>
  <c r="P351" i="13"/>
  <c r="O351" i="13"/>
  <c r="N351" i="13"/>
  <c r="M351" i="13"/>
  <c r="L351" i="13"/>
  <c r="K351" i="13"/>
  <c r="H351" i="13" a="1"/>
  <c r="H351" i="13" s="1"/>
  <c r="D351" i="13" a="1"/>
  <c r="D351" i="13" s="1"/>
  <c r="G351" i="13" s="1"/>
  <c r="I351" i="13" s="1"/>
  <c r="X350" i="13"/>
  <c r="W350" i="13"/>
  <c r="V350" i="13"/>
  <c r="U350" i="13"/>
  <c r="T350" i="13"/>
  <c r="S350" i="13"/>
  <c r="R350" i="13"/>
  <c r="Q350" i="13"/>
  <c r="P350" i="13"/>
  <c r="O350" i="13"/>
  <c r="N350" i="13"/>
  <c r="M350" i="13"/>
  <c r="L350" i="13"/>
  <c r="K350" i="13"/>
  <c r="H350" i="13" a="1"/>
  <c r="H350" i="13" s="1"/>
  <c r="D350" i="13" a="1"/>
  <c r="D350" i="13" s="1"/>
  <c r="G350" i="13" s="1"/>
  <c r="I350" i="13" s="1"/>
  <c r="X349" i="13"/>
  <c r="W349" i="13"/>
  <c r="V349" i="13"/>
  <c r="U349" i="13"/>
  <c r="T349" i="13"/>
  <c r="S349" i="13"/>
  <c r="R349" i="13"/>
  <c r="Q349" i="13"/>
  <c r="P349" i="13"/>
  <c r="O349" i="13"/>
  <c r="N349" i="13"/>
  <c r="M349" i="13"/>
  <c r="L349" i="13"/>
  <c r="K349" i="13"/>
  <c r="H349" i="13" a="1"/>
  <c r="H349" i="13" s="1"/>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W344" i="13"/>
  <c r="V344" i="13"/>
  <c r="U344" i="13"/>
  <c r="T344" i="13"/>
  <c r="S344" i="13"/>
  <c r="R344" i="13"/>
  <c r="Q344" i="13"/>
  <c r="P344" i="13"/>
  <c r="O344" i="13"/>
  <c r="N344" i="13"/>
  <c r="M344" i="13"/>
  <c r="L344" i="13"/>
  <c r="K344" i="13"/>
  <c r="D344" i="13" a="1"/>
  <c r="D344" i="13" s="1"/>
  <c r="G344" i="13" s="1"/>
  <c r="I344" i="13" s="1"/>
  <c r="X343" i="13"/>
  <c r="W343" i="13"/>
  <c r="V343" i="13"/>
  <c r="U343" i="13"/>
  <c r="T343" i="13"/>
  <c r="S343" i="13"/>
  <c r="R343" i="13"/>
  <c r="Q343" i="13"/>
  <c r="P343" i="13"/>
  <c r="O343" i="13"/>
  <c r="N343" i="13"/>
  <c r="M343" i="13"/>
  <c r="L343" i="13"/>
  <c r="K343" i="13"/>
  <c r="D343" i="13" a="1"/>
  <c r="D343" i="13" s="1"/>
  <c r="G343" i="13" s="1"/>
  <c r="I343" i="13" s="1"/>
  <c r="X342" i="13"/>
  <c r="W342" i="13"/>
  <c r="V342" i="13"/>
  <c r="U342" i="13"/>
  <c r="T342" i="13"/>
  <c r="S342" i="13"/>
  <c r="R342" i="13"/>
  <c r="Q342" i="13"/>
  <c r="P342" i="13"/>
  <c r="O342" i="13"/>
  <c r="N342" i="13"/>
  <c r="M342" i="13"/>
  <c r="L342" i="13"/>
  <c r="K342" i="13"/>
  <c r="D342" i="13" a="1"/>
  <c r="D342" i="13" s="1"/>
  <c r="G342" i="13" s="1"/>
  <c r="I342" i="13" s="1"/>
  <c r="X341" i="13"/>
  <c r="W341" i="13"/>
  <c r="V341" i="13"/>
  <c r="U341" i="13"/>
  <c r="T341" i="13"/>
  <c r="S341" i="13"/>
  <c r="R341" i="13"/>
  <c r="Q341" i="13"/>
  <c r="P341" i="13"/>
  <c r="O341" i="13"/>
  <c r="N341" i="13"/>
  <c r="M341" i="13"/>
  <c r="L341" i="13"/>
  <c r="K341" i="13"/>
  <c r="D341" i="13" a="1"/>
  <c r="D341" i="13" s="1"/>
  <c r="G341" i="13" s="1"/>
  <c r="I341" i="13" s="1"/>
  <c r="X340" i="13"/>
  <c r="W340" i="13"/>
  <c r="V340" i="13"/>
  <c r="U340" i="13"/>
  <c r="T340" i="13"/>
  <c r="S340" i="13"/>
  <c r="R340" i="13"/>
  <c r="Q340" i="13"/>
  <c r="P340" i="13"/>
  <c r="O340" i="13"/>
  <c r="N340" i="13"/>
  <c r="M340" i="13"/>
  <c r="L340" i="13"/>
  <c r="K340" i="13"/>
  <c r="H340" i="13" a="1"/>
  <c r="H340" i="13" s="1"/>
  <c r="D340" i="13" a="1"/>
  <c r="D340" i="13" s="1"/>
  <c r="G340" i="13" s="1"/>
  <c r="I340" i="13" s="1"/>
  <c r="X339" i="13"/>
  <c r="W339" i="13"/>
  <c r="V339" i="13"/>
  <c r="U339" i="13"/>
  <c r="T339" i="13"/>
  <c r="S339" i="13"/>
  <c r="R339" i="13"/>
  <c r="Q339" i="13"/>
  <c r="P339" i="13"/>
  <c r="O339" i="13"/>
  <c r="N339" i="13"/>
  <c r="M339" i="13"/>
  <c r="L339" i="13"/>
  <c r="K339" i="13"/>
  <c r="H339" i="13" a="1"/>
  <c r="H339" i="13" s="1"/>
  <c r="D339" i="13" a="1"/>
  <c r="D339" i="13" s="1"/>
  <c r="G339" i="13" s="1"/>
  <c r="I339" i="13" s="1"/>
  <c r="X338" i="13"/>
  <c r="W338" i="13"/>
  <c r="V338" i="13"/>
  <c r="U338" i="13"/>
  <c r="T338" i="13"/>
  <c r="S338" i="13"/>
  <c r="R338" i="13"/>
  <c r="Q338" i="13"/>
  <c r="P338" i="13"/>
  <c r="O338" i="13"/>
  <c r="N338" i="13"/>
  <c r="M338" i="13"/>
  <c r="L338" i="13"/>
  <c r="K338" i="13"/>
  <c r="H338" i="13" a="1"/>
  <c r="H338" i="13" s="1"/>
  <c r="D338" i="13" a="1"/>
  <c r="D338" i="13" s="1"/>
  <c r="G338" i="13" s="1"/>
  <c r="I338" i="13" s="1"/>
  <c r="X337" i="13"/>
  <c r="W337" i="13"/>
  <c r="V337" i="13"/>
  <c r="U337" i="13"/>
  <c r="T337" i="13"/>
  <c r="S337" i="13"/>
  <c r="R337" i="13"/>
  <c r="Q337" i="13"/>
  <c r="P337" i="13"/>
  <c r="O337" i="13"/>
  <c r="N337" i="13"/>
  <c r="M337" i="13"/>
  <c r="L337" i="13"/>
  <c r="K337" i="13"/>
  <c r="H337" i="13" a="1"/>
  <c r="H337" i="13" s="1"/>
  <c r="D337" i="13" a="1"/>
  <c r="D337" i="13" s="1"/>
  <c r="G337" i="13" s="1"/>
  <c r="I337" i="13" s="1"/>
  <c r="X336" i="13"/>
  <c r="W336" i="13"/>
  <c r="V336" i="13"/>
  <c r="U336" i="13"/>
  <c r="T336" i="13"/>
  <c r="S336" i="13"/>
  <c r="R336" i="13"/>
  <c r="Q336" i="13"/>
  <c r="P336" i="13"/>
  <c r="O336" i="13"/>
  <c r="N336" i="13"/>
  <c r="M336" i="13"/>
  <c r="L336" i="13"/>
  <c r="K336" i="13"/>
  <c r="H336" i="13" a="1"/>
  <c r="H336" i="13" s="1"/>
  <c r="D336" i="13" a="1"/>
  <c r="D336" i="13" s="1"/>
  <c r="G336" i="13" s="1"/>
  <c r="I336" i="13" s="1"/>
  <c r="X335" i="13"/>
  <c r="W335" i="13"/>
  <c r="V335" i="13"/>
  <c r="U335" i="13"/>
  <c r="T335" i="13"/>
  <c r="S335" i="13"/>
  <c r="R335" i="13"/>
  <c r="Q335" i="13"/>
  <c r="P335" i="13"/>
  <c r="O335" i="13"/>
  <c r="N335" i="13"/>
  <c r="M335" i="13"/>
  <c r="L335" i="13"/>
  <c r="K335" i="13"/>
  <c r="H335" i="13" a="1"/>
  <c r="H335" i="13" s="1"/>
  <c r="D335" i="13" a="1"/>
  <c r="D335" i="13" s="1"/>
  <c r="G335" i="13" s="1"/>
  <c r="I335" i="13" s="1"/>
  <c r="X334" i="13"/>
  <c r="W334" i="13"/>
  <c r="V334" i="13"/>
  <c r="U334" i="13"/>
  <c r="T334" i="13"/>
  <c r="S334" i="13"/>
  <c r="R334" i="13"/>
  <c r="Q334" i="13"/>
  <c r="P334" i="13"/>
  <c r="O334" i="13"/>
  <c r="N334" i="13"/>
  <c r="M334" i="13"/>
  <c r="L334" i="13"/>
  <c r="K334" i="13"/>
  <c r="H334" i="13" a="1"/>
  <c r="H334" i="13" s="1"/>
  <c r="D334" i="13" a="1"/>
  <c r="D334" i="13" s="1"/>
  <c r="G334" i="13" s="1"/>
  <c r="I334" i="13" s="1"/>
  <c r="X333" i="13"/>
  <c r="W333" i="13"/>
  <c r="V333" i="13"/>
  <c r="U333" i="13"/>
  <c r="T333" i="13"/>
  <c r="S333" i="13"/>
  <c r="R333" i="13"/>
  <c r="Q333" i="13"/>
  <c r="P333" i="13"/>
  <c r="O333" i="13"/>
  <c r="N333" i="13"/>
  <c r="M333" i="13"/>
  <c r="L333" i="13"/>
  <c r="K333" i="13"/>
  <c r="H333" i="13" a="1"/>
  <c r="H333" i="13" s="1"/>
  <c r="D333" i="13" a="1"/>
  <c r="D333" i="13" s="1"/>
  <c r="G333" i="13" s="1"/>
  <c r="I333" i="13" s="1"/>
  <c r="X332" i="13"/>
  <c r="W332" i="13"/>
  <c r="V332" i="13"/>
  <c r="U332" i="13"/>
  <c r="T332" i="13"/>
  <c r="S332" i="13"/>
  <c r="R332" i="13"/>
  <c r="Q332" i="13"/>
  <c r="P332" i="13"/>
  <c r="O332" i="13"/>
  <c r="N332" i="13"/>
  <c r="M332" i="13"/>
  <c r="L332" i="13"/>
  <c r="K332" i="13"/>
  <c r="H332" i="13" a="1"/>
  <c r="H332" i="13" s="1"/>
  <c r="D332" i="13" a="1"/>
  <c r="D332" i="13" s="1"/>
  <c r="G332" i="13" s="1"/>
  <c r="I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O21" i="12"/>
  <c r="N21" i="12"/>
  <c r="G21" i="12"/>
  <c r="F21" i="12"/>
  <c r="I21" i="12" s="1"/>
  <c r="N20" i="12"/>
  <c r="O20" i="12" s="1"/>
  <c r="G20" i="12"/>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AB758" i="10"/>
  <c r="AA758" i="10"/>
  <c r="Z758" i="10"/>
  <c r="Y758" i="10"/>
  <c r="X758" i="10"/>
  <c r="W758" i="10"/>
  <c r="V758" i="10"/>
  <c r="U758" i="10"/>
  <c r="T758" i="10"/>
  <c r="S758" i="10"/>
  <c r="R758" i="10"/>
  <c r="Q758" i="10"/>
  <c r="P758" i="10"/>
  <c r="N758" i="10"/>
  <c r="M758" i="10"/>
  <c r="L758" i="10"/>
  <c r="K758" i="10"/>
  <c r="J758" i="10"/>
  <c r="I758" i="10"/>
  <c r="H758" i="10"/>
  <c r="G758" i="10"/>
  <c r="F758" i="10"/>
  <c r="AB757" i="10"/>
  <c r="AA757" i="10"/>
  <c r="Z757" i="10"/>
  <c r="Y757" i="10"/>
  <c r="X757" i="10"/>
  <c r="W757" i="10"/>
  <c r="V757" i="10"/>
  <c r="U757" i="10"/>
  <c r="T757" i="10"/>
  <c r="S757" i="10"/>
  <c r="R757" i="10"/>
  <c r="Q757" i="10"/>
  <c r="P757" i="10"/>
  <c r="N757" i="10"/>
  <c r="M757" i="10"/>
  <c r="L757" i="10"/>
  <c r="K757" i="10"/>
  <c r="J757" i="10"/>
  <c r="I757" i="10"/>
  <c r="H757" i="10"/>
  <c r="G757" i="10"/>
  <c r="F757" i="10"/>
  <c r="AB756" i="10"/>
  <c r="AA756" i="10"/>
  <c r="Z756" i="10"/>
  <c r="Y756" i="10"/>
  <c r="X756" i="10"/>
  <c r="W756" i="10"/>
  <c r="V756" i="10"/>
  <c r="U756" i="10"/>
  <c r="T756" i="10"/>
  <c r="S756" i="10"/>
  <c r="R756" i="10"/>
  <c r="Q756" i="10"/>
  <c r="P756" i="10"/>
  <c r="N756" i="10"/>
  <c r="M756" i="10"/>
  <c r="L756" i="10"/>
  <c r="K756" i="10"/>
  <c r="J756" i="10"/>
  <c r="I756" i="10"/>
  <c r="H756" i="10"/>
  <c r="G756" i="10"/>
  <c r="F756" i="10"/>
  <c r="AB755" i="10"/>
  <c r="AA755" i="10"/>
  <c r="Z755" i="10"/>
  <c r="Y755" i="10"/>
  <c r="X755" i="10"/>
  <c r="W755" i="10"/>
  <c r="V755" i="10"/>
  <c r="U755" i="10"/>
  <c r="T755" i="10"/>
  <c r="S755" i="10"/>
  <c r="R755" i="10"/>
  <c r="Q755" i="10"/>
  <c r="P755" i="10"/>
  <c r="N755" i="10"/>
  <c r="M755" i="10"/>
  <c r="L755" i="10"/>
  <c r="K755" i="10"/>
  <c r="J755" i="10"/>
  <c r="I755" i="10"/>
  <c r="H755" i="10"/>
  <c r="G755" i="10"/>
  <c r="F755" i="10"/>
  <c r="AB754" i="10"/>
  <c r="AA754" i="10"/>
  <c r="Z754" i="10"/>
  <c r="Y754" i="10"/>
  <c r="X754" i="10"/>
  <c r="W754" i="10"/>
  <c r="V754" i="10"/>
  <c r="U754" i="10"/>
  <c r="T754" i="10"/>
  <c r="S754" i="10"/>
  <c r="R754" i="10"/>
  <c r="Q754" i="10"/>
  <c r="P754" i="10"/>
  <c r="N754" i="10"/>
  <c r="M754" i="10"/>
  <c r="L754" i="10"/>
  <c r="K754" i="10"/>
  <c r="J754" i="10"/>
  <c r="I754" i="10"/>
  <c r="H754" i="10"/>
  <c r="G754" i="10"/>
  <c r="F754" i="10"/>
  <c r="AB753" i="10"/>
  <c r="AA753" i="10"/>
  <c r="Z753" i="10"/>
  <c r="Y753" i="10"/>
  <c r="X753" i="10"/>
  <c r="W753" i="10"/>
  <c r="V753" i="10"/>
  <c r="U753" i="10"/>
  <c r="T753" i="10"/>
  <c r="S753" i="10"/>
  <c r="R753" i="10"/>
  <c r="Q753" i="10"/>
  <c r="P753" i="10"/>
  <c r="N753" i="10"/>
  <c r="M753" i="10"/>
  <c r="L753" i="10"/>
  <c r="K753" i="10"/>
  <c r="J753" i="10"/>
  <c r="I753" i="10"/>
  <c r="H753" i="10"/>
  <c r="G753" i="10"/>
  <c r="F753" i="10"/>
  <c r="AB752" i="10"/>
  <c r="AA752" i="10"/>
  <c r="Z752" i="10"/>
  <c r="Y752" i="10"/>
  <c r="X752" i="10"/>
  <c r="W752" i="10"/>
  <c r="V752" i="10"/>
  <c r="U752" i="10"/>
  <c r="T752" i="10"/>
  <c r="S752" i="10"/>
  <c r="R752" i="10"/>
  <c r="Q752" i="10"/>
  <c r="P752" i="10"/>
  <c r="N752" i="10"/>
  <c r="M752" i="10"/>
  <c r="L752" i="10"/>
  <c r="K752" i="10"/>
  <c r="J752" i="10"/>
  <c r="I752" i="10"/>
  <c r="H752" i="10"/>
  <c r="G752" i="10"/>
  <c r="F752" i="10"/>
  <c r="AB751" i="10"/>
  <c r="AA751" i="10"/>
  <c r="Z751" i="10"/>
  <c r="Y751" i="10"/>
  <c r="X751" i="10"/>
  <c r="W751" i="10"/>
  <c r="V751" i="10"/>
  <c r="U751" i="10"/>
  <c r="T751" i="10"/>
  <c r="S751" i="10"/>
  <c r="R751" i="10"/>
  <c r="Q751" i="10"/>
  <c r="P751" i="10"/>
  <c r="N751" i="10"/>
  <c r="M751" i="10"/>
  <c r="L751" i="10"/>
  <c r="K751" i="10"/>
  <c r="J751" i="10"/>
  <c r="I751" i="10"/>
  <c r="H751" i="10"/>
  <c r="G751" i="10"/>
  <c r="F751" i="10"/>
  <c r="AB750" i="10"/>
  <c r="AA750" i="10"/>
  <c r="Z750" i="10"/>
  <c r="Y750" i="10"/>
  <c r="X750" i="10"/>
  <c r="W750" i="10"/>
  <c r="V750" i="10"/>
  <c r="U750" i="10"/>
  <c r="T750" i="10"/>
  <c r="S750" i="10"/>
  <c r="R750" i="10"/>
  <c r="Q750" i="10"/>
  <c r="P750" i="10"/>
  <c r="N750" i="10"/>
  <c r="M750" i="10"/>
  <c r="L750" i="10"/>
  <c r="K750" i="10"/>
  <c r="J750" i="10"/>
  <c r="I750" i="10"/>
  <c r="H750" i="10"/>
  <c r="G750" i="10"/>
  <c r="F750" i="10"/>
  <c r="AB749" i="10"/>
  <c r="AA749" i="10"/>
  <c r="Z749" i="10"/>
  <c r="Y749" i="10"/>
  <c r="X749" i="10"/>
  <c r="W749" i="10"/>
  <c r="V749" i="10"/>
  <c r="U749" i="10"/>
  <c r="T749" i="10"/>
  <c r="S749" i="10"/>
  <c r="R749" i="10"/>
  <c r="Q749" i="10"/>
  <c r="P749" i="10"/>
  <c r="N749" i="10"/>
  <c r="M749" i="10"/>
  <c r="L749" i="10"/>
  <c r="K749" i="10"/>
  <c r="J749" i="10"/>
  <c r="I749" i="10"/>
  <c r="H749" i="10"/>
  <c r="G749" i="10"/>
  <c r="F749" i="10"/>
  <c r="AB748" i="10"/>
  <c r="AA748" i="10"/>
  <c r="Z748" i="10"/>
  <c r="Y748" i="10"/>
  <c r="X748" i="10"/>
  <c r="W748" i="10"/>
  <c r="V748" i="10"/>
  <c r="U748" i="10"/>
  <c r="T748" i="10"/>
  <c r="S748" i="10"/>
  <c r="R748" i="10"/>
  <c r="Q748" i="10"/>
  <c r="P748" i="10"/>
  <c r="N748" i="10"/>
  <c r="M748" i="10"/>
  <c r="L748" i="10"/>
  <c r="K748" i="10"/>
  <c r="J748" i="10"/>
  <c r="I748" i="10"/>
  <c r="H748" i="10"/>
  <c r="G748" i="10"/>
  <c r="F748" i="10"/>
  <c r="AB747" i="10"/>
  <c r="AA747" i="10"/>
  <c r="Z747" i="10"/>
  <c r="Y747" i="10"/>
  <c r="X747" i="10"/>
  <c r="W747" i="10"/>
  <c r="V747" i="10"/>
  <c r="U747" i="10"/>
  <c r="T747" i="10"/>
  <c r="S747" i="10"/>
  <c r="R747" i="10"/>
  <c r="Q747" i="10"/>
  <c r="P747" i="10"/>
  <c r="N747" i="10"/>
  <c r="M747" i="10"/>
  <c r="L747" i="10"/>
  <c r="K747" i="10"/>
  <c r="J747" i="10"/>
  <c r="I747" i="10"/>
  <c r="H747" i="10"/>
  <c r="G747" i="10"/>
  <c r="F747" i="10"/>
  <c r="AB746" i="10"/>
  <c r="AA746" i="10"/>
  <c r="Z746" i="10"/>
  <c r="Y746" i="10"/>
  <c r="X746" i="10"/>
  <c r="W746" i="10"/>
  <c r="V746" i="10"/>
  <c r="U746" i="10"/>
  <c r="T746" i="10"/>
  <c r="S746" i="10"/>
  <c r="R746" i="10"/>
  <c r="Q746" i="10"/>
  <c r="P746" i="10"/>
  <c r="N746" i="10"/>
  <c r="M746" i="10"/>
  <c r="L746" i="10"/>
  <c r="K746" i="10"/>
  <c r="J746" i="10"/>
  <c r="I746" i="10"/>
  <c r="H746" i="10"/>
  <c r="G746" i="10"/>
  <c r="F746" i="10"/>
  <c r="AB745" i="10"/>
  <c r="AA745" i="10"/>
  <c r="Z745" i="10"/>
  <c r="Y745" i="10"/>
  <c r="X745" i="10"/>
  <c r="W745" i="10"/>
  <c r="V745" i="10"/>
  <c r="U745" i="10"/>
  <c r="T745" i="10"/>
  <c r="S745" i="10"/>
  <c r="R745" i="10"/>
  <c r="Q745" i="10"/>
  <c r="P745" i="10"/>
  <c r="N745" i="10"/>
  <c r="M745" i="10"/>
  <c r="L745" i="10"/>
  <c r="K745" i="10"/>
  <c r="J745" i="10"/>
  <c r="I745" i="10"/>
  <c r="H745" i="10"/>
  <c r="G745" i="10"/>
  <c r="F745" i="10"/>
  <c r="AB744" i="10"/>
  <c r="AA744" i="10"/>
  <c r="Z744" i="10"/>
  <c r="Y744" i="10"/>
  <c r="X744" i="10"/>
  <c r="W744" i="10"/>
  <c r="V744" i="10"/>
  <c r="U744" i="10"/>
  <c r="T744" i="10"/>
  <c r="S744" i="10"/>
  <c r="R744" i="10"/>
  <c r="Q744" i="10"/>
  <c r="P744" i="10"/>
  <c r="N744" i="10"/>
  <c r="M744" i="10"/>
  <c r="L744" i="10"/>
  <c r="K744" i="10"/>
  <c r="J744" i="10"/>
  <c r="I744" i="10"/>
  <c r="H744" i="10"/>
  <c r="G744" i="10"/>
  <c r="F744" i="10"/>
  <c r="AB743" i="10"/>
  <c r="AA743" i="10"/>
  <c r="Z743" i="10"/>
  <c r="Y743" i="10"/>
  <c r="X743" i="10"/>
  <c r="W743" i="10"/>
  <c r="V743" i="10"/>
  <c r="U743" i="10"/>
  <c r="T743" i="10"/>
  <c r="S743" i="10"/>
  <c r="R743" i="10"/>
  <c r="Q743" i="10"/>
  <c r="P743" i="10"/>
  <c r="N743" i="10"/>
  <c r="M743" i="10"/>
  <c r="L743" i="10"/>
  <c r="K743" i="10"/>
  <c r="J743" i="10"/>
  <c r="I743" i="10"/>
  <c r="H743" i="10"/>
  <c r="G743" i="10"/>
  <c r="F743" i="10"/>
  <c r="AB742" i="10"/>
  <c r="AA742" i="10"/>
  <c r="Z742" i="10"/>
  <c r="Y742" i="10"/>
  <c r="X742" i="10"/>
  <c r="W742" i="10"/>
  <c r="V742" i="10"/>
  <c r="U742" i="10"/>
  <c r="T742" i="10"/>
  <c r="S742" i="10"/>
  <c r="R742" i="10"/>
  <c r="Q742" i="10"/>
  <c r="P742" i="10"/>
  <c r="N742" i="10"/>
  <c r="M742" i="10"/>
  <c r="L742" i="10"/>
  <c r="K742" i="10"/>
  <c r="J742" i="10"/>
  <c r="I742" i="10"/>
  <c r="H742" i="10"/>
  <c r="G742" i="10"/>
  <c r="F742" i="10"/>
  <c r="AB741" i="10"/>
  <c r="AA741" i="10"/>
  <c r="Z741" i="10"/>
  <c r="Y741" i="10"/>
  <c r="X741" i="10"/>
  <c r="W741" i="10"/>
  <c r="V741" i="10"/>
  <c r="U741" i="10"/>
  <c r="T741" i="10"/>
  <c r="S741" i="10"/>
  <c r="R741" i="10"/>
  <c r="Q741" i="10"/>
  <c r="P741" i="10"/>
  <c r="N741" i="10"/>
  <c r="M741" i="10"/>
  <c r="L741" i="10"/>
  <c r="K741" i="10"/>
  <c r="J741" i="10"/>
  <c r="I741" i="10"/>
  <c r="H741" i="10"/>
  <c r="G741" i="10"/>
  <c r="F741" i="10"/>
  <c r="AB740" i="10"/>
  <c r="AA740" i="10"/>
  <c r="Z740" i="10"/>
  <c r="Y740" i="10"/>
  <c r="X740" i="10"/>
  <c r="W740" i="10"/>
  <c r="V740" i="10"/>
  <c r="U740" i="10"/>
  <c r="T740" i="10"/>
  <c r="S740" i="10"/>
  <c r="R740" i="10"/>
  <c r="Q740" i="10"/>
  <c r="P740" i="10"/>
  <c r="N740" i="10"/>
  <c r="M740" i="10"/>
  <c r="L740" i="10"/>
  <c r="K740" i="10"/>
  <c r="J740" i="10"/>
  <c r="I740" i="10"/>
  <c r="H740" i="10"/>
  <c r="G740" i="10"/>
  <c r="F740" i="10"/>
  <c r="AB739" i="10"/>
  <c r="AA739" i="10"/>
  <c r="Z739" i="10"/>
  <c r="Y739" i="10"/>
  <c r="X739" i="10"/>
  <c r="W739" i="10"/>
  <c r="V739" i="10"/>
  <c r="U739" i="10"/>
  <c r="T739" i="10"/>
  <c r="S739" i="10"/>
  <c r="R739" i="10"/>
  <c r="Q739" i="10"/>
  <c r="P739" i="10"/>
  <c r="N739" i="10"/>
  <c r="M739" i="10"/>
  <c r="L739" i="10"/>
  <c r="K739" i="10"/>
  <c r="J739" i="10"/>
  <c r="I739" i="10"/>
  <c r="H739" i="10"/>
  <c r="G739" i="10"/>
  <c r="F739" i="10"/>
  <c r="AB738" i="10"/>
  <c r="AA738" i="10"/>
  <c r="Z738" i="10"/>
  <c r="Y738" i="10"/>
  <c r="X738" i="10"/>
  <c r="W738" i="10"/>
  <c r="V738" i="10"/>
  <c r="U738" i="10"/>
  <c r="T738" i="10"/>
  <c r="S738" i="10"/>
  <c r="R738" i="10"/>
  <c r="Q738" i="10"/>
  <c r="P738" i="10"/>
  <c r="N738" i="10"/>
  <c r="M738" i="10"/>
  <c r="L738" i="10"/>
  <c r="K738" i="10"/>
  <c r="J738" i="10"/>
  <c r="I738" i="10"/>
  <c r="H738" i="10"/>
  <c r="G738" i="10"/>
  <c r="F738" i="10"/>
  <c r="AB737" i="10"/>
  <c r="AA737" i="10"/>
  <c r="Z737" i="10"/>
  <c r="Y737" i="10"/>
  <c r="X737" i="10"/>
  <c r="W737" i="10"/>
  <c r="V737" i="10"/>
  <c r="U737" i="10"/>
  <c r="T737" i="10"/>
  <c r="S737" i="10"/>
  <c r="R737" i="10"/>
  <c r="Q737" i="10"/>
  <c r="P737" i="10"/>
  <c r="N737" i="10"/>
  <c r="M737" i="10"/>
  <c r="L737" i="10"/>
  <c r="K737" i="10"/>
  <c r="J737" i="10"/>
  <c r="I737" i="10"/>
  <c r="H737" i="10"/>
  <c r="G737" i="10"/>
  <c r="F737" i="10"/>
  <c r="AB736" i="10"/>
  <c r="AA736" i="10"/>
  <c r="Z736" i="10"/>
  <c r="Y736" i="10"/>
  <c r="X736" i="10"/>
  <c r="W736" i="10"/>
  <c r="V736" i="10"/>
  <c r="U736" i="10"/>
  <c r="T736" i="10"/>
  <c r="S736" i="10"/>
  <c r="R736" i="10"/>
  <c r="Q736" i="10"/>
  <c r="P736" i="10"/>
  <c r="N736" i="10"/>
  <c r="M736" i="10"/>
  <c r="L736" i="10"/>
  <c r="K736" i="10"/>
  <c r="J736" i="10"/>
  <c r="I736" i="10"/>
  <c r="H736" i="10"/>
  <c r="G736" i="10"/>
  <c r="F736" i="10"/>
  <c r="AB735" i="10"/>
  <c r="AA735" i="10"/>
  <c r="Z735" i="10"/>
  <c r="Y735" i="10"/>
  <c r="X735" i="10"/>
  <c r="W735" i="10"/>
  <c r="V735" i="10"/>
  <c r="U735" i="10"/>
  <c r="T735" i="10"/>
  <c r="S735" i="10"/>
  <c r="R735" i="10"/>
  <c r="Q735" i="10"/>
  <c r="P735" i="10"/>
  <c r="N735" i="10"/>
  <c r="M735" i="10"/>
  <c r="L735" i="10"/>
  <c r="K735" i="10"/>
  <c r="J735" i="10"/>
  <c r="I735" i="10"/>
  <c r="H735" i="10"/>
  <c r="G735" i="10"/>
  <c r="F735" i="10"/>
  <c r="AB734" i="10"/>
  <c r="AA734" i="10"/>
  <c r="Z734" i="10"/>
  <c r="Y734" i="10"/>
  <c r="X734" i="10"/>
  <c r="W734" i="10"/>
  <c r="V734" i="10"/>
  <c r="U734" i="10"/>
  <c r="T734" i="10"/>
  <c r="S734" i="10"/>
  <c r="R734" i="10"/>
  <c r="Q734" i="10"/>
  <c r="P734" i="10"/>
  <c r="N734" i="10"/>
  <c r="M734" i="10"/>
  <c r="L734" i="10"/>
  <c r="K734" i="10"/>
  <c r="J734" i="10"/>
  <c r="I734" i="10"/>
  <c r="H734" i="10"/>
  <c r="G734" i="10"/>
  <c r="F734" i="10"/>
  <c r="AB733" i="10"/>
  <c r="AA733" i="10"/>
  <c r="Z733" i="10"/>
  <c r="Y733" i="10"/>
  <c r="X733" i="10"/>
  <c r="W733" i="10"/>
  <c r="V733" i="10"/>
  <c r="U733" i="10"/>
  <c r="T733" i="10"/>
  <c r="S733" i="10"/>
  <c r="R733" i="10"/>
  <c r="Q733" i="10"/>
  <c r="P733" i="10"/>
  <c r="N733" i="10"/>
  <c r="M733" i="10"/>
  <c r="L733" i="10"/>
  <c r="K733" i="10"/>
  <c r="J733" i="10"/>
  <c r="I733" i="10"/>
  <c r="H733" i="10"/>
  <c r="G733" i="10"/>
  <c r="F733" i="10"/>
  <c r="AB732" i="10"/>
  <c r="AA732" i="10"/>
  <c r="Z732" i="10"/>
  <c r="Y732" i="10"/>
  <c r="X732" i="10"/>
  <c r="W732" i="10"/>
  <c r="V732" i="10"/>
  <c r="U732" i="10"/>
  <c r="T732" i="10"/>
  <c r="S732" i="10"/>
  <c r="R732" i="10"/>
  <c r="Q732" i="10"/>
  <c r="P732" i="10"/>
  <c r="N732" i="10"/>
  <c r="M732" i="10"/>
  <c r="L732" i="10"/>
  <c r="K732" i="10"/>
  <c r="J732" i="10"/>
  <c r="I732" i="10"/>
  <c r="H732" i="10"/>
  <c r="G732" i="10"/>
  <c r="F732" i="10"/>
  <c r="AB731" i="10"/>
  <c r="AA731" i="10"/>
  <c r="Z731" i="10"/>
  <c r="Y731" i="10"/>
  <c r="X731" i="10"/>
  <c r="W731" i="10"/>
  <c r="V731" i="10"/>
  <c r="U731" i="10"/>
  <c r="T731" i="10"/>
  <c r="S731" i="10"/>
  <c r="R731" i="10"/>
  <c r="Q731" i="10"/>
  <c r="P731" i="10"/>
  <c r="N731" i="10"/>
  <c r="M731" i="10"/>
  <c r="L731" i="10"/>
  <c r="K731" i="10"/>
  <c r="J731" i="10"/>
  <c r="I731" i="10"/>
  <c r="H731" i="10"/>
  <c r="G731" i="10"/>
  <c r="F731" i="10"/>
  <c r="AB730" i="10"/>
  <c r="AA730" i="10"/>
  <c r="Z730" i="10"/>
  <c r="Y730" i="10"/>
  <c r="X730" i="10"/>
  <c r="W730" i="10"/>
  <c r="V730" i="10"/>
  <c r="U730" i="10"/>
  <c r="T730" i="10"/>
  <c r="S730" i="10"/>
  <c r="R730" i="10"/>
  <c r="Q730" i="10"/>
  <c r="P730" i="10"/>
  <c r="N730" i="10"/>
  <c r="M730" i="10"/>
  <c r="L730" i="10"/>
  <c r="K730" i="10"/>
  <c r="J730" i="10"/>
  <c r="I730" i="10"/>
  <c r="H730" i="10"/>
  <c r="G730" i="10"/>
  <c r="F730" i="10"/>
  <c r="AB729" i="10"/>
  <c r="AA729" i="10"/>
  <c r="Z729" i="10"/>
  <c r="Y729" i="10"/>
  <c r="X729" i="10"/>
  <c r="W729" i="10"/>
  <c r="V729" i="10"/>
  <c r="U729" i="10"/>
  <c r="T729" i="10"/>
  <c r="S729" i="10"/>
  <c r="R729" i="10"/>
  <c r="Q729" i="10"/>
  <c r="P729" i="10"/>
  <c r="N729" i="10"/>
  <c r="M729" i="10"/>
  <c r="L729" i="10"/>
  <c r="K729" i="10"/>
  <c r="J729" i="10"/>
  <c r="I729" i="10"/>
  <c r="H729" i="10"/>
  <c r="G729" i="10"/>
  <c r="F729" i="10"/>
  <c r="AB728" i="10"/>
  <c r="AA728" i="10"/>
  <c r="Z728" i="10"/>
  <c r="Y728" i="10"/>
  <c r="X728" i="10"/>
  <c r="W728" i="10"/>
  <c r="V728" i="10"/>
  <c r="U728" i="10"/>
  <c r="T728" i="10"/>
  <c r="S728" i="10"/>
  <c r="R728" i="10"/>
  <c r="Q728" i="10"/>
  <c r="P728" i="10"/>
  <c r="N728" i="10"/>
  <c r="M728" i="10"/>
  <c r="L728" i="10"/>
  <c r="K728" i="10"/>
  <c r="J728" i="10"/>
  <c r="I728" i="10"/>
  <c r="H728" i="10"/>
  <c r="G728" i="10"/>
  <c r="F728" i="10"/>
  <c r="AB727" i="10"/>
  <c r="AA727" i="10"/>
  <c r="Z727" i="10"/>
  <c r="Y727" i="10"/>
  <c r="X727" i="10"/>
  <c r="W727" i="10"/>
  <c r="V727" i="10"/>
  <c r="U727" i="10"/>
  <c r="T727" i="10"/>
  <c r="S727" i="10"/>
  <c r="R727" i="10"/>
  <c r="Q727" i="10"/>
  <c r="P727" i="10"/>
  <c r="N727" i="10"/>
  <c r="M727" i="10"/>
  <c r="L727" i="10"/>
  <c r="K727" i="10"/>
  <c r="J727" i="10"/>
  <c r="I727" i="10"/>
  <c r="H727" i="10"/>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P6" i="10"/>
  <c r="H6" i="10"/>
  <c r="G6" i="10"/>
  <c r="F6" i="10"/>
  <c r="U5" i="10"/>
  <c r="T5" i="10"/>
  <c r="R5" i="10"/>
  <c r="H5" i="10"/>
  <c r="G5" i="10"/>
  <c r="F5" i="10"/>
  <c r="U4" i="10"/>
  <c r="Y6" i="10" s="1"/>
  <c r="T4" i="10"/>
  <c r="R4" i="10"/>
  <c r="P4" i="10"/>
  <c r="Q4" i="10" s="1"/>
  <c r="H4" i="10"/>
  <c r="P5" i="10" s="1"/>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O726" i="10" l="1"/>
  <c r="L726" i="10"/>
  <c r="S725" i="10"/>
  <c r="I725" i="10" s="1"/>
  <c r="S726" i="10"/>
  <c r="I726" i="10" s="1"/>
  <c r="K726" i="10" s="1"/>
  <c r="O725" i="10"/>
  <c r="K725" i="10"/>
  <c r="F331" i="13"/>
  <c r="E331" i="13"/>
  <c r="H331" i="13" s="1" a="1"/>
  <c r="H331" i="13" s="1"/>
  <c r="L725" i="10"/>
  <c r="O724" i="10"/>
  <c r="L724" i="10"/>
  <c r="S723" i="10"/>
  <c r="I723" i="10" s="1"/>
  <c r="S724" i="10"/>
  <c r="I724" i="10" s="1"/>
  <c r="K724" i="10" s="1"/>
  <c r="O723" i="10"/>
  <c r="K723" i="10"/>
  <c r="F330" i="13"/>
  <c r="E330" i="13"/>
  <c r="H330" i="13" s="1" a="1"/>
  <c r="H330" i="13" s="1"/>
  <c r="L723" i="10"/>
  <c r="O722" i="10"/>
  <c r="L722" i="10"/>
  <c r="S721" i="10"/>
  <c r="I721" i="10" s="1"/>
  <c r="S722" i="10"/>
  <c r="I722" i="10" s="1"/>
  <c r="K722" i="10" s="1"/>
  <c r="O721" i="10"/>
  <c r="K721" i="10"/>
  <c r="F329" i="13"/>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F326" i="13"/>
  <c r="G326" i="13" s="1"/>
  <c r="I326" i="13" s="1"/>
  <c r="Y326" i="13" s="1"/>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O404" i="10"/>
  <c r="E199" i="13"/>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L15" i="10"/>
  <c r="E27" i="13"/>
  <c r="L19" i="10"/>
  <c r="E29" i="13"/>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D3" i="11"/>
  <c r="H21" i="12"/>
  <c r="J21" i="12" s="1"/>
  <c r="K21" i="12" s="1"/>
  <c r="AN13" i="13"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R45" i="11" s="1"/>
  <c r="P38"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H27" i="13" a="1"/>
  <c r="H27" i="13"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H29" i="13" a="1"/>
  <c r="H29" i="13" s="1"/>
  <c r="E93" i="7"/>
  <c r="U17" i="13"/>
  <c r="Y10" i="10"/>
  <c r="Z10" i="10" s="1"/>
  <c r="AA10" i="10" s="1"/>
  <c r="AB10" i="10" s="1"/>
  <c r="F111" i="7" s="1"/>
  <c r="S5" i="10"/>
  <c r="I5" i="10" s="1"/>
  <c r="K5" i="10" s="1"/>
  <c r="H26" i="13" a="1"/>
  <c r="H26" i="13"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H87" i="13" a="1"/>
  <c r="H87" i="13" s="1"/>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H198" i="13" a="1"/>
  <c r="H198" i="13"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H150" i="13" a="1"/>
  <c r="H150" i="13" s="1"/>
  <c r="L300" i="10"/>
  <c r="H158" i="13" a="1"/>
  <c r="H158" i="13" s="1"/>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H197" i="13" a="1"/>
  <c r="H197" i="13" s="1"/>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H199" i="13" a="1"/>
  <c r="H199" i="13" s="1"/>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R43" i="11" s="1"/>
  <c r="S472" i="10"/>
  <c r="I472" i="10" s="1"/>
  <c r="K472" i="10" s="1"/>
  <c r="L484" i="10"/>
  <c r="S491" i="10"/>
  <c r="I491" i="10" s="1"/>
  <c r="F235" i="13" s="1"/>
  <c r="S492" i="10"/>
  <c r="I492" i="10" s="1"/>
  <c r="K492" i="10" s="1"/>
  <c r="R33" i="11"/>
  <c r="V13" i="13"/>
  <c r="G14" i="13"/>
  <c r="H14" i="13" s="1"/>
  <c r="P49" i="11"/>
  <c r="S470" i="10"/>
  <c r="I470" i="10" s="1"/>
  <c r="F227" i="13" s="1"/>
  <c r="S478" i="10"/>
  <c r="I478" i="10" s="1"/>
  <c r="K478" i="10" s="1"/>
  <c r="Q49" i="11"/>
  <c r="G12" i="13"/>
  <c r="H12" i="13" s="1"/>
  <c r="Q15" i="13"/>
  <c r="Q16" i="13"/>
  <c r="T16" i="13" s="1"/>
  <c r="Q44" i="11"/>
  <c r="P44" i="11"/>
  <c r="H20" i="12"/>
  <c r="J20" i="12" s="1"/>
  <c r="K20" i="12" s="1"/>
  <c r="O25" i="12" s="1"/>
  <c r="Q9" i="13"/>
  <c r="T9" i="13" s="1"/>
  <c r="L490" i="10"/>
  <c r="S494" i="10"/>
  <c r="I494" i="10" s="1"/>
  <c r="F236" i="13" s="1"/>
  <c r="I20" i="12"/>
  <c r="V9" i="13"/>
  <c r="H229" i="13" a="1"/>
  <c r="H229" i="13" s="1"/>
  <c r="L480" i="10"/>
  <c r="R9" i="11"/>
  <c r="P35" i="11"/>
  <c r="H19" i="12"/>
  <c r="K22" i="12"/>
  <c r="O22" i="12" s="1"/>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L492" i="10"/>
  <c r="Q31" i="11"/>
  <c r="AH8" i="13"/>
  <c r="L475" i="10"/>
  <c r="L481" i="10"/>
  <c r="S484" i="10"/>
  <c r="I484" i="10" s="1"/>
  <c r="K484" i="10" s="1"/>
  <c r="P31" i="1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F234" i="13" s="1"/>
  <c r="Y374" i="13"/>
  <c r="Y358" i="13"/>
  <c r="Y342" i="13"/>
  <c r="Y437" i="13"/>
  <c r="Y421" i="13"/>
  <c r="Y405" i="13"/>
  <c r="Y389" i="13"/>
  <c r="Y373" i="13"/>
  <c r="Y444" i="13"/>
  <c r="Y428" i="13"/>
  <c r="Y412" i="13"/>
  <c r="Y396" i="13"/>
  <c r="Y380" i="13"/>
  <c r="Y364" i="13"/>
  <c r="Y348" i="13"/>
  <c r="Y332"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39" i="13"/>
  <c r="Y367" i="13"/>
  <c r="Y355" i="13"/>
  <c r="Y344" i="13"/>
  <c r="Y360" i="13"/>
  <c r="Y346" i="13"/>
  <c r="Y369" i="13"/>
  <c r="Y341" i="13"/>
  <c r="Y357" i="13"/>
  <c r="Y376" i="13"/>
  <c r="Y343" i="13"/>
  <c r="Y351" i="13"/>
  <c r="Y335" i="13"/>
  <c r="Y353" i="13"/>
  <c r="Y337" i="13"/>
  <c r="AG19" i="13"/>
  <c r="AG11" i="13"/>
  <c r="AH18" i="13"/>
  <c r="AH10" i="13"/>
  <c r="AH17" i="13"/>
  <c r="AH9" i="13"/>
  <c r="AG17" i="13"/>
  <c r="AH19" i="13"/>
  <c r="AG10" i="13"/>
  <c r="AG14" i="13"/>
  <c r="AH11" i="13"/>
  <c r="AH7" i="13"/>
  <c r="AH20" i="13"/>
  <c r="AG20" i="13"/>
  <c r="AG15" i="13"/>
  <c r="AH12" i="13"/>
  <c r="AG8" i="13"/>
  <c r="AG12" i="13"/>
  <c r="I19" i="12"/>
  <c r="V19" i="13"/>
  <c r="R55" i="11"/>
  <c r="Q11" i="13"/>
  <c r="Q17" i="13"/>
  <c r="R17" i="13" s="1"/>
  <c r="V8" i="13"/>
  <c r="V16" i="13"/>
  <c r="Y379" i="13"/>
  <c r="Y386" i="13"/>
  <c r="Y402" i="13"/>
  <c r="Y418" i="13"/>
  <c r="Y434"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50" i="13"/>
  <c r="Y388" i="13"/>
  <c r="Y404" i="13"/>
  <c r="Y420" i="13"/>
  <c r="Y370" i="13"/>
  <c r="Y436" i="13"/>
  <c r="Y347" i="13"/>
  <c r="Y361" i="13"/>
  <c r="Y393" i="13"/>
  <c r="Y397" i="13"/>
  <c r="Y409" i="13"/>
  <c r="Y413" i="13"/>
  <c r="Y425" i="13"/>
  <c r="Y429" i="13"/>
  <c r="Y382" i="13"/>
  <c r="Y375" i="13"/>
  <c r="Y345" i="13"/>
  <c r="Y441" i="13"/>
  <c r="Y356" i="13"/>
  <c r="Y359" i="13"/>
  <c r="Y365" i="13"/>
  <c r="Y368" i="13"/>
  <c r="Y390" i="13"/>
  <c r="Y398" i="13"/>
  <c r="Y406" i="13"/>
  <c r="Y414" i="13"/>
  <c r="Y422" i="13"/>
  <c r="Y430" i="13"/>
  <c r="Y340" i="13"/>
  <c r="Y438" i="13"/>
  <c r="G331" i="13" l="1"/>
  <c r="I331" i="13" s="1"/>
  <c r="Y331" i="13" s="1"/>
  <c r="G330" i="13"/>
  <c r="I330" i="13" s="1"/>
  <c r="Y330" i="13" s="1"/>
  <c r="G329" i="13"/>
  <c r="I329" i="13" s="1"/>
  <c r="Y329"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F97" i="13"/>
  <c r="G97" i="13" s="1"/>
  <c r="I97" i="13" s="1"/>
  <c r="Y97" i="13" s="1"/>
  <c r="F105" i="13"/>
  <c r="F99" i="13"/>
  <c r="G99" i="13" s="1"/>
  <c r="I99" i="13" s="1"/>
  <c r="Y99" i="13" s="1"/>
  <c r="K363" i="10"/>
  <c r="F104" i="13"/>
  <c r="K216" i="10"/>
  <c r="K132" i="10"/>
  <c r="F95" i="13"/>
  <c r="G95" i="13" s="1"/>
  <c r="I95" i="13" s="1"/>
  <c r="Y95" i="13" s="1"/>
  <c r="F98" i="13"/>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A11" i="9" s="1"/>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G105" i="13"/>
  <c r="I105" i="13" s="1"/>
  <c r="Y105" i="13" s="1"/>
  <c r="K196" i="10"/>
  <c r="G58" i="13"/>
  <c r="I58" i="13" s="1"/>
  <c r="Y58" i="13" s="1"/>
  <c r="K77" i="10"/>
  <c r="G226" i="13"/>
  <c r="I226" i="13" s="1"/>
  <c r="Y226" i="13" s="1"/>
  <c r="K468" i="10"/>
  <c r="G104" i="13"/>
  <c r="I104" i="13" s="1"/>
  <c r="Y104" i="13" s="1"/>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G109" i="13"/>
  <c r="I109" i="13" s="1"/>
  <c r="Y109" i="13" s="1"/>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G98" i="13"/>
  <c r="I98" i="13" s="1"/>
  <c r="Y98" i="13" s="1"/>
  <c r="K168" i="10"/>
  <c r="AC20" i="13"/>
  <c r="AC19" i="13"/>
  <c r="AI20" i="13" l="1"/>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34" i="10" l="1"/>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57" i="10" l="1"/>
  <c r="Z57" i="10" s="1"/>
  <c r="Y58" i="10"/>
  <c r="Z58" i="10" s="1"/>
  <c r="Y468" i="10"/>
  <c r="Z468" i="10" s="1"/>
  <c r="Y469" i="10"/>
  <c r="Z469" i="10" s="1"/>
  <c r="Y667" i="10"/>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57" i="10" l="1"/>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C33" i="3"/>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0" i="10" l="1"/>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AA60" i="10" l="1"/>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AA403" i="10" l="1"/>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Y726" i="10"/>
  <c r="Z726" i="10" s="1"/>
  <c r="Z725" i="10"/>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P106" i="7" s="1"/>
  <c r="B10" i="3"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D10" i="3" l="1"/>
  <c r="C10" i="3"/>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Y408" i="10" l="1"/>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B121" i="7" s="1"/>
  <c r="AA409" i="10"/>
  <c r="AB409" i="10" s="1"/>
  <c r="I121" i="7"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l="1"/>
  <c r="B25" i="3" s="1"/>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D25" i="3" l="1"/>
  <c r="C25" i="3"/>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675" i="10" l="1"/>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13" i="10" l="1"/>
  <c r="Y714" i="10"/>
  <c r="Z713" i="10"/>
  <c r="AA677" i="10"/>
  <c r="AB677" i="10" s="1"/>
  <c r="F110" i="7" s="1"/>
  <c r="H9" i="5"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Z714" i="10" l="1"/>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AA714" i="10" l="1"/>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Y715" i="10" l="1"/>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AA716" i="10" l="1"/>
  <c r="AB716" i="10" s="1"/>
  <c r="U717" i="10" s="1"/>
  <c r="AA715" i="10"/>
  <c r="AB715" i="10" s="1"/>
  <c r="U718" i="10" s="1"/>
  <c r="Y626" i="10"/>
  <c r="Z626" i="10" s="1"/>
  <c r="AA626" i="10" s="1"/>
  <c r="AB626" i="10" s="1"/>
  <c r="G107" i="7" s="1"/>
  <c r="Y625" i="10"/>
  <c r="Z625" i="10"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Y717" i="10" l="1"/>
  <c r="Z717" i="10" s="1"/>
  <c r="Y718" i="10"/>
  <c r="Z718" i="10" s="1"/>
  <c r="AA625" i="10"/>
  <c r="AB625" i="10" s="1"/>
  <c r="L107" i="7" s="1"/>
  <c r="P107" i="7" s="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AA718" i="10" l="1"/>
  <c r="AB718" i="10" s="1"/>
  <c r="J110" i="7" s="1"/>
  <c r="AA717" i="10"/>
  <c r="AB717" i="10" s="1"/>
  <c r="I110" i="7" s="1"/>
  <c r="C11" i="3"/>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P110" i="7" l="1"/>
  <c r="B14" i="3" s="1"/>
  <c r="AA449" i="10"/>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C14" i="3" l="1"/>
  <c r="D14" i="3"/>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Y721" i="10" l="1"/>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722" i="10" l="1"/>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Y723" i="10" l="1"/>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AA724" i="10" l="1"/>
  <c r="AB724" i="10" s="1"/>
  <c r="I119" i="7" s="1"/>
  <c r="AA723" i="10"/>
  <c r="AB723" i="10" s="1"/>
  <c r="F119" i="7"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H18" i="5" l="1"/>
  <c r="P119" i="7"/>
  <c r="B23" i="3"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D23" i="3" l="1"/>
  <c r="C23" i="3"/>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U720"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Y719" i="10" l="1"/>
  <c r="Z719" i="10" s="1"/>
  <c r="Y720" i="10"/>
  <c r="Z720" i="10" s="1"/>
  <c r="U685" i="10"/>
  <c r="U686" i="10"/>
  <c r="AA513" i="10"/>
  <c r="AB513" i="10" s="1"/>
  <c r="U516" i="10"/>
  <c r="U515" i="10"/>
  <c r="K53" i="13"/>
  <c r="H69" i="10"/>
  <c r="H87" i="10"/>
  <c r="R44" i="13"/>
  <c r="H52" i="10"/>
  <c r="M44" i="13"/>
  <c r="H51" i="10"/>
  <c r="AA720" i="10" l="1"/>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P108" i="7" l="1"/>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G124" i="7"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B124" i="7" s="1"/>
  <c r="AA711" i="10"/>
  <c r="AB711" i="10" s="1"/>
  <c r="I124" i="7" s="1"/>
  <c r="P124" i="7" s="1"/>
  <c r="B28" i="3" s="1"/>
  <c r="AA639" i="10"/>
  <c r="AB639" i="10" s="1"/>
  <c r="U641" i="10" s="1"/>
  <c r="Y642" i="10" s="1"/>
  <c r="Z642" i="10" s="1"/>
  <c r="AA642" i="10" s="1"/>
  <c r="AB642" i="10" s="1"/>
  <c r="L117" i="7" s="1"/>
  <c r="U560" i="10"/>
  <c r="U558" i="10"/>
  <c r="J63" i="10"/>
  <c r="M63" i="10" s="1"/>
  <c r="N63" i="10" s="1"/>
  <c r="J64" i="10"/>
  <c r="M64" i="10" s="1"/>
  <c r="N64" i="10" s="1"/>
  <c r="D28" i="3" l="1"/>
  <c r="C28" i="3"/>
  <c r="Y641" i="10"/>
  <c r="Z641" i="10" s="1"/>
  <c r="AA641" i="10" s="1"/>
  <c r="AB641" i="10" s="1"/>
  <c r="H117" i="7" s="1"/>
  <c r="Y561" i="10"/>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K56" i="13"/>
  <c r="K55" i="13"/>
  <c r="H75" i="10"/>
  <c r="R55" i="13"/>
  <c r="H73" i="10"/>
  <c r="J81" i="10"/>
  <c r="M81" i="10" s="1"/>
  <c r="N81" i="10" s="1"/>
  <c r="J80" i="10"/>
  <c r="M80" i="10" s="1"/>
  <c r="N80" i="10" s="1"/>
  <c r="AA591" i="10" l="1"/>
  <c r="AB591" i="10" s="1"/>
  <c r="B117" i="7" s="1"/>
  <c r="U594" i="10"/>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4" i="10"/>
  <c r="W213" i="10"/>
  <c r="X213" i="10" s="1"/>
  <c r="P213" i="10"/>
  <c r="Q213" i="10" s="1"/>
  <c r="W212" i="10" l="1"/>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30" i="13" l="1"/>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30" i="13" l="1"/>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Q484" i="10"/>
  <c r="Q485" i="10"/>
  <c r="V484" i="10"/>
  <c r="W330" i="13" l="1"/>
  <c r="W331" i="13"/>
  <c r="W328" i="13"/>
  <c r="W329" i="13"/>
  <c r="W326" i="13"/>
  <c r="W327" i="13"/>
  <c r="W324" i="13"/>
  <c r="W325" i="13"/>
  <c r="W322" i="13"/>
  <c r="W323" i="13"/>
  <c r="W320" i="13"/>
  <c r="W321" i="13"/>
  <c r="W318" i="13"/>
  <c r="W319" i="13"/>
  <c r="W316" i="13"/>
  <c r="W317" i="13"/>
  <c r="AL19" i="13"/>
  <c r="J19" i="13" s="1"/>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247" i="13"/>
  <c r="V248" i="13"/>
  <c r="R232" i="13"/>
  <c r="H488" i="10"/>
  <c r="V232" i="13"/>
  <c r="V234" i="13"/>
  <c r="V236" i="13"/>
  <c r="V233" i="13"/>
  <c r="V235" i="13"/>
  <c r="P2" i="14"/>
  <c r="B19" i="13"/>
  <c r="V330" i="13" l="1"/>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AL15" i="13"/>
  <c r="J15" i="13" s="1"/>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31" i="13" s="1"/>
  <c r="N329" i="13" l="1"/>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6" i="10" s="1"/>
  <c r="M626" i="10" s="1"/>
  <c r="N626" i="10" s="1"/>
  <c r="J624" i="10"/>
  <c r="M624" i="10" s="1"/>
  <c r="N624" i="10" s="1"/>
  <c r="K286" i="13"/>
  <c r="H691" i="10"/>
  <c r="V691" i="10" s="1"/>
  <c r="R286" i="13"/>
  <c r="R287" i="13"/>
  <c r="H628" i="10"/>
  <c r="V628" i="10" s="1"/>
  <c r="J625" i="10"/>
  <c r="M625" i="10" s="1"/>
  <c r="N625" i="10" s="1"/>
  <c r="K294" i="13" l="1"/>
  <c r="K312" i="13"/>
  <c r="K295" i="13"/>
  <c r="K288" i="13"/>
  <c r="K290" i="13"/>
  <c r="K289" i="13"/>
  <c r="K292" i="13"/>
  <c r="K293" i="13"/>
  <c r="K287" i="13"/>
  <c r="K296" i="13"/>
  <c r="K297" i="13"/>
  <c r="K298" i="13"/>
  <c r="K303" i="13"/>
  <c r="K302" i="13"/>
  <c r="K306" i="13"/>
  <c r="K308" i="13"/>
  <c r="K301" i="13"/>
  <c r="K309" i="13"/>
  <c r="K300" i="13"/>
  <c r="K314" i="13"/>
  <c r="K299" i="13"/>
  <c r="K313" i="13"/>
  <c r="K305" i="13"/>
  <c r="AL7" i="13"/>
  <c r="J7" i="13" s="1"/>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AL11" i="13"/>
  <c r="J11" i="13" s="1"/>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J672" i="10"/>
  <c r="M672" i="10" s="1"/>
  <c r="N672" i="10" s="1"/>
  <c r="P308" i="13" s="1"/>
  <c r="U326" i="13"/>
  <c r="U327" i="13"/>
  <c r="U324" i="13"/>
  <c r="U325" i="13"/>
  <c r="U322" i="13"/>
  <c r="U323" i="13"/>
  <c r="U320" i="13"/>
  <c r="U321" i="13"/>
  <c r="U318" i="13"/>
  <c r="U319" i="13"/>
  <c r="U316" i="13"/>
  <c r="U317" i="13"/>
  <c r="AL17" i="13"/>
  <c r="J17" i="13" s="1"/>
  <c r="U315" i="13"/>
  <c r="U313" i="13"/>
  <c r="U314" i="13"/>
  <c r="U312" i="13"/>
  <c r="U310" i="13"/>
  <c r="U311" i="13"/>
  <c r="H679" i="10"/>
  <c r="P309" i="13"/>
  <c r="U308" i="13"/>
  <c r="U309" i="13"/>
  <c r="P307" i="13"/>
  <c r="Q315" i="13" l="1"/>
  <c r="Q314" i="13"/>
  <c r="Q330" i="13"/>
  <c r="Q331" i="13"/>
  <c r="Q329" i="13"/>
  <c r="Q323" i="13"/>
  <c r="Q318" i="13"/>
  <c r="Q313" i="13"/>
  <c r="Q312" i="13"/>
  <c r="Q311" i="13"/>
  <c r="Q309" i="13"/>
  <c r="Q307" i="13"/>
  <c r="W719" i="10"/>
  <c r="X719" i="10" s="1"/>
  <c r="W720" i="10"/>
  <c r="Q324" i="13"/>
  <c r="Q321" i="13"/>
  <c r="B8" i="14"/>
  <c r="Q328" i="13"/>
  <c r="Q326" i="13"/>
  <c r="Q322" i="13"/>
  <c r="Q316" i="13"/>
  <c r="Q327" i="13"/>
  <c r="Q325" i="13"/>
  <c r="Q320" i="13"/>
  <c r="Q319" i="13"/>
  <c r="Q317" i="13"/>
  <c r="AL13" i="13"/>
  <c r="J13" i="13" s="1"/>
  <c r="Q310" i="13"/>
  <c r="Q308" i="13"/>
  <c r="P679" i="10"/>
  <c r="Q679" i="10" s="1"/>
  <c r="P680" i="10"/>
  <c r="Q680" i="10" s="1"/>
  <c r="V679" i="10"/>
  <c r="W680" i="10" s="1"/>
  <c r="X680" i="10" s="1"/>
  <c r="B13" i="13" l="1"/>
  <c r="S13" i="13" s="1"/>
  <c r="J2" i="14"/>
  <c r="J680" i="10"/>
  <c r="M680" i="10" s="1"/>
  <c r="N680" i="10" s="1"/>
  <c r="H726" i="10" s="1"/>
  <c r="J679" i="10"/>
  <c r="M679" i="10" s="1"/>
  <c r="N679" i="10" s="1"/>
  <c r="W679" i="10"/>
  <c r="X679" i="10" s="1"/>
  <c r="P310" i="13"/>
  <c r="V726" i="10" l="1"/>
  <c r="M329" i="13"/>
  <c r="M330" i="13"/>
  <c r="F91" i="7"/>
  <c r="S91" i="7" s="1"/>
  <c r="W13" i="13"/>
  <c r="AI13" i="13"/>
  <c r="M327" i="13"/>
  <c r="M328" i="13"/>
  <c r="M325" i="13"/>
  <c r="M326" i="13"/>
  <c r="M323" i="13"/>
  <c r="M324" i="13"/>
  <c r="M321" i="13"/>
  <c r="M322" i="13"/>
  <c r="M319" i="13"/>
  <c r="M320" i="13"/>
  <c r="M317" i="13"/>
  <c r="M318" i="13"/>
  <c r="M315" i="13"/>
  <c r="M316" i="13"/>
  <c r="M314" i="13"/>
  <c r="AL9" i="13"/>
  <c r="J9" i="13" s="1"/>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J688" i="10" l="1"/>
  <c r="M688" i="10" s="1"/>
  <c r="N688" i="10" s="1"/>
  <c r="AL12" i="13" s="1"/>
  <c r="J12" i="13" s="1"/>
  <c r="X687" i="10"/>
  <c r="J687" i="10" s="1"/>
  <c r="M687" i="10" s="1"/>
  <c r="N687" i="10" s="1"/>
  <c r="AL14" i="13" s="1"/>
  <c r="J14" i="13" s="1"/>
  <c r="K14" i="13" l="1"/>
  <c r="K12" i="13"/>
  <c r="K13" i="13"/>
  <c r="K17" i="13"/>
  <c r="K11" i="13"/>
  <c r="K19" i="13"/>
  <c r="K15" i="13"/>
  <c r="K9" i="13"/>
  <c r="K8" i="13"/>
  <c r="K10" i="13"/>
  <c r="K16" i="13"/>
  <c r="K7" i="13"/>
  <c r="K20" i="13"/>
  <c r="K18" i="13"/>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H720" i="10" s="1"/>
  <c r="J710" i="10"/>
  <c r="M710" i="10" s="1"/>
  <c r="N710" i="10" s="1"/>
  <c r="P326" i="13"/>
  <c r="P327" i="13"/>
  <c r="P324" i="13"/>
  <c r="P325" i="13"/>
  <c r="P323" i="13"/>
  <c r="Q720" i="10" l="1"/>
  <c r="V720" i="10"/>
  <c r="X720" i="10" s="1"/>
  <c r="R323" i="13"/>
  <c r="H711" i="10"/>
  <c r="J720" i="10" l="1"/>
  <c r="M720" i="10" s="1"/>
  <c r="N720" i="10" s="1"/>
  <c r="H725" i="10" s="1"/>
  <c r="J719" i="10"/>
  <c r="M719" i="10" s="1"/>
  <c r="N719" i="10" s="1"/>
  <c r="U331" i="13" s="1"/>
  <c r="P328" i="13"/>
  <c r="P712" i="10"/>
  <c r="Q712" i="10" s="1"/>
  <c r="V711" i="10"/>
  <c r="W711" i="10" s="1"/>
  <c r="X711" i="10" s="1"/>
  <c r="P711" i="10"/>
  <c r="Q711" i="10" s="1"/>
  <c r="W712" i="10"/>
  <c r="X712" i="10" s="1"/>
  <c r="P725" i="10" l="1"/>
  <c r="Q725" i="10" s="1"/>
  <c r="P726" i="10"/>
  <c r="Q726" i="10" s="1"/>
  <c r="V725" i="10"/>
  <c r="P329" i="13"/>
  <c r="P330" i="13"/>
  <c r="U329" i="13"/>
  <c r="U330" i="13"/>
  <c r="B12" i="14"/>
  <c r="U328" i="13"/>
  <c r="J712" i="10"/>
  <c r="M712" i="10" s="1"/>
  <c r="N712" i="10" s="1"/>
  <c r="K331" i="13" s="1"/>
  <c r="J711" i="10"/>
  <c r="M711" i="10" s="1"/>
  <c r="W725" i="10" l="1"/>
  <c r="X725" i="10" s="1"/>
  <c r="W726" i="10"/>
  <c r="X726" i="10" s="1"/>
  <c r="K329" i="13"/>
  <c r="K330" i="13"/>
  <c r="N2" i="14"/>
  <c r="B17" i="13"/>
  <c r="S17" i="13" s="1"/>
  <c r="K327" i="13"/>
  <c r="K328" i="13"/>
  <c r="K325" i="13"/>
  <c r="K326" i="13"/>
  <c r="N711" i="10"/>
  <c r="H713" i="10" s="1"/>
  <c r="B2" i="14"/>
  <c r="K324" i="13"/>
  <c r="J726" i="10" l="1"/>
  <c r="M726" i="10" s="1"/>
  <c r="N726" i="10" s="1"/>
  <c r="J725" i="10"/>
  <c r="M725" i="10" s="1"/>
  <c r="N725" i="10" s="1"/>
  <c r="B4" i="14"/>
  <c r="M331" i="13"/>
  <c r="W17" i="13"/>
  <c r="F92" i="7"/>
  <c r="S92" i="7" s="1"/>
  <c r="AI17" i="13"/>
  <c r="P713" i="10"/>
  <c r="Q713" i="10" s="1"/>
  <c r="P714" i="10"/>
  <c r="Q714" i="10" s="1"/>
  <c r="V713" i="10"/>
  <c r="R324" i="13"/>
  <c r="D2" i="14"/>
  <c r="B7" i="13"/>
  <c r="P331" i="13" l="1"/>
  <c r="B7" i="14"/>
  <c r="F2" i="14"/>
  <c r="B9" i="13"/>
  <c r="S9" i="13" s="1"/>
  <c r="W713" i="10"/>
  <c r="X713" i="10" s="1"/>
  <c r="W714" i="10"/>
  <c r="X714" i="10" s="1"/>
  <c r="S7" i="13"/>
  <c r="I2" i="14" l="1"/>
  <c r="B12" i="13"/>
  <c r="S12" i="13" s="1"/>
  <c r="F99" i="7"/>
  <c r="S99" i="7" s="1"/>
  <c r="W9" i="13"/>
  <c r="AI9" i="13"/>
  <c r="J714" i="10"/>
  <c r="M714" i="10" s="1"/>
  <c r="N714" i="10" s="1"/>
  <c r="H715" i="10" s="1"/>
  <c r="J713" i="10"/>
  <c r="M713" i="10" s="1"/>
  <c r="AI7" i="13"/>
  <c r="W7" i="13"/>
  <c r="F94" i="7"/>
  <c r="S94" i="7" s="1"/>
  <c r="F95" i="7" l="1"/>
  <c r="S95" i="7" s="1"/>
  <c r="AI12" i="13"/>
  <c r="W12" i="13"/>
  <c r="P715" i="10"/>
  <c r="Q715" i="10" s="1"/>
  <c r="P716" i="10"/>
  <c r="N713" i="10"/>
  <c r="H716" i="10" s="1"/>
  <c r="V715" i="10"/>
  <c r="R325" i="13"/>
  <c r="S325" i="13"/>
  <c r="Q716" i="10" l="1"/>
  <c r="V716" i="10"/>
  <c r="W715" i="10"/>
  <c r="X715" i="10" s="1"/>
  <c r="W716" i="10"/>
  <c r="X716" i="10" l="1"/>
  <c r="J716" i="10" s="1"/>
  <c r="M716" i="10" s="1"/>
  <c r="N716" i="10" s="1"/>
  <c r="J715" i="10"/>
  <c r="M715" i="10" s="1"/>
  <c r="R326" i="13" l="1"/>
  <c r="H717" i="10"/>
  <c r="N715" i="10"/>
  <c r="H718" i="10" s="1"/>
  <c r="S326" i="13"/>
  <c r="P717" i="10" l="1"/>
  <c r="Q717" i="10" s="1"/>
  <c r="P718" i="10"/>
  <c r="Q718" i="10" s="1"/>
  <c r="V717" i="10"/>
  <c r="W717" i="10"/>
  <c r="X717" i="10" s="1"/>
  <c r="W718" i="10"/>
  <c r="X718" i="10" s="1"/>
  <c r="V718" i="10"/>
  <c r="J718" i="10" l="1"/>
  <c r="M718" i="10" s="1"/>
  <c r="N718" i="10" s="1"/>
  <c r="J717" i="10"/>
  <c r="M717" i="10" s="1"/>
  <c r="S327" i="13"/>
  <c r="B10" i="14"/>
  <c r="S330" i="13" l="1"/>
  <c r="S331" i="13"/>
  <c r="S328" i="13"/>
  <c r="S329" i="13"/>
  <c r="N717" i="10"/>
  <c r="H722" i="10" s="1"/>
  <c r="B15" i="13"/>
  <c r="L2" i="14"/>
  <c r="Q722" i="10" l="1"/>
  <c r="V722" i="10"/>
  <c r="X722" i="10" s="1"/>
  <c r="R328" i="13"/>
  <c r="R327" i="13"/>
  <c r="S15" i="13"/>
  <c r="J722" i="10" l="1"/>
  <c r="M722" i="10" s="1"/>
  <c r="N722" i="10" s="1"/>
  <c r="H724" i="10" s="1"/>
  <c r="J721" i="10"/>
  <c r="M721" i="10" s="1"/>
  <c r="R329" i="13"/>
  <c r="W15" i="13"/>
  <c r="AI15" i="13"/>
  <c r="F89" i="7"/>
  <c r="S89" i="7" s="1"/>
  <c r="V724" i="10" l="1"/>
  <c r="N721" i="10"/>
  <c r="H723" i="10" s="1"/>
  <c r="O329" i="13"/>
  <c r="P723" i="10" l="1"/>
  <c r="Q723" i="10" s="1"/>
  <c r="P724" i="10"/>
  <c r="Q724" i="10" s="1"/>
  <c r="V723" i="10"/>
  <c r="W723" i="10" l="1"/>
  <c r="X723" i="10" s="1"/>
  <c r="W724" i="10"/>
  <c r="X724" i="10" s="1"/>
  <c r="J724" i="10" l="1"/>
  <c r="M724" i="10" s="1"/>
  <c r="N724" i="10" s="1"/>
  <c r="R331" i="13" s="1"/>
  <c r="J723" i="10"/>
  <c r="M723" i="10" s="1"/>
  <c r="B19" i="8" s="1"/>
  <c r="H19" i="8"/>
  <c r="N723" i="10" l="1"/>
  <c r="O331" i="13" s="1"/>
  <c r="B18" i="8"/>
  <c r="H18" i="8"/>
  <c r="H17" i="8"/>
  <c r="B17" i="8"/>
  <c r="B9" i="14"/>
  <c r="R330" i="13"/>
  <c r="D19" i="8"/>
  <c r="E19" i="8"/>
  <c r="C19" i="8"/>
  <c r="F19" i="8"/>
  <c r="B6" i="14" l="1"/>
  <c r="O330" i="13"/>
  <c r="F18" i="8"/>
  <c r="D18" i="8"/>
  <c r="C18" i="8"/>
  <c r="E18" i="8"/>
  <c r="C17" i="8"/>
  <c r="F17" i="8" s="1"/>
  <c r="D17" i="8"/>
  <c r="E17" i="8"/>
  <c r="K2" i="14"/>
  <c r="B14" i="13"/>
  <c r="H2" i="14" l="1"/>
  <c r="B11" i="13"/>
  <c r="S14" i="13"/>
  <c r="C13" i="14" l="1"/>
  <c r="C18" i="13" s="1"/>
  <c r="AA18" i="13" s="1"/>
  <c r="C9" i="14"/>
  <c r="C14" i="13" s="1"/>
  <c r="AA14" i="13" s="1"/>
  <c r="D17" i="13"/>
  <c r="E13" i="13"/>
  <c r="D15" i="13"/>
  <c r="D18" i="13"/>
  <c r="D12" i="13"/>
  <c r="E7" i="13"/>
  <c r="E15" i="13"/>
  <c r="E9" i="13"/>
  <c r="C8" i="14"/>
  <c r="C13" i="13" s="1"/>
  <c r="AA13" i="13" s="1"/>
  <c r="C12" i="14"/>
  <c r="C17" i="13" s="1"/>
  <c r="AA17" i="13" s="1"/>
  <c r="C2" i="14"/>
  <c r="C7" i="13" s="1"/>
  <c r="AA7" i="13" s="1"/>
  <c r="C11" i="14"/>
  <c r="C16" i="13" s="1"/>
  <c r="AA16" i="13" s="1"/>
  <c r="C5" i="14"/>
  <c r="C10" i="13" s="1"/>
  <c r="AA10" i="13" s="1"/>
  <c r="C7" i="14"/>
  <c r="C12" i="13" s="1"/>
  <c r="AA12" i="13" s="1"/>
  <c r="C6" i="14"/>
  <c r="C11" i="13" s="1"/>
  <c r="C15" i="14"/>
  <c r="C20" i="13" s="1"/>
  <c r="AA20" i="13" s="1"/>
  <c r="C14" i="14"/>
  <c r="C19" i="13" s="1"/>
  <c r="AA19" i="13" s="1"/>
  <c r="C10" i="14"/>
  <c r="C15" i="13" s="1"/>
  <c r="AA15" i="13" s="1"/>
  <c r="C3" i="14"/>
  <c r="C8" i="13" s="1"/>
  <c r="AA8" i="13" s="1"/>
  <c r="C4" i="14"/>
  <c r="C9" i="13" s="1"/>
  <c r="AA9" i="13" s="1"/>
  <c r="S11" i="13"/>
  <c r="F90" i="7" s="1"/>
  <c r="S90" i="7" s="1"/>
  <c r="E18" i="13"/>
  <c r="D19" i="13"/>
  <c r="E12" i="13"/>
  <c r="D16" i="13"/>
  <c r="D10" i="13"/>
  <c r="E20" i="13"/>
  <c r="E10" i="13"/>
  <c r="D11" i="13"/>
  <c r="E14" i="13"/>
  <c r="D8" i="13"/>
  <c r="D20" i="13"/>
  <c r="E16" i="13"/>
  <c r="D14" i="13"/>
  <c r="D7" i="13"/>
  <c r="E17" i="13"/>
  <c r="E8" i="13"/>
  <c r="E11" i="13"/>
  <c r="D9" i="13"/>
  <c r="D13" i="13"/>
  <c r="E19" i="13"/>
  <c r="AI14" i="13"/>
  <c r="W14" i="13"/>
  <c r="F93" i="7"/>
  <c r="S93" i="7" s="1"/>
  <c r="AA11" i="13" l="1"/>
  <c r="B28" i="5" s="1"/>
  <c r="B12" i="5"/>
  <c r="W11" i="13"/>
  <c r="B24" i="5" s="1"/>
  <c r="AI11" i="13"/>
  <c r="C4" i="7"/>
  <c r="B13" i="4" l="1"/>
  <c r="B16" i="4"/>
  <c r="B12" i="4"/>
  <c r="B18" i="4"/>
  <c r="L13" i="13"/>
  <c r="B8" i="4"/>
  <c r="B10" i="4"/>
  <c r="L7" i="13"/>
  <c r="L20" i="13"/>
  <c r="L15" i="13"/>
  <c r="L11" i="13"/>
  <c r="B15" i="4"/>
  <c r="B9" i="4"/>
  <c r="R9" i="4" s="1"/>
  <c r="L9" i="13"/>
  <c r="L14" i="13"/>
  <c r="L19" i="13"/>
  <c r="L16" i="13"/>
  <c r="L18" i="13"/>
  <c r="B17" i="4"/>
  <c r="A5" i="3"/>
  <c r="B28" i="8" s="1"/>
  <c r="A6" i="3"/>
  <c r="B14" i="4"/>
  <c r="L12" i="13"/>
  <c r="B7" i="4"/>
  <c r="B6" i="4"/>
  <c r="L17" i="13"/>
  <c r="B5" i="4"/>
  <c r="B11" i="4"/>
  <c r="L10" i="13"/>
  <c r="L8" i="13"/>
  <c r="Q15" i="4" l="1"/>
  <c r="A8" i="9"/>
  <c r="Q10" i="4"/>
  <c r="E13" i="4"/>
  <c r="X13" i="4"/>
  <c r="U13" i="4"/>
  <c r="O13" i="4"/>
  <c r="D13" i="4"/>
  <c r="K13" i="4"/>
  <c r="P13" i="4"/>
  <c r="T13" i="4"/>
  <c r="I13" i="4"/>
  <c r="Q13" i="4"/>
  <c r="V13" i="4"/>
  <c r="M13" i="4"/>
  <c r="J13" i="4"/>
  <c r="S13" i="4"/>
  <c r="H13" i="4"/>
  <c r="C13" i="4"/>
  <c r="R13" i="4"/>
  <c r="M16" i="4"/>
  <c r="T16" i="4"/>
  <c r="K16" i="4"/>
  <c r="C16" i="4"/>
  <c r="Q16" i="4"/>
  <c r="D16" i="4"/>
  <c r="G16" i="4" s="1"/>
  <c r="X8" i="13" s="1"/>
  <c r="S16" i="4"/>
  <c r="P16" i="4"/>
  <c r="U16" i="4"/>
  <c r="J16" i="4"/>
  <c r="E16" i="4"/>
  <c r="V16" i="4"/>
  <c r="O16" i="4"/>
  <c r="R16" i="4"/>
  <c r="X16" i="4"/>
  <c r="H16" i="4"/>
  <c r="I16" i="4"/>
  <c r="I12" i="4"/>
  <c r="M12" i="4"/>
  <c r="X12" i="4"/>
  <c r="Q12" i="4"/>
  <c r="D12" i="4"/>
  <c r="H12" i="4"/>
  <c r="C12" i="4"/>
  <c r="S12" i="4"/>
  <c r="U12" i="4"/>
  <c r="J12" i="4"/>
  <c r="R12" i="4"/>
  <c r="K12" i="4"/>
  <c r="P12" i="4"/>
  <c r="O12" i="4"/>
  <c r="T12" i="4"/>
  <c r="V12" i="4"/>
  <c r="E12" i="4"/>
  <c r="S18" i="4"/>
  <c r="K18" i="4"/>
  <c r="Q18" i="4"/>
  <c r="U18" i="4"/>
  <c r="P18" i="4"/>
  <c r="J18" i="4"/>
  <c r="E18" i="4"/>
  <c r="H18" i="4"/>
  <c r="M18" i="4"/>
  <c r="O18" i="4"/>
  <c r="C18" i="4"/>
  <c r="I18" i="4"/>
  <c r="D18" i="4"/>
  <c r="V18" i="4"/>
  <c r="R18" i="4"/>
  <c r="T18" i="4"/>
  <c r="X18" i="4"/>
  <c r="K8" i="4"/>
  <c r="E8" i="4"/>
  <c r="C8" i="4"/>
  <c r="O8" i="4"/>
  <c r="V8" i="4"/>
  <c r="X8" i="4"/>
  <c r="D8" i="4"/>
  <c r="P8" i="4"/>
  <c r="M8" i="4"/>
  <c r="I8" i="4"/>
  <c r="H8" i="4"/>
  <c r="R8" i="4"/>
  <c r="Q8" i="4"/>
  <c r="J8" i="4"/>
  <c r="U8" i="4"/>
  <c r="T8" i="4"/>
  <c r="S8" i="4"/>
  <c r="J10" i="4"/>
  <c r="E10" i="4"/>
  <c r="P10" i="4"/>
  <c r="I10" i="4"/>
  <c r="K10" i="4"/>
  <c r="U10" i="4"/>
  <c r="D10" i="4"/>
  <c r="M10" i="4"/>
  <c r="T10" i="4"/>
  <c r="S10" i="4"/>
  <c r="X10" i="4"/>
  <c r="C10" i="4"/>
  <c r="O10" i="4"/>
  <c r="V10" i="4"/>
  <c r="R10" i="4"/>
  <c r="H10" i="4"/>
  <c r="R15" i="4"/>
  <c r="O15" i="4"/>
  <c r="J15" i="4"/>
  <c r="I15" i="4"/>
  <c r="X15" i="4"/>
  <c r="D15" i="4"/>
  <c r="H15" i="4"/>
  <c r="U15" i="4"/>
  <c r="C15" i="4"/>
  <c r="K15" i="4"/>
  <c r="T15" i="4"/>
  <c r="D9" i="4"/>
  <c r="AD14" i="13" s="1"/>
  <c r="Q9" i="4"/>
  <c r="S9" i="4"/>
  <c r="H9" i="4"/>
  <c r="R17" i="4"/>
  <c r="M17" i="4"/>
  <c r="U17" i="4"/>
  <c r="X17" i="4"/>
  <c r="C17" i="4"/>
  <c r="Q17" i="4"/>
  <c r="E15" i="4"/>
  <c r="M15" i="4"/>
  <c r="P15" i="4"/>
  <c r="V15" i="4"/>
  <c r="S15" i="4"/>
  <c r="T17" i="4"/>
  <c r="O17" i="4"/>
  <c r="K17" i="4"/>
  <c r="V17" i="4"/>
  <c r="E17" i="4"/>
  <c r="I17" i="4"/>
  <c r="D17" i="4"/>
  <c r="AD10" i="13" s="1"/>
  <c r="H17" i="4"/>
  <c r="P17" i="4"/>
  <c r="S17" i="4"/>
  <c r="J17" i="4"/>
  <c r="U9" i="4"/>
  <c r="E9" i="4"/>
  <c r="C9" i="4"/>
  <c r="J9" i="4"/>
  <c r="I9" i="4"/>
  <c r="K9" i="4"/>
  <c r="P9" i="4"/>
  <c r="M9" i="4"/>
  <c r="V9" i="4"/>
  <c r="O9" i="4"/>
  <c r="X9" i="4"/>
  <c r="T9" i="4"/>
  <c r="S14" i="4"/>
  <c r="R14" i="4"/>
  <c r="T14" i="4"/>
  <c r="X14" i="4"/>
  <c r="M14" i="4"/>
  <c r="U14" i="4"/>
  <c r="I14" i="4"/>
  <c r="K14" i="4"/>
  <c r="Q14" i="4"/>
  <c r="J14" i="4"/>
  <c r="E14" i="4"/>
  <c r="P14" i="4"/>
  <c r="V14" i="4"/>
  <c r="C14" i="4"/>
  <c r="D14" i="4"/>
  <c r="O14" i="4"/>
  <c r="H14" i="4"/>
  <c r="I7" i="4"/>
  <c r="R7" i="4"/>
  <c r="U7" i="4"/>
  <c r="P7" i="4"/>
  <c r="E7" i="4"/>
  <c r="D7" i="4"/>
  <c r="O7" i="4"/>
  <c r="S7" i="4"/>
  <c r="H7" i="4"/>
  <c r="J7" i="4"/>
  <c r="X7" i="4"/>
  <c r="C7" i="4"/>
  <c r="C19" i="9" s="1"/>
  <c r="T7" i="4"/>
  <c r="V7" i="4"/>
  <c r="Q7" i="4"/>
  <c r="B19" i="9"/>
  <c r="M7" i="4"/>
  <c r="K7" i="4"/>
  <c r="S6" i="4"/>
  <c r="K6" i="4"/>
  <c r="O6" i="4"/>
  <c r="C6" i="4"/>
  <c r="C18" i="9" s="1"/>
  <c r="Q6" i="4"/>
  <c r="E6" i="4"/>
  <c r="H6" i="4"/>
  <c r="D6" i="4"/>
  <c r="R6" i="4"/>
  <c r="T6" i="4"/>
  <c r="X6" i="4"/>
  <c r="I6" i="4"/>
  <c r="P6" i="4"/>
  <c r="V6" i="4"/>
  <c r="U6" i="4"/>
  <c r="B18" i="9"/>
  <c r="J6" i="4"/>
  <c r="M6" i="4"/>
  <c r="T5" i="4"/>
  <c r="S5" i="4"/>
  <c r="V5" i="4"/>
  <c r="H5" i="4"/>
  <c r="O5" i="4"/>
  <c r="B17" i="9"/>
  <c r="R5" i="4"/>
  <c r="U5" i="4"/>
  <c r="X5" i="4"/>
  <c r="K5" i="4"/>
  <c r="E5" i="4"/>
  <c r="M5" i="4"/>
  <c r="C5" i="4"/>
  <c r="I5" i="4"/>
  <c r="B5" i="5"/>
  <c r="J5" i="4"/>
  <c r="D5" i="4"/>
  <c r="Q5" i="4"/>
  <c r="P5" i="4"/>
  <c r="V11" i="4"/>
  <c r="R11" i="4"/>
  <c r="I11" i="4"/>
  <c r="O11" i="4"/>
  <c r="J11" i="4"/>
  <c r="T11" i="4"/>
  <c r="Q11" i="4"/>
  <c r="D11" i="4"/>
  <c r="U11" i="4"/>
  <c r="X11" i="4"/>
  <c r="K11" i="4"/>
  <c r="C11" i="4"/>
  <c r="E11" i="4"/>
  <c r="H11" i="4"/>
  <c r="S11" i="4"/>
  <c r="M11" i="4"/>
  <c r="P11" i="4"/>
  <c r="F13" i="4" l="1"/>
  <c r="AD20" i="13"/>
  <c r="AF20" i="13" s="1"/>
  <c r="W13" i="4" s="1"/>
  <c r="L13" i="4"/>
  <c r="G13" i="4"/>
  <c r="X20" i="13" s="1"/>
  <c r="AE20" i="13"/>
  <c r="Y20" i="13"/>
  <c r="AE8" i="13"/>
  <c r="Y8" i="13"/>
  <c r="AB8" i="13" s="1"/>
  <c r="L16" i="4"/>
  <c r="F16" i="4"/>
  <c r="AD8" i="13"/>
  <c r="AD18" i="13"/>
  <c r="F12" i="4"/>
  <c r="L12" i="4"/>
  <c r="G12" i="4"/>
  <c r="Y18" i="13"/>
  <c r="AE18" i="13"/>
  <c r="Y16" i="13"/>
  <c r="AE16" i="13"/>
  <c r="AD16" i="13"/>
  <c r="L18" i="4"/>
  <c r="F18" i="4"/>
  <c r="G18" i="4"/>
  <c r="X16" i="13" s="1"/>
  <c r="Y15" i="13"/>
  <c r="AE15" i="13"/>
  <c r="L8" i="4"/>
  <c r="F8" i="4"/>
  <c r="G8" i="4"/>
  <c r="X15" i="13" s="1"/>
  <c r="AD15" i="13"/>
  <c r="Y12" i="13"/>
  <c r="AE12" i="13"/>
  <c r="L10" i="4"/>
  <c r="G10" i="4"/>
  <c r="X12" i="13" s="1"/>
  <c r="F10" i="4"/>
  <c r="AD12" i="13"/>
  <c r="L15" i="4"/>
  <c r="AD17" i="13"/>
  <c r="AE17" i="13"/>
  <c r="Y17" i="13"/>
  <c r="F15" i="4"/>
  <c r="G15" i="4"/>
  <c r="X17" i="13" s="1"/>
  <c r="AE10" i="13"/>
  <c r="Y10" i="13"/>
  <c r="L17" i="4"/>
  <c r="F17" i="4"/>
  <c r="G17" i="4"/>
  <c r="X10" i="13" s="1"/>
  <c r="AB10" i="13" s="1"/>
  <c r="AF10" i="13" s="1"/>
  <c r="W17" i="4" s="1"/>
  <c r="T2" i="4"/>
  <c r="F9" i="4"/>
  <c r="G9" i="4"/>
  <c r="X14" i="13" s="1"/>
  <c r="AE14" i="13"/>
  <c r="L9" i="4"/>
  <c r="Y14" i="13"/>
  <c r="Y19" i="13"/>
  <c r="AE19" i="13"/>
  <c r="AD19" i="13"/>
  <c r="G14" i="4"/>
  <c r="X19" i="13" s="1"/>
  <c r="L14" i="4"/>
  <c r="F14" i="4"/>
  <c r="AD7" i="13"/>
  <c r="F7" i="4"/>
  <c r="L7" i="4"/>
  <c r="G7" i="4"/>
  <c r="X7" i="13" s="1"/>
  <c r="Y7" i="13"/>
  <c r="AE7" i="13"/>
  <c r="Y13" i="13"/>
  <c r="AE13" i="13"/>
  <c r="AD13" i="13"/>
  <c r="G6" i="4"/>
  <c r="X13" i="13" s="1"/>
  <c r="L6" i="4"/>
  <c r="F6" i="4"/>
  <c r="C22" i="8"/>
  <c r="B31" i="8"/>
  <c r="B22" i="8"/>
  <c r="Y11" i="13"/>
  <c r="B26" i="5" s="1"/>
  <c r="B11" i="5"/>
  <c r="AE11" i="13"/>
  <c r="N15" i="4"/>
  <c r="N5" i="4"/>
  <c r="B15" i="5" s="1"/>
  <c r="N6" i="4"/>
  <c r="D19" i="9"/>
  <c r="N10" i="4"/>
  <c r="N18" i="4"/>
  <c r="N16" i="4"/>
  <c r="N7" i="4"/>
  <c r="N13" i="4"/>
  <c r="D18" i="9"/>
  <c r="B33" i="8"/>
  <c r="N17" i="4"/>
  <c r="N11" i="4"/>
  <c r="N9" i="4"/>
  <c r="N8" i="4"/>
  <c r="B6" i="5"/>
  <c r="N12" i="4"/>
  <c r="C17" i="9"/>
  <c r="N14" i="4"/>
  <c r="A5" i="9"/>
  <c r="B21" i="8"/>
  <c r="AD11" i="13"/>
  <c r="C21" i="8"/>
  <c r="F21" i="8" s="1"/>
  <c r="A10" i="9"/>
  <c r="F5" i="4"/>
  <c r="B8" i="5" s="1"/>
  <c r="B30" i="8"/>
  <c r="L5" i="4"/>
  <c r="G5" i="4"/>
  <c r="B10" i="5"/>
  <c r="AD9" i="13"/>
  <c r="G11" i="4"/>
  <c r="L11" i="4"/>
  <c r="F11" i="4"/>
  <c r="AE9" i="13"/>
  <c r="Y9" i="13"/>
  <c r="AB20" i="13" l="1"/>
  <c r="X9" i="13"/>
  <c r="AB9" i="13" s="1"/>
  <c r="AF9" i="13" s="1"/>
  <c r="X18" i="13"/>
  <c r="AB18" i="13" s="1"/>
  <c r="AF18" i="13" s="1"/>
  <c r="AB19" i="13"/>
  <c r="AF19" i="13" s="1"/>
  <c r="W14" i="4" s="1"/>
  <c r="AB15" i="13"/>
  <c r="AF15" i="13" s="1"/>
  <c r="W8" i="4" s="1"/>
  <c r="AB14" i="13"/>
  <c r="AF14" i="13" s="1"/>
  <c r="W9" i="4" s="1"/>
  <c r="AF8" i="13"/>
  <c r="W16" i="4" s="1"/>
  <c r="AB16" i="13"/>
  <c r="AF16" i="13" s="1"/>
  <c r="W18" i="4" s="1"/>
  <c r="AB12" i="13"/>
  <c r="AF12" i="13" s="1"/>
  <c r="W10" i="4" s="1"/>
  <c r="AB17" i="13"/>
  <c r="AF17" i="13" s="1"/>
  <c r="W15" i="4" s="1"/>
  <c r="AB13" i="13"/>
  <c r="AF13" i="13" s="1"/>
  <c r="W6" i="4" s="1"/>
  <c r="AB7" i="13"/>
  <c r="AF7" i="13" s="1"/>
  <c r="W7" i="4" s="1"/>
  <c r="B16" i="5"/>
  <c r="A3" i="4"/>
  <c r="B9" i="5"/>
  <c r="X11" i="13"/>
  <c r="W11" i="4" l="1"/>
  <c r="W12" i="4"/>
  <c r="B25" i="5"/>
  <c r="AB11" i="13"/>
  <c r="B23" i="5" l="1"/>
  <c r="AF11" i="13"/>
  <c r="B7" i="5" l="1"/>
  <c r="W5" i="4"/>
</calcChain>
</file>

<file path=xl/sharedStrings.xml><?xml version="1.0" encoding="utf-8"?>
<sst xmlns="http://schemas.openxmlformats.org/spreadsheetml/2006/main" count="3162" uniqueCount="466">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</sst>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53" fillId="0" borderId="0" xfId="0" applyFont="1"/>
    <xf numFmtId="0" fontId="0" fillId="0" borderId="0" xfId="0"/>
    <xf numFmtId="0" fontId="54" fillId="0" borderId="0" xfId="0" applyFont="1"/>
    <xf numFmtId="0" fontId="14" fillId="0" borderId="0" xfId="0" applyFont="1" applyAlignment="1">
      <alignment horizontal="left" vertical="top" wrapText="1"/>
    </xf>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2" t="s">
        <v>185</v>
      </c>
      <c r="B1" s="146"/>
      <c r="C1" s="146"/>
      <c r="D1" s="146"/>
      <c r="E1" s="146"/>
      <c r="F1" s="146"/>
      <c r="G1" s="146"/>
      <c r="H1" s="146"/>
    </row>
    <row r="2" spans="1:8" ht="18" customHeight="1" x14ac:dyDescent="0.2">
      <c r="A2" s="150" t="s">
        <v>186</v>
      </c>
      <c r="B2" s="146"/>
      <c r="C2" s="146"/>
      <c r="D2" s="146"/>
      <c r="E2" s="146"/>
      <c r="F2" s="146"/>
      <c r="G2" s="146"/>
      <c r="H2" s="146"/>
    </row>
    <row r="3" spans="1:8" ht="48" customHeight="1" x14ac:dyDescent="0.2">
      <c r="A3" s="148" t="s">
        <v>187</v>
      </c>
      <c r="B3" s="146"/>
      <c r="C3" s="146"/>
      <c r="D3" s="146"/>
      <c r="E3" s="146"/>
      <c r="F3" s="146"/>
      <c r="G3" s="146"/>
      <c r="H3" s="146"/>
    </row>
    <row r="6" spans="1:8" ht="21.75" customHeight="1" x14ac:dyDescent="0.2">
      <c r="A6" s="151" t="s">
        <v>188</v>
      </c>
      <c r="B6" s="146"/>
      <c r="C6" s="146"/>
      <c r="D6" s="146"/>
      <c r="E6" s="146"/>
      <c r="F6" s="146"/>
      <c r="G6" s="146"/>
      <c r="H6" s="146"/>
    </row>
    <row r="7" spans="1:8" ht="51" customHeight="1" x14ac:dyDescent="0.2">
      <c r="A7" s="25" t="s">
        <v>189</v>
      </c>
      <c r="B7" s="149" t="s">
        <v>190</v>
      </c>
      <c r="C7" s="146"/>
      <c r="D7" s="146"/>
      <c r="E7" s="146"/>
      <c r="F7" s="146"/>
      <c r="G7" s="146"/>
      <c r="H7" s="146"/>
    </row>
    <row r="8" spans="1:8" ht="36" customHeight="1" x14ac:dyDescent="0.2">
      <c r="A8" s="26" t="s">
        <v>191</v>
      </c>
      <c r="B8" s="149" t="s">
        <v>192</v>
      </c>
      <c r="C8" s="146"/>
      <c r="D8" s="146"/>
      <c r="E8" s="146"/>
      <c r="F8" s="146"/>
      <c r="G8" s="146"/>
      <c r="H8" s="146"/>
    </row>
    <row r="9" spans="1:8" ht="21" customHeight="1" x14ac:dyDescent="0.2">
      <c r="A9" s="25" t="s">
        <v>189</v>
      </c>
      <c r="B9" s="149" t="s">
        <v>193</v>
      </c>
      <c r="C9" s="146"/>
      <c r="D9" s="146"/>
      <c r="E9" s="146"/>
      <c r="F9" s="146"/>
      <c r="G9" s="146"/>
      <c r="H9" s="146"/>
    </row>
    <row r="10" spans="1:8" ht="36" customHeight="1" x14ac:dyDescent="0.2">
      <c r="A10" s="26" t="s">
        <v>191</v>
      </c>
      <c r="B10" s="149" t="s">
        <v>194</v>
      </c>
      <c r="C10" s="146"/>
      <c r="D10" s="146"/>
      <c r="E10" s="146"/>
      <c r="F10" s="146"/>
      <c r="G10" s="146"/>
      <c r="H10" s="146"/>
    </row>
    <row r="12" spans="1:8" ht="21.75" customHeight="1" x14ac:dyDescent="0.2">
      <c r="A12" s="151" t="s">
        <v>195</v>
      </c>
      <c r="B12" s="146"/>
      <c r="C12" s="146"/>
      <c r="D12" s="146"/>
      <c r="E12" s="146"/>
      <c r="F12" s="146"/>
      <c r="G12" s="146"/>
      <c r="H12" s="146"/>
    </row>
    <row r="13" spans="1:8" ht="36" customHeight="1" x14ac:dyDescent="0.2">
      <c r="A13" s="25" t="s">
        <v>189</v>
      </c>
      <c r="B13" s="149" t="s">
        <v>196</v>
      </c>
      <c r="C13" s="146"/>
      <c r="D13" s="146"/>
      <c r="E13" s="146"/>
      <c r="F13" s="146"/>
      <c r="G13" s="146"/>
      <c r="H13" s="146"/>
    </row>
    <row r="14" spans="1:8" ht="36" customHeight="1" x14ac:dyDescent="0.2">
      <c r="A14" s="26" t="s">
        <v>191</v>
      </c>
      <c r="B14" s="149" t="s">
        <v>197</v>
      </c>
      <c r="C14" s="146"/>
      <c r="D14" s="146"/>
      <c r="E14" s="146"/>
      <c r="F14" s="146"/>
      <c r="G14" s="146"/>
      <c r="H14" s="146"/>
    </row>
    <row r="15" spans="1:8" ht="21" customHeight="1" x14ac:dyDescent="0.2">
      <c r="A15" s="25" t="s">
        <v>189</v>
      </c>
      <c r="B15" s="149" t="s">
        <v>198</v>
      </c>
      <c r="C15" s="146"/>
      <c r="D15" s="146"/>
      <c r="E15" s="146"/>
      <c r="F15" s="146"/>
      <c r="G15" s="146"/>
      <c r="H15" s="146"/>
    </row>
    <row r="16" spans="1:8" ht="36" customHeight="1" x14ac:dyDescent="0.2">
      <c r="A16" s="26" t="s">
        <v>191</v>
      </c>
      <c r="B16" s="149" t="s">
        <v>199</v>
      </c>
      <c r="C16" s="146"/>
      <c r="D16" s="146"/>
      <c r="E16" s="146"/>
      <c r="F16" s="146"/>
      <c r="G16" s="146"/>
      <c r="H16" s="146"/>
    </row>
    <row r="18" spans="1:8" ht="21.75" customHeight="1" x14ac:dyDescent="0.2">
      <c r="A18" s="151" t="s">
        <v>200</v>
      </c>
      <c r="B18" s="146"/>
      <c r="C18" s="146"/>
      <c r="D18" s="146"/>
      <c r="E18" s="146"/>
      <c r="F18" s="146"/>
      <c r="G18" s="146"/>
      <c r="H18" s="146"/>
    </row>
    <row r="19" spans="1:8" ht="21" customHeight="1" x14ac:dyDescent="0.2">
      <c r="A19" s="25" t="s">
        <v>189</v>
      </c>
      <c r="B19" s="149" t="s">
        <v>201</v>
      </c>
      <c r="C19" s="146"/>
      <c r="D19" s="146"/>
      <c r="E19" s="146"/>
      <c r="F19" s="146"/>
      <c r="G19" s="146"/>
      <c r="H19" s="146"/>
    </row>
    <row r="20" spans="1:8" ht="51" customHeight="1" x14ac:dyDescent="0.2">
      <c r="A20" s="26" t="s">
        <v>191</v>
      </c>
      <c r="B20" s="149" t="s">
        <v>202</v>
      </c>
      <c r="C20" s="146"/>
      <c r="D20" s="146"/>
      <c r="E20" s="146"/>
      <c r="F20" s="146"/>
      <c r="G20" s="146"/>
      <c r="H20" s="146"/>
    </row>
    <row r="21" spans="1:8" ht="21" customHeight="1" x14ac:dyDescent="0.2">
      <c r="A21" s="25" t="s">
        <v>189</v>
      </c>
      <c r="B21" s="149" t="s">
        <v>203</v>
      </c>
      <c r="C21" s="146"/>
      <c r="D21" s="146"/>
      <c r="E21" s="146"/>
      <c r="F21" s="146"/>
      <c r="G21" s="146"/>
      <c r="H21" s="146"/>
    </row>
    <row r="22" spans="1:8" ht="51" customHeight="1" x14ac:dyDescent="0.2">
      <c r="A22" s="26" t="s">
        <v>191</v>
      </c>
      <c r="B22" s="149" t="s">
        <v>204</v>
      </c>
      <c r="C22" s="146"/>
      <c r="D22" s="146"/>
      <c r="E22" s="146"/>
      <c r="F22" s="146"/>
      <c r="G22" s="146"/>
      <c r="H22" s="146"/>
    </row>
    <row r="24" spans="1:8" ht="21.75" customHeight="1" x14ac:dyDescent="0.2">
      <c r="A24" s="151" t="s">
        <v>205</v>
      </c>
      <c r="B24" s="146"/>
      <c r="C24" s="146"/>
      <c r="D24" s="146"/>
      <c r="E24" s="146"/>
      <c r="F24" s="146"/>
      <c r="G24" s="146"/>
      <c r="H24" s="146"/>
    </row>
    <row r="25" spans="1:8" ht="21" customHeight="1" x14ac:dyDescent="0.2">
      <c r="A25" s="25" t="s">
        <v>189</v>
      </c>
      <c r="B25" s="149" t="s">
        <v>206</v>
      </c>
      <c r="C25" s="146"/>
      <c r="D25" s="146"/>
      <c r="E25" s="146"/>
      <c r="F25" s="146"/>
      <c r="G25" s="146"/>
      <c r="H25" s="146"/>
    </row>
    <row r="26" spans="1:8" ht="51" customHeight="1" x14ac:dyDescent="0.2">
      <c r="A26" s="26" t="s">
        <v>191</v>
      </c>
      <c r="B26" s="149" t="s">
        <v>207</v>
      </c>
      <c r="C26" s="146"/>
      <c r="D26" s="146"/>
      <c r="E26" s="146"/>
      <c r="F26" s="146"/>
      <c r="G26" s="146"/>
      <c r="H26" s="146"/>
    </row>
    <row r="27" spans="1:8" ht="21" customHeight="1" x14ac:dyDescent="0.2">
      <c r="A27" s="25" t="s">
        <v>189</v>
      </c>
      <c r="B27" s="149" t="s">
        <v>208</v>
      </c>
      <c r="C27" s="146"/>
      <c r="D27" s="146"/>
      <c r="E27" s="146"/>
      <c r="F27" s="146"/>
      <c r="G27" s="146"/>
      <c r="H27" s="146"/>
    </row>
    <row r="28" spans="1:8" ht="51" customHeight="1" x14ac:dyDescent="0.2">
      <c r="A28" s="26" t="s">
        <v>191</v>
      </c>
      <c r="B28" s="149" t="s">
        <v>209</v>
      </c>
      <c r="C28" s="146"/>
      <c r="D28" s="146"/>
      <c r="E28" s="146"/>
      <c r="F28" s="146"/>
      <c r="G28" s="146"/>
      <c r="H28" s="146"/>
    </row>
    <row r="29" spans="1:8" ht="21" customHeight="1" x14ac:dyDescent="0.2">
      <c r="A29" s="25" t="s">
        <v>189</v>
      </c>
      <c r="B29" s="149" t="s">
        <v>210</v>
      </c>
      <c r="C29" s="146"/>
      <c r="D29" s="146"/>
      <c r="E29" s="146"/>
      <c r="F29" s="146"/>
      <c r="G29" s="146"/>
      <c r="H29" s="146"/>
    </row>
    <row r="30" spans="1:8" ht="36" customHeight="1" x14ac:dyDescent="0.2">
      <c r="A30" s="26" t="s">
        <v>191</v>
      </c>
      <c r="B30" s="149" t="s">
        <v>211</v>
      </c>
      <c r="C30" s="146"/>
      <c r="D30" s="146"/>
      <c r="E30" s="146"/>
      <c r="F30" s="146"/>
      <c r="G30" s="146"/>
      <c r="H30" s="146"/>
    </row>
    <row r="32" spans="1:8" ht="21.75" customHeight="1" x14ac:dyDescent="0.2">
      <c r="A32" s="151" t="s">
        <v>212</v>
      </c>
      <c r="B32" s="146"/>
      <c r="C32" s="146"/>
      <c r="D32" s="146"/>
      <c r="E32" s="146"/>
      <c r="F32" s="146"/>
      <c r="G32" s="146"/>
      <c r="H32" s="146"/>
    </row>
    <row r="33" spans="1:8" ht="21" customHeight="1" x14ac:dyDescent="0.2">
      <c r="A33" s="25" t="s">
        <v>189</v>
      </c>
      <c r="B33" s="149" t="s">
        <v>213</v>
      </c>
      <c r="C33" s="146"/>
      <c r="D33" s="146"/>
      <c r="E33" s="146"/>
      <c r="F33" s="146"/>
      <c r="G33" s="146"/>
      <c r="H33" s="146"/>
    </row>
    <row r="34" spans="1:8" ht="51" customHeight="1" x14ac:dyDescent="0.2">
      <c r="A34" s="26" t="s">
        <v>191</v>
      </c>
      <c r="B34" s="149" t="s">
        <v>214</v>
      </c>
      <c r="C34" s="146"/>
      <c r="D34" s="146"/>
      <c r="E34" s="146"/>
      <c r="F34" s="146"/>
      <c r="G34" s="146"/>
      <c r="H34" s="146"/>
    </row>
    <row r="35" spans="1:8" ht="21" customHeight="1" x14ac:dyDescent="0.2">
      <c r="A35" s="25" t="s">
        <v>189</v>
      </c>
      <c r="B35" s="149" t="s">
        <v>215</v>
      </c>
      <c r="C35" s="146"/>
      <c r="D35" s="146"/>
      <c r="E35" s="146"/>
      <c r="F35" s="146"/>
      <c r="G35" s="146"/>
      <c r="H35" s="146"/>
    </row>
    <row r="36" spans="1:8" ht="36" customHeight="1" x14ac:dyDescent="0.2">
      <c r="A36" s="26" t="s">
        <v>191</v>
      </c>
      <c r="B36" s="149" t="s">
        <v>216</v>
      </c>
      <c r="C36" s="146"/>
      <c r="D36" s="146"/>
      <c r="E36" s="146"/>
      <c r="F36" s="146"/>
      <c r="G36" s="146"/>
      <c r="H36" s="146"/>
    </row>
    <row r="37" spans="1:8" ht="21" customHeight="1" x14ac:dyDescent="0.2">
      <c r="A37" s="25" t="s">
        <v>189</v>
      </c>
      <c r="B37" s="149" t="s">
        <v>217</v>
      </c>
      <c r="C37" s="146"/>
      <c r="D37" s="146"/>
      <c r="E37" s="146"/>
      <c r="F37" s="146"/>
      <c r="G37" s="146"/>
      <c r="H37" s="146"/>
    </row>
    <row r="38" spans="1:8" ht="51" customHeight="1" x14ac:dyDescent="0.2">
      <c r="A38" s="26" t="s">
        <v>191</v>
      </c>
      <c r="B38" s="149" t="s">
        <v>218</v>
      </c>
      <c r="C38" s="146"/>
      <c r="D38" s="146"/>
      <c r="E38" s="146"/>
      <c r="F38" s="146"/>
      <c r="G38" s="146"/>
      <c r="H38" s="146"/>
    </row>
    <row r="39" spans="1:8" ht="21" customHeight="1" x14ac:dyDescent="0.2">
      <c r="A39" s="25" t="s">
        <v>189</v>
      </c>
      <c r="B39" s="149" t="s">
        <v>219</v>
      </c>
      <c r="C39" s="146"/>
      <c r="D39" s="146"/>
      <c r="E39" s="146"/>
      <c r="F39" s="146"/>
      <c r="G39" s="146"/>
      <c r="H39" s="146"/>
    </row>
    <row r="41" spans="1:8" ht="21.75" customHeight="1" x14ac:dyDescent="0.2">
      <c r="A41" s="151" t="s">
        <v>220</v>
      </c>
      <c r="B41" s="146"/>
      <c r="C41" s="146"/>
      <c r="D41" s="146"/>
      <c r="E41" s="146"/>
      <c r="F41" s="146"/>
      <c r="G41" s="146"/>
      <c r="H41" s="146"/>
    </row>
    <row r="42" spans="1:8" ht="21" customHeight="1" x14ac:dyDescent="0.2">
      <c r="A42" s="25" t="s">
        <v>189</v>
      </c>
      <c r="B42" s="149" t="s">
        <v>221</v>
      </c>
      <c r="C42" s="146"/>
      <c r="D42" s="146"/>
      <c r="E42" s="146"/>
      <c r="F42" s="146"/>
      <c r="G42" s="146"/>
      <c r="H42" s="146"/>
    </row>
    <row r="43" spans="1:8" ht="51" customHeight="1" x14ac:dyDescent="0.2">
      <c r="A43" s="26" t="s">
        <v>191</v>
      </c>
      <c r="B43" s="149" t="s">
        <v>222</v>
      </c>
      <c r="C43" s="146"/>
      <c r="D43" s="146"/>
      <c r="E43" s="146"/>
      <c r="F43" s="146"/>
      <c r="G43" s="146"/>
      <c r="H43" s="146"/>
    </row>
    <row r="44" spans="1:8" ht="21" customHeight="1" x14ac:dyDescent="0.2">
      <c r="A44" s="25" t="s">
        <v>189</v>
      </c>
      <c r="B44" s="149" t="s">
        <v>223</v>
      </c>
      <c r="C44" s="146"/>
      <c r="D44" s="146"/>
      <c r="E44" s="146"/>
      <c r="F44" s="146"/>
      <c r="G44" s="146"/>
      <c r="H44" s="146"/>
    </row>
    <row r="45" spans="1:8" ht="36" customHeight="1" x14ac:dyDescent="0.2">
      <c r="A45" s="26" t="s">
        <v>191</v>
      </c>
      <c r="B45" s="149" t="s">
        <v>224</v>
      </c>
      <c r="C45" s="146"/>
      <c r="D45" s="146"/>
      <c r="E45" s="146"/>
      <c r="F45" s="146"/>
      <c r="G45" s="146"/>
      <c r="H45" s="146"/>
    </row>
    <row r="46" spans="1:8" ht="21" customHeight="1" x14ac:dyDescent="0.2">
      <c r="A46" s="25" t="s">
        <v>189</v>
      </c>
      <c r="B46" s="149" t="s">
        <v>225</v>
      </c>
      <c r="C46" s="146"/>
      <c r="D46" s="146"/>
      <c r="E46" s="146"/>
      <c r="F46" s="146"/>
      <c r="G46" s="146"/>
      <c r="H46" s="146"/>
    </row>
    <row r="47" spans="1:8" ht="21" customHeight="1" x14ac:dyDescent="0.2">
      <c r="A47" s="26" t="s">
        <v>191</v>
      </c>
      <c r="B47" s="149" t="s">
        <v>226</v>
      </c>
      <c r="C47" s="146"/>
      <c r="D47" s="146"/>
      <c r="E47" s="146"/>
      <c r="F47" s="146"/>
      <c r="G47" s="146"/>
      <c r="H47" s="146"/>
    </row>
    <row r="49" spans="1:8" ht="21.75" customHeight="1" x14ac:dyDescent="0.2">
      <c r="A49" s="151" t="s">
        <v>227</v>
      </c>
      <c r="B49" s="146"/>
      <c r="C49" s="146"/>
      <c r="D49" s="146"/>
      <c r="E49" s="146"/>
      <c r="F49" s="146"/>
      <c r="G49" s="146"/>
      <c r="H49" s="146"/>
    </row>
    <row r="50" spans="1:8" ht="36" customHeight="1" x14ac:dyDescent="0.2">
      <c r="A50" s="25" t="s">
        <v>189</v>
      </c>
      <c r="B50" s="149" t="s">
        <v>228</v>
      </c>
      <c r="C50" s="146"/>
      <c r="D50" s="146"/>
      <c r="E50" s="146"/>
      <c r="F50" s="146"/>
      <c r="G50" s="146"/>
      <c r="H50" s="146"/>
    </row>
    <row r="51" spans="1:8" ht="21" customHeight="1" x14ac:dyDescent="0.2">
      <c r="A51" s="26" t="s">
        <v>191</v>
      </c>
      <c r="B51" s="149" t="s">
        <v>229</v>
      </c>
      <c r="C51" s="146"/>
      <c r="D51" s="146"/>
      <c r="E51" s="146"/>
      <c r="F51" s="146"/>
      <c r="G51" s="146"/>
      <c r="H51" s="146"/>
    </row>
    <row r="52" spans="1:8" ht="21" customHeight="1" x14ac:dyDescent="0.2">
      <c r="A52" s="25" t="s">
        <v>189</v>
      </c>
      <c r="B52" s="149" t="s">
        <v>230</v>
      </c>
      <c r="C52" s="146"/>
      <c r="D52" s="146"/>
      <c r="E52" s="146"/>
      <c r="F52" s="146"/>
      <c r="G52" s="146"/>
      <c r="H52" s="146"/>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231</v>
      </c>
      <c r="B1" s="146"/>
      <c r="C1" s="146"/>
      <c r="D1" s="146"/>
      <c r="E1" s="146"/>
      <c r="G1" s="27"/>
      <c r="H1" s="27"/>
      <c r="I1" s="27"/>
    </row>
    <row r="2" spans="1:9" ht="28.5" customHeight="1" x14ac:dyDescent="0.2">
      <c r="A2" s="154" t="s">
        <v>232</v>
      </c>
      <c r="B2" s="146"/>
      <c r="C2" s="146"/>
      <c r="D2" s="146"/>
      <c r="E2" s="146"/>
      <c r="G2" s="27"/>
      <c r="H2" s="27"/>
      <c r="I2" s="27"/>
    </row>
    <row r="3" spans="1:9" ht="3" customHeight="1" x14ac:dyDescent="0.2">
      <c r="G3" s="27"/>
      <c r="H3" s="27"/>
      <c r="I3" s="27"/>
    </row>
    <row r="4" spans="1:9" ht="15" customHeight="1" x14ac:dyDescent="0.2">
      <c r="A4" s="153" t="s">
        <v>233</v>
      </c>
      <c r="B4" s="146"/>
      <c r="C4" s="146"/>
      <c r="D4" s="146"/>
      <c r="E4" s="146"/>
      <c r="G4" s="27"/>
      <c r="H4" s="27"/>
      <c r="I4" s="27"/>
    </row>
    <row r="5" spans="1:9" ht="24.75" customHeight="1" x14ac:dyDescent="0.2">
      <c r="A5" s="156" t="str">
        <f ca="1">'Sport Records'!$C$4</f>
        <v>Josh</v>
      </c>
      <c r="B5" s="146"/>
      <c r="C5" s="146"/>
      <c r="D5" s="146"/>
      <c r="E5" s="146"/>
      <c r="G5" s="27"/>
      <c r="H5" s="27"/>
      <c r="I5" s="27"/>
    </row>
    <row r="6" spans="1:9" ht="15" customHeight="1" x14ac:dyDescent="0.2">
      <c r="A6" s="158"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1255   |   39 wins, 25 losses   |   highest-rated eligible and active player</v>
      </c>
      <c r="B6" s="146"/>
      <c r="C6" s="146"/>
      <c r="D6" s="146"/>
      <c r="E6" s="146"/>
      <c r="G6" s="27"/>
      <c r="H6" s="27"/>
      <c r="I6" s="27"/>
    </row>
    <row r="7" spans="1:9" ht="15" customHeight="1" x14ac:dyDescent="0.2">
      <c r="G7" s="27"/>
      <c r="H7" s="27"/>
      <c r="I7" s="27"/>
    </row>
    <row r="8" spans="1:9" ht="15" customHeight="1" x14ac:dyDescent="0.2">
      <c r="A8" s="157"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25</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Log'!$D$4:$D$1510,$B23,'Match Log'!$C$4:$C$1510,$A23,'Match Log'!$E$4:$E$1510,"Win")&amp;"–"&amp;(COUNTIFS('Match Log'!$D$4:$D$1510,$B23,'Match Log'!$C$4:$C$1510,$A23)-COUNTIFS('Match Log'!$D$4:$D$1510,$B23,'Match Log'!$C$4:$C$1510,$A23,'Match Log'!$E$4:$E$1510,"Win")))</f>
        <v>8–3</v>
      </c>
      <c r="E23" s="31">
        <f>IFERROR('Sport Records'!$P$21,0)</f>
        <v>21</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1128</v>
      </c>
      <c r="D28" s="31" t="str">
        <f>IF(OR($B28="—",$B28=""),"—",COUNTIFS('Match Log'!$D$4:$D$1510,$B28,'Match Log'!$C$4:$C$1510,$A28,'Match Log'!$E$4:$E$1510,"Win")&amp;"–"&amp;(COUNTIFS('Match Log'!$D$4:$D$1510,$B28,'Match Log'!$C$4:$C$1510,$A28)-COUNTIFS('Match Log'!$D$4:$D$1510,$B28,'Match Log'!$C$4:$C$1510,$A28,'Match Log'!$E$4:$E$1510,"Win")))</f>
        <v>19–12</v>
      </c>
      <c r="E28" s="31">
        <f>IFERROR('Sport Records'!$P$26,0)</f>
        <v>47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T24" sqref="T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307  ·  28 Sep 2026</v>
      </c>
      <c r="T2" s="49" t="str">
        <f ca="1">IF(COUNTIF($T$5:$T$18,"At risk")+COUNTIF($T$5:$T$18,"Inactive")=0,"Inactivity watch:  all players active ✓","⚠ Inactivity watch:  "&amp;(COUNTIF($T$5:$T$18,"At risk")+COUNTIF($T$5:$T$18,"Inactive"))&amp;" player(s) need a game — see Activity column")</f>
        <v>⚠ Inactivity watch:  6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1255.247020705217</v>
      </c>
      <c r="D5" s="55">
        <f ca="1">COUNTIF('Match Log'!$D$4:$D$1510,$B5)</f>
        <v>64</v>
      </c>
      <c r="E5" s="55">
        <f ca="1">COUNTIFS('Match Log'!$D$4:$D$1510,$B5,'Match Log'!$E$4:$E$1510,"Win")</f>
        <v>39</v>
      </c>
      <c r="F5" s="55">
        <f t="shared" ref="F5:F18" ca="1" si="1">$D5-$E5</f>
        <v>25</v>
      </c>
      <c r="G5" s="56">
        <f t="shared" ref="G5:G18" ca="1" si="2">IF($D5=0,"",$E5/$D5)</f>
        <v>0.609375</v>
      </c>
      <c r="H5" s="57">
        <f ca="1">SUMIF('Match Log'!$D$4:$D$1510,$B5,'Match Log'!$J$4:$J$1510)</f>
        <v>117.13086384741257</v>
      </c>
      <c r="I5" s="57">
        <f ca="1">SUMIF('Match Log'!$D$4:$D$1510,$B5,'Match Log'!$K$4:$K$1510)</f>
        <v>66.366156857804171</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1126.7450819051685</v>
      </c>
      <c r="N5" s="54">
        <f t="shared" ref="N5:N18" ca="1" si="3">MAX($C$5:$C$18)-$C5</f>
        <v>0</v>
      </c>
      <c r="O5" s="55" t="str">
        <f ca="1">IFERROR(INDEX(Calcs!$H$7:$H$20,MATCH($B5,Calcs!$A$7:$A$20,0)),"")</f>
        <v>W5</v>
      </c>
      <c r="P5" s="55" t="str">
        <f ca="1">IFERROR(INDEX(Calcs!$I$7:$I$20,MATCH($B5,Calcs!$A$7:$A$20,0)),"")</f>
        <v>WWWWW</v>
      </c>
      <c r="Q5" s="55" t="str">
        <f ca="1">IFERROR(IF(INDEX(Calcs!$L$7:$L$20,MATCH($B5,Calcs!$A$7:$A$20,0))&gt;0,"▲"&amp;INDEX(Calcs!$L$7:$L$20,MATCH($B5,Calcs!$A$7:$A$20,0)),IF(INDEX(Calcs!$L$7:$L$20,MATCH($B5,Calcs!$A$7:$A$20,0))&lt;0,"▼"&amp;ABS(INDEX(Calcs!$L$7:$L$20,MATCH($B5,Calcs!$A$7:$A$20,0))),"–")),"")</f>
        <v>▲3</v>
      </c>
      <c r="R5" s="55" t="str">
        <f ca="1">IFERROR(IF(INDEX(Calcs!$P$7:$P$20,MATCH($B5,Calcs!$A$7:$A$20,0))=0,"—",TEXT(INDEX(Calcs!$P$7:$P$20,MATCH($B5,Calcs!$A$7:$A$20,0)),"d mmm")),"")</f>
        <v>27 Sep</v>
      </c>
      <c r="S5" s="55">
        <f ca="1">IFERROR(ROUND(INDEX(Calcs!$Q$7:$Q$20,MATCH($B5,Calcs!$A$7:$A$20,0)),1),"")</f>
        <v>0.1</v>
      </c>
      <c r="T5" s="55" t="str">
        <f ca="1">IFERROR(INDEX(Calcs!$T$7:$T$20,MATCH($B5,Calcs!$A$7:$A$20,0)),"")</f>
        <v>Active</v>
      </c>
      <c r="U5">
        <f ca="1">IFERROR(ROUND(INDEX(Calcs!$R$7:$R$20,MATCH($B5,Calcs!$A$7:$A$20,0))+INDEX(Calcs!$U$7:$U$20,MATCH($B5,Calcs!$A$7:$A$20,0)),0),0)</f>
        <v>0</v>
      </c>
      <c r="V5" s="57">
        <f ca="1">IFERROR(ROUND(INDEX(Calcs!$S$7:$S$20,MATCH($B5,Calcs!$A$7:$A$20,0)),0),"")</f>
        <v>1255</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Simon</v>
      </c>
      <c r="C6" s="54">
        <f ca="1">IFERROR(INDEX(Calcs!$S$7:$S$20,MATCH($B6,Calcs!$A$7:$A$20,0)),"")</f>
        <v>1210.4461816871431</v>
      </c>
      <c r="D6" s="55">
        <f ca="1">COUNTIF('Match Log'!$D$4:$D$1510,$B6)</f>
        <v>40</v>
      </c>
      <c r="E6" s="55">
        <f ca="1">COUNTIFS('Match Log'!$D$4:$D$1510,$B6,'Match Log'!$E$4:$E$1510,"Win")</f>
        <v>21</v>
      </c>
      <c r="F6" s="55">
        <f t="shared" ca="1" si="1"/>
        <v>19</v>
      </c>
      <c r="G6" s="56">
        <f t="shared" ca="1" si="2"/>
        <v>0.52500000000000002</v>
      </c>
      <c r="H6" s="57">
        <f ca="1">SUMIF('Match Log'!$D$4:$D$1510,$B6,'Match Log'!$J$4:$J$1510)</f>
        <v>74.310240078644824</v>
      </c>
      <c r="I6" s="57">
        <f ca="1">SUMIF('Match Log'!$D$4:$D$1510,$B6,'Match Log'!$K$4:$K$1510)</f>
        <v>55.685941608498204</v>
      </c>
      <c r="J6" s="57">
        <f ca="1">SUMIF('Match Log'!$D$4:$D$1510,$B6,'Match Log'!$L$4:$L$1510)</f>
        <v>86</v>
      </c>
      <c r="K6" s="55">
        <f ca="1">SUMPRODUCT(--(COUNTIFS('Match Log'!$D$4:$D$1510,$B6,'Match Log'!$C$4:$C$1510,Lists!$C$2:$C$26)&gt;0))</f>
        <v>12</v>
      </c>
      <c r="L6" s="55" t="str">
        <f ca="1">IF($D6=0,"No games",IF(AND($D6&gt;='Guide &amp; Settings'!$C$45,$K6&gt;='Guide &amp; Settings'!$C$46),"Eligible","Provisional"))</f>
        <v>Eligible</v>
      </c>
      <c r="M6" s="54">
        <f ca="1">IFERROR(INDEX(Calcs!$C$7:$C$20,MATCH($B6,Calcs!$A$7:$A$20,0)),"")</f>
        <v>1074.17447619823</v>
      </c>
      <c r="N6" s="54">
        <f t="shared" ca="1" si="3"/>
        <v>44.80083901807393</v>
      </c>
      <c r="O6" s="55" t="str">
        <f ca="1">IFERROR(INDEX(Calcs!$H$7:$H$20,MATCH($B6,Calcs!$A$7:$A$20,0)),"")</f>
        <v>W5</v>
      </c>
      <c r="P6" s="55" t="str">
        <f ca="1">IFERROR(INDEX(Calcs!$I$7:$I$20,MATCH($B6,Calcs!$A$7:$A$20,0)),"")</f>
        <v>WWWWW</v>
      </c>
      <c r="Q6" s="55" t="str">
        <f ca="1">IFERROR(IF(INDEX(Calcs!$L$7:$L$20,MATCH($B6,Calcs!$A$7:$A$20,0))&gt;0,"▲"&amp;INDEX(Calcs!$L$7:$L$20,MATCH($B6,Calcs!$A$7:$A$20,0)),IF(INDEX(Calcs!$L$7:$L$20,MATCH($B6,Calcs!$A$7:$A$20,0))&lt;0,"▼"&amp;ABS(INDEX(Calcs!$L$7:$L$20,MATCH($B6,Calcs!$A$7:$A$20,0))),"–")),"")</f>
        <v>▲3</v>
      </c>
      <c r="R6" s="55" t="str">
        <f ca="1">IFERROR(IF(INDEX(Calcs!$P$7:$P$20,MATCH($B6,Calcs!$A$7:$A$20,0))=0,"—",TEXT(INDEX(Calcs!$P$7:$P$20,MATCH($B6,Calcs!$A$7:$A$20,0)),"d mmm")),"")</f>
        <v>6 Sep</v>
      </c>
      <c r="S6" s="55">
        <f ca="1">IFERROR(ROUND(INDEX(Calcs!$Q$7:$Q$20,MATCH($B6,Calcs!$A$7:$A$20,0)),1),"")</f>
        <v>3.1</v>
      </c>
      <c r="T6" s="55" t="str">
        <f ca="1">IFERROR(INDEX(Calcs!$T$7:$T$20,MATCH($B6,Calcs!$A$7:$A$20,0)),"")</f>
        <v>At risk</v>
      </c>
      <c r="U6">
        <f ca="1">IFERROR(ROUND(INDEX(Calcs!$R$7:$R$20,MATCH($B6,Calcs!$A$7:$A$20,0))+INDEX(Calcs!$U$7:$U$20,MATCH($B6,Calcs!$A$7:$A$20,0)),0),0)</f>
        <v>0</v>
      </c>
      <c r="V6" s="57">
        <f ca="1">IFERROR(ROUND(INDEX(Calcs!$S$7:$S$20,MATCH($B6,Calcs!$A$7:$A$20,0)),0),"")</f>
        <v>1210</v>
      </c>
      <c r="W6" s="55" t="str">
        <f ca="1">IFERROR(INDEX(Calcs!$AF$7:$AF$20,MATCH($B6,Calcs!$A$7:$A$20,0)),"")</f>
        <v>Elite</v>
      </c>
      <c r="X6" s="57">
        <f ca="1">IFERROR(ROUND(SUMIF('Poker Stake Ledger'!$C$18:$C$137,$B6,'Poker Stake Ledger'!$K$18:$K$137),1),0)</f>
        <v>-5.6</v>
      </c>
    </row>
    <row r="7" spans="1:24" ht="15" customHeight="1" x14ac:dyDescent="0.2">
      <c r="A7" s="52">
        <f t="shared" si="0"/>
        <v>3</v>
      </c>
      <c r="B7" s="53" t="str">
        <f ca="1">IFERROR(INDEX(Calcs!$A$7:$A$20,MATCH(LARGE(Calcs!$AI$7:$AI$20,ROW()-4),Calcs!$AI$7:$AI$20,0)),"")</f>
        <v>Aaron</v>
      </c>
      <c r="C7" s="54">
        <f ca="1">IFERROR(INDEX(Calcs!$S$7:$S$20,MATCH($B7,Calcs!$A$7:$A$20,0)),"")</f>
        <v>1196.4573388632245</v>
      </c>
      <c r="D7" s="55">
        <f ca="1">COUNTIF('Match Log'!$D$4:$D$1510,$B7)</f>
        <v>89</v>
      </c>
      <c r="E7" s="55">
        <f ca="1">COUNTIFS('Match Log'!$D$4:$D$1510,$B7,'Match Log'!$E$4:$E$1510,"Win")</f>
        <v>42</v>
      </c>
      <c r="F7" s="55">
        <f t="shared" ca="1" si="1"/>
        <v>47</v>
      </c>
      <c r="G7" s="56">
        <f t="shared" ca="1" si="2"/>
        <v>0.47191011235955055</v>
      </c>
      <c r="H7" s="57">
        <f ca="1">SUMIF('Match Log'!$D$4:$D$1510,$B7,'Match Log'!$J$4:$J$1510)</f>
        <v>47.757035931473901</v>
      </c>
      <c r="I7" s="57">
        <f ca="1">SUMIF('Match Log'!$D$4:$D$1510,$B7,'Match Log'!$K$4:$K$1510)</f>
        <v>65.800302931750437</v>
      </c>
      <c r="J7" s="57">
        <f ca="1">SUMIF('Match Log'!$D$4:$D$1510,$B7,'Match Log'!$L$4:$L$1510)</f>
        <v>104</v>
      </c>
      <c r="K7" s="55">
        <f ca="1">SUMPRODUCT(--(COUNTIFS('Match Log'!$D$4:$D$1510,$B7,'Match Log'!$C$4:$C$1510,Lists!$C$2:$C$26)&gt;0))</f>
        <v>14</v>
      </c>
      <c r="L7" s="55" t="str">
        <f ca="1">IF($D7=0,"No games",IF(AND($D7&gt;='Guide &amp; Settings'!$C$45,$K7&gt;='Guide &amp; Settings'!$C$46),"Eligible","Provisional"))</f>
        <v>Eligible</v>
      </c>
      <c r="M7" s="54">
        <f ca="1">IFERROR(INDEX(Calcs!$C$7:$C$20,MATCH($B7,Calcs!$A$7:$A$20,0)),"")</f>
        <v>1130.2079514002733</v>
      </c>
      <c r="N7" s="54">
        <f t="shared" ca="1" si="3"/>
        <v>58.789681841992433</v>
      </c>
      <c r="O7" s="55" t="str">
        <f ca="1">IFERROR(INDEX(Calcs!$H$7:$H$20,MATCH($B7,Calcs!$A$7:$A$20,0)),"")</f>
        <v>L5</v>
      </c>
      <c r="P7" s="55" t="str">
        <f ca="1">IFERROR(INDEX(Calcs!$I$7:$I$20,MATCH($B7,Calcs!$A$7:$A$20,0)),"")</f>
        <v>LLLLL</v>
      </c>
      <c r="Q7" s="55" t="str">
        <f ca="1">IFERROR(IF(INDEX(Calcs!$L$7:$L$20,MATCH($B7,Calcs!$A$7:$A$20,0))&gt;0,"▲"&amp;INDEX(Calcs!$L$7:$L$20,MATCH($B7,Calcs!$A$7:$A$20,0)),IF(INDEX(Calcs!$L$7:$L$20,MATCH($B7,Calcs!$A$7:$A$20,0))&lt;0,"▼"&amp;ABS(INDEX(Calcs!$L$7:$L$20,MATCH($B7,Calcs!$A$7:$A$20,0))),"–")),"")</f>
        <v>▼2</v>
      </c>
      <c r="R7" s="55" t="str">
        <f ca="1">IFERROR(IF(INDEX(Calcs!$P$7:$P$20,MATCH($B7,Calcs!$A$7:$A$20,0))=0,"—",TEXT(INDEX(Calcs!$P$7:$P$20,MATCH($B7,Calcs!$A$7:$A$20,0)),"d mmm")),"")</f>
        <v>25 Sep</v>
      </c>
      <c r="S7" s="55">
        <f ca="1">IFERROR(ROUND(INDEX(Calcs!$Q$7:$Q$20,MATCH($B7,Calcs!$A$7:$A$20,0)),1),"")</f>
        <v>0.4</v>
      </c>
      <c r="T7" s="55" t="str">
        <f ca="1">IFERROR(INDEX(Calcs!$T$7:$T$20,MATCH($B7,Calcs!$A$7:$A$20,0)),"")</f>
        <v>Active</v>
      </c>
      <c r="U7">
        <f ca="1">IFERROR(ROUND(INDEX(Calcs!$R$7:$R$20,MATCH($B7,Calcs!$A$7:$A$20,0))+INDEX(Calcs!$U$7:$U$20,MATCH($B7,Calcs!$A$7:$A$20,0)),0),0)</f>
        <v>10</v>
      </c>
      <c r="V7" s="57">
        <f ca="1">IFERROR(ROUND(INDEX(Calcs!$S$7:$S$20,MATCH($B7,Calcs!$A$7:$A$20,0)),0),"")</f>
        <v>1196</v>
      </c>
      <c r="W7" s="55" t="str">
        <f ca="1">IFERROR(INDEX(Calcs!$AF$7:$AF$20,MATCH($B7,Calcs!$A$7:$A$20,0)),"")</f>
        <v>Elite</v>
      </c>
      <c r="X7" s="57">
        <f ca="1">IFERROR(ROUND(SUMIF('Poker Stake Ledger'!$C$18:$C$137,$B7,'Poker Stake Ledger'!$K$18:$K$137),1),0)</f>
        <v>-11.1</v>
      </c>
    </row>
    <row r="8" spans="1:24" ht="15" customHeight="1" x14ac:dyDescent="0.2">
      <c r="A8" s="52">
        <f t="shared" si="0"/>
        <v>4</v>
      </c>
      <c r="B8" s="53" t="str">
        <f ca="1">IFERROR(INDEX(Calcs!$A$7:$A$20,MATCH(LARGE(Calcs!$AI$7:$AI$20,ROW()-4),Calcs!$AI$7:$AI$20,0)),"")</f>
        <v>Dean B</v>
      </c>
      <c r="C8" s="54">
        <f ca="1">IFERROR(INDEX(Calcs!$S$7:$S$20,MATCH($B8,Calcs!$A$7:$A$20,0)),"")</f>
        <v>1187.9015417269482</v>
      </c>
      <c r="D8" s="55">
        <f ca="1">COUNTIF('Match Log'!$D$4:$D$1510,$B8)</f>
        <v>42</v>
      </c>
      <c r="E8" s="55">
        <f ca="1">COUNTIFS('Match Log'!$D$4:$D$1510,$B8,'Match Log'!$E$4:$E$1510,"Win")</f>
        <v>25</v>
      </c>
      <c r="F8" s="55">
        <f t="shared" ca="1" si="1"/>
        <v>17</v>
      </c>
      <c r="G8" s="56">
        <f t="shared" ca="1" si="2"/>
        <v>0.59523809523809523</v>
      </c>
      <c r="H8" s="57">
        <f ca="1">SUMIF('Match Log'!$D$4:$D$1510,$B8,'Match Log'!$J$4:$J$1510)</f>
        <v>89.675227242644667</v>
      </c>
      <c r="I8" s="57">
        <f ca="1">SUMIF('Match Log'!$D$4:$D$1510,$B8,'Match Log'!$K$4:$K$1510)</f>
        <v>72.226314484303657</v>
      </c>
      <c r="J8" s="57">
        <f ca="1">SUMIF('Match Log'!$D$4:$D$1510,$B8,'Match Log'!$L$4:$L$1510)</f>
        <v>56</v>
      </c>
      <c r="K8" s="55">
        <f ca="1">SUMPRODUCT(--(COUNTIFS('Match Log'!$D$4:$D$1510,$B8,'Match Log'!$C$4:$C$1510,Lists!$C$2:$C$26)&gt;0))</f>
        <v>7</v>
      </c>
      <c r="L8" s="55" t="str">
        <f ca="1">IF($D8=0,"No games",IF(AND($D8&gt;='Guide &amp; Settings'!$C$45,$K8&gt;='Guide &amp; Settings'!$C$46),"Eligible","Provisional"))</f>
        <v>Eligible</v>
      </c>
      <c r="M8" s="54">
        <f ca="1">IFERROR(INDEX(Calcs!$C$7:$C$20,MATCH($B8,Calcs!$A$7:$A$20,0)),"")</f>
        <v>1130.4437161478372</v>
      </c>
      <c r="N8" s="54">
        <f t="shared" ca="1" si="3"/>
        <v>67.345478978268829</v>
      </c>
      <c r="O8" s="55" t="str">
        <f ca="1">IFERROR(INDEX(Calcs!$H$7:$H$20,MATCH($B8,Calcs!$A$7:$A$20,0)),"")</f>
        <v>L1</v>
      </c>
      <c r="P8" s="55" t="str">
        <f ca="1">IFERROR(INDEX(Calcs!$I$7:$I$20,MATCH($B8,Calcs!$A$7:$A$20,0)),"")</f>
        <v>WWLWL</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25 Sep</v>
      </c>
      <c r="S8" s="55">
        <f ca="1">IFERROR(ROUND(INDEX(Calcs!$Q$7:$Q$20,MATCH($B8,Calcs!$A$7:$A$20,0)),1),"")</f>
        <v>0.4</v>
      </c>
      <c r="T8" s="55" t="str">
        <f ca="1">IFERROR(INDEX(Calcs!$T$7:$T$20,MATCH($B8,Calcs!$A$7:$A$20,0)),"")</f>
        <v>Active</v>
      </c>
      <c r="U8">
        <f ca="1">IFERROR(ROUND(INDEX(Calcs!$R$7:$R$20,MATCH($B8,Calcs!$A$7:$A$20,0))+INDEX(Calcs!$U$7:$U$20,MATCH($B8,Calcs!$A$7:$A$20,0)),0),0)</f>
        <v>30</v>
      </c>
      <c r="V8" s="57">
        <f ca="1">IFERROR(ROUND(INDEX(Calcs!$S$7:$S$20,MATCH($B8,Calcs!$A$7:$A$20,0)),0),"")</f>
        <v>1188</v>
      </c>
      <c r="W8" s="55" t="str">
        <f ca="1">IFERROR(INDEX(Calcs!$AF$7:$AF$20,MATCH($B8,Calcs!$A$7:$A$20,0)),"")</f>
        <v>Elite</v>
      </c>
      <c r="X8" s="57">
        <f ca="1">IFERROR(ROUND(SUMIF('Poker Stake Ledger'!$C$18:$C$137,$B8,'Poker Stake Ledger'!$K$18:$K$137),1),0)</f>
        <v>0</v>
      </c>
    </row>
    <row r="9" spans="1:24" ht="15" customHeight="1" x14ac:dyDescent="0.2">
      <c r="A9" s="52">
        <f t="shared" si="0"/>
        <v>5</v>
      </c>
      <c r="B9" s="53" t="str">
        <f ca="1">IFERROR(INDEX(Calcs!$A$7:$A$20,MATCH(LARGE(Calcs!$AI$7:$AI$20,ROW()-4),Calcs!$AI$7:$AI$20,0)),"")</f>
        <v>Daniel (Ferret)</v>
      </c>
      <c r="C9" s="54">
        <f ca="1">IFERROR(INDEX(Calcs!$S$7:$S$20,MATCH($B9,Calcs!$A$7:$A$20,0)),"")</f>
        <v>1178.8141127775541</v>
      </c>
      <c r="D9" s="55">
        <f ca="1">COUNTIF('Match Log'!$D$4:$D$1510,$B9)</f>
        <v>148</v>
      </c>
      <c r="E9" s="55">
        <f ca="1">COUNTIFS('Match Log'!$D$4:$D$1510,$B9,'Match Log'!$E$4:$E$1510,"Win")</f>
        <v>62</v>
      </c>
      <c r="F9" s="55">
        <f t="shared" ca="1" si="1"/>
        <v>86</v>
      </c>
      <c r="G9" s="56">
        <f t="shared" ca="1" si="2"/>
        <v>0.41891891891891891</v>
      </c>
      <c r="H9" s="57">
        <f ca="1">SUMIF('Match Log'!$D$4:$D$1510,$B9,'Match Log'!$J$4:$J$1510)</f>
        <v>-16.783767640738354</v>
      </c>
      <c r="I9" s="57">
        <f ca="1">SUMIF('Match Log'!$D$4:$D$1510,$B9,'Match Log'!$K$4:$K$1510)</f>
        <v>41.947880418292939</v>
      </c>
      <c r="J9" s="57">
        <f ca="1">SUMIF('Match Log'!$D$4:$D$1510,$B9,'Match Log'!$L$4:$L$1510)</f>
        <v>155</v>
      </c>
      <c r="K9" s="55">
        <f ca="1">SUMPRODUCT(--(COUNTIFS('Match Log'!$D$4:$D$1510,$B9,'Match Log'!$C$4:$C$1510,Lists!$C$2:$C$26)&gt;0))</f>
        <v>20</v>
      </c>
      <c r="L9" s="55" t="str">
        <f ca="1">IF($D9=0,"No games",IF(AND($D9&gt;='Guide &amp; Settings'!$C$45,$K9&gt;='Guide &amp; Settings'!$C$46),"Eligible","Provisional"))</f>
        <v>Eligible</v>
      </c>
      <c r="M9" s="54">
        <f ca="1">IFERROR(INDEX(Calcs!$C$7:$C$20,MATCH($B9,Calcs!$A$7:$A$20,0)),"")</f>
        <v>1148.4799794441415</v>
      </c>
      <c r="N9" s="54">
        <f t="shared" ca="1" si="3"/>
        <v>76.432907927662882</v>
      </c>
      <c r="O9" s="55" t="str">
        <f ca="1">IFERROR(INDEX(Calcs!$H$7:$H$20,MATCH($B9,Calcs!$A$7:$A$20,0)),"")</f>
        <v>L2</v>
      </c>
      <c r="P9" s="55" t="str">
        <f ca="1">IFERROR(INDEX(Calcs!$I$7:$I$20,MATCH($B9,Calcs!$A$7:$A$20,0)),"")</f>
        <v>WLWLL</v>
      </c>
      <c r="Q9" s="55" t="str">
        <f ca="1">IFERROR(IF(INDEX(Calcs!$L$7:$L$20,MATCH($B9,Calcs!$A$7:$A$20,0))&gt;0,"▲"&amp;INDEX(Calcs!$L$7:$L$20,MATCH($B9,Calcs!$A$7:$A$20,0)),IF(INDEX(Calcs!$L$7:$L$20,MATCH($B9,Calcs!$A$7:$A$20,0))&lt;0,"▼"&amp;ABS(INDEX(Calcs!$L$7:$L$20,MATCH($B9,Calcs!$A$7:$A$20,0))),"–")),"")</f>
        <v>▲3</v>
      </c>
      <c r="R9" s="55" t="str">
        <f ca="1">IFERROR(IF(INDEX(Calcs!$P$7:$P$20,MATCH($B9,Calcs!$A$7:$A$20,0))=0,"—",TEXT(INDEX(Calcs!$P$7:$P$20,MATCH($B9,Calcs!$A$7:$A$20,0)),"d mmm")),"")</f>
        <v>27 Sep</v>
      </c>
      <c r="S9" s="55">
        <f ca="1">IFERROR(ROUND(INDEX(Calcs!$Q$7:$Q$20,MATCH($B9,Calcs!$A$7:$A$20,0)),1),"")</f>
        <v>0.1</v>
      </c>
      <c r="T9" s="55" t="str">
        <f ca="1">IFERROR(INDEX(Calcs!$T$7:$T$20,MATCH($B9,Calcs!$A$7:$A$20,0)),"")</f>
        <v>Active</v>
      </c>
      <c r="U9">
        <f ca="1">IFERROR(ROUND(INDEX(Calcs!$R$7:$R$20,MATCH($B9,Calcs!$A$7:$A$20,0))+INDEX(Calcs!$U$7:$U$20,MATCH($B9,Calcs!$A$7:$A$20,0)),0),0)</f>
        <v>0</v>
      </c>
      <c r="V9" s="57">
        <f ca="1">IFERROR(ROUND(INDEX(Calcs!$S$7:$S$20,MATCH($B9,Calcs!$A$7:$A$20,0)),0),"")</f>
        <v>1179</v>
      </c>
      <c r="W9" s="55" t="str">
        <f ca="1">IFERROR(INDEX(Calcs!$AF$7:$AF$20,MATCH($B9,Calcs!$A$7:$A$20,0)),"")</f>
        <v>Elite</v>
      </c>
      <c r="X9" s="57">
        <f ca="1">IFERROR(ROUND(SUMIF('Poker Stake Ledger'!$C$18:$C$137,$B9,'Poker Stake Ledger'!$K$18:$K$137),1),0)</f>
        <v>-1.4</v>
      </c>
    </row>
    <row r="10" spans="1:24" ht="15" customHeight="1" x14ac:dyDescent="0.2">
      <c r="A10" s="52">
        <f t="shared" si="0"/>
        <v>6</v>
      </c>
      <c r="B10" s="53" t="str">
        <f ca="1">IFERROR(INDEX(Calcs!$A$7:$A$20,MATCH(LARGE(Calcs!$AI$7:$AI$20,ROW()-4),Calcs!$AI$7:$AI$20,0)),"")</f>
        <v>Shawn</v>
      </c>
      <c r="C10" s="54">
        <f ca="1">IFERROR(INDEX(Calcs!$S$7:$S$20,MATCH($B10,Calcs!$A$7:$A$20,0)),"")</f>
        <v>1147.3786422292076</v>
      </c>
      <c r="D10" s="55">
        <f ca="1">COUNTIF('Match Log'!$D$4:$D$1510,$B10)</f>
        <v>158</v>
      </c>
      <c r="E10" s="55">
        <f ca="1">COUNTIFS('Match Log'!$D$4:$D$1510,$B10,'Match Log'!$E$4:$E$1510,"Win")</f>
        <v>74</v>
      </c>
      <c r="F10" s="55">
        <f t="shared" ca="1" si="1"/>
        <v>84</v>
      </c>
      <c r="G10" s="56">
        <f t="shared" ca="1" si="2"/>
        <v>0.46835443037974683</v>
      </c>
      <c r="H10" s="57">
        <f ca="1">SUMIF('Match Log'!$D$4:$D$1510,$B10,'Match Log'!$J$4:$J$1510)</f>
        <v>-30.342087590591362</v>
      </c>
      <c r="I10" s="57">
        <f ca="1">SUMIF('Match Log'!$D$4:$D$1510,$B10,'Match Log'!$K$4:$K$1510)</f>
        <v>4.4707298197992476</v>
      </c>
      <c r="J10" s="57">
        <f ca="1">SUMIF('Match Log'!$D$4:$D$1510,$B10,'Match Log'!$L$4:$L$1510)</f>
        <v>177</v>
      </c>
      <c r="K10" s="55">
        <f ca="1">SUMPRODUCT(--(COUNTIFS('Match Log'!$D$4:$D$1510,$B10,'Match Log'!$C$4:$C$1510,Lists!$C$2:$C$26)&gt;0))</f>
        <v>19</v>
      </c>
      <c r="L10" s="55" t="str">
        <f ca="1">IF($D10=0,"No games",IF(AND($D10&gt;='Guide &amp; Settings'!$C$45,$K10&gt;='Guide &amp; Settings'!$C$46),"Eligible","Provisional"))</f>
        <v>Eligible</v>
      </c>
      <c r="M10" s="54">
        <f ca="1">IFERROR(INDEX(Calcs!$C$7:$C$20,MATCH($B10,Calcs!$A$7:$A$20,0)),"")</f>
        <v>1143.8130204705858</v>
      </c>
      <c r="N10" s="54">
        <f t="shared" ca="1" si="3"/>
        <v>107.86837847600941</v>
      </c>
      <c r="O10" s="55" t="str">
        <f ca="1">IFERROR(INDEX(Calcs!$H$7:$H$20,MATCH($B10,Calcs!$A$7:$A$20,0)),"")</f>
        <v>W1</v>
      </c>
      <c r="P10" s="55" t="str">
        <f ca="1">IFERROR(INDEX(Calcs!$I$7:$I$20,MATCH($B10,Calcs!$A$7:$A$20,0)),"")</f>
        <v>LLLLW</v>
      </c>
      <c r="Q10" s="55" t="str">
        <f ca="1">IFERROR(IF(INDEX(Calcs!$L$7:$L$20,MATCH($B10,Calcs!$A$7:$A$20,0))&gt;0,"▲"&amp;INDEX(Calcs!$L$7:$L$20,MATCH($B10,Calcs!$A$7:$A$20,0)),IF(INDEX(Calcs!$L$7:$L$20,MATCH($B10,Calcs!$A$7:$A$20,0))&lt;0,"▼"&amp;ABS(INDEX(Calcs!$L$7:$L$20,MATCH($B10,Calcs!$A$7:$A$20,0))),"–")),"")</f>
        <v>▼4</v>
      </c>
      <c r="R10" s="55" t="str">
        <f ca="1">IFERROR(IF(INDEX(Calcs!$P$7:$P$20,MATCH($B10,Calcs!$A$7:$A$20,0))=0,"—",TEXT(INDEX(Calcs!$P$7:$P$20,MATCH($B10,Calcs!$A$7:$A$20,0)),"d mmm")),"")</f>
        <v>28 Sep</v>
      </c>
      <c r="S10" s="55">
        <f ca="1">IFERROR(ROUND(INDEX(Calcs!$Q$7:$Q$20,MATCH($B10,Calcs!$A$7:$A$20,0)),1),"")</f>
        <v>0</v>
      </c>
      <c r="T10" s="55" t="str">
        <f ca="1">IFERROR(INDEX(Calcs!$T$7:$T$20,MATCH($B10,Calcs!$A$7:$A$20,0)),"")</f>
        <v>Active</v>
      </c>
      <c r="U10">
        <f ca="1">IFERROR(ROUND(INDEX(Calcs!$R$7:$R$20,MATCH($B10,Calcs!$A$7:$A$20,0))+INDEX(Calcs!$U$7:$U$20,MATCH($B10,Calcs!$A$7:$A$20,0)),0),0)</f>
        <v>0</v>
      </c>
      <c r="V10" s="57">
        <f ca="1">IFERROR(ROUND(INDEX(Calcs!$S$7:$S$20,MATCH($B10,Calcs!$A$7:$A$20,0)),0),"")</f>
        <v>1147</v>
      </c>
      <c r="W10" s="55" t="str">
        <f ca="1">IFERROR(INDEX(Calcs!$AF$7:$AF$20,MATCH($B10,Calcs!$A$7:$A$20,0)),"")</f>
        <v>Strong</v>
      </c>
      <c r="X10" s="57">
        <f ca="1">IFERROR(ROUND(SUMIF('Poker Stake Ledger'!$C$18:$C$137,$B10,'Poker Stake Ledger'!$K$18:$K$137),1),0)</f>
        <v>-3.8</v>
      </c>
    </row>
    <row r="11" spans="1:24" ht="15" customHeight="1" x14ac:dyDescent="0.2">
      <c r="A11" s="52">
        <f t="shared" si="0"/>
        <v>7</v>
      </c>
      <c r="B11" s="53" t="str">
        <f ca="1">IFERROR(INDEX(Calcs!$A$7:$A$20,MATCH(LARGE(Calcs!$AI$7:$AI$20,ROW()-4),Calcs!$AI$7:$AI$20,0)),"")</f>
        <v>Dean M</v>
      </c>
      <c r="C11" s="54">
        <f ca="1">IFERROR(INDEX(Calcs!$S$7:$S$20,MATCH($B11,Calcs!$A$7:$A$20,0)),"")</f>
        <v>1057.5488947064855</v>
      </c>
      <c r="D11" s="55">
        <f ca="1">COUNTIF('Match Log'!$D$4:$D$1510,$B11)</f>
        <v>15</v>
      </c>
      <c r="E11" s="55">
        <f ca="1">COUNTIFS('Match Log'!$D$4:$D$1510,$B11,'Match Log'!$E$4:$E$1510,"Win")</f>
        <v>7</v>
      </c>
      <c r="F11" s="55">
        <f t="shared" ca="1" si="1"/>
        <v>8</v>
      </c>
      <c r="G11" s="56">
        <f t="shared" ca="1" si="2"/>
        <v>0.46666666666666667</v>
      </c>
      <c r="H11" s="57">
        <f ca="1">SUMIF('Match Log'!$D$4:$D$1510,$B11,'Match Log'!$J$4:$J$1510)</f>
        <v>28.076161354904098</v>
      </c>
      <c r="I11" s="57">
        <f ca="1">SUMIF('Match Log'!$D$4:$D$1510,$B11,'Match Log'!$K$4:$K$1510)</f>
        <v>24.47273335158134</v>
      </c>
      <c r="J11" s="57">
        <f ca="1">SUMIF('Match Log'!$D$4:$D$1510,$B11,'Match Log'!$L$4:$L$1510)</f>
        <v>35</v>
      </c>
      <c r="K11" s="55">
        <f ca="1">SUMPRODUCT(--(COUNTIFS('Match Log'!$D$4:$D$1510,$B11,'Match Log'!$C$4:$C$1510,Lists!$C$2:$C$26)&gt;0))</f>
        <v>4</v>
      </c>
      <c r="L11" s="55" t="str">
        <f ca="1">IF($D11=0,"No games",IF(AND($D11&gt;='Guide &amp; Settings'!$C$45,$K11&gt;='Guide &amp; Settings'!$C$46),"Eligible","Provisional"))</f>
        <v>Eligible</v>
      </c>
      <c r="M11" s="54">
        <f ca="1">IFERROR(INDEX(Calcs!$C$7:$C$20,MATCH($B11,Calcs!$A$7:$A$20,0)),"")</f>
        <v>1070.6420982300112</v>
      </c>
      <c r="N11" s="54">
        <f t="shared" ca="1" si="3"/>
        <v>197.69812599873148</v>
      </c>
      <c r="O11" s="55" t="str">
        <f ca="1">IFERROR(INDEX(Calcs!$H$7:$H$20,MATCH($B11,Calcs!$A$7:$A$20,0)),"")</f>
        <v>W1</v>
      </c>
      <c r="P11" s="55" t="str">
        <f ca="1">IFERROR(INDEX(Calcs!$I$7:$I$20,MATCH($B11,Calcs!$A$7:$A$20,0)),"")</f>
        <v>LWWLW</v>
      </c>
      <c r="Q11" s="55" t="str">
        <f ca="1">IFERROR(IF(INDEX(Calcs!$L$7:$L$20,MATCH($B11,Calcs!$A$7:$A$20,0))&gt;0,"▲"&amp;INDEX(Calcs!$L$7:$L$20,MATCH($B11,Calcs!$A$7:$A$20,0)),IF(INDEX(Calcs!$L$7:$L$20,MATCH($B11,Calcs!$A$7:$A$20,0))&lt;0,"▼"&amp;ABS(INDEX(Calcs!$L$7:$L$20,MATCH($B11,Calcs!$A$7:$A$20,0))),"–")),"")</f>
        <v>▼1</v>
      </c>
      <c r="R11" s="55" t="str">
        <f ca="1">IFERROR(IF(INDEX(Calcs!$P$7:$P$20,MATCH($B11,Calcs!$A$7:$A$20,0))=0,"—",TEXT(INDEX(Calcs!$P$7:$P$20,MATCH($B11,Calcs!$A$7:$A$20,0)),"d mmm")),"")</f>
        <v>15 Aug</v>
      </c>
      <c r="S11" s="55">
        <f ca="1">IFERROR(ROUND(INDEX(Calcs!$Q$7:$Q$20,MATCH($B11,Calcs!$A$7:$A$20,0)),1),"")</f>
        <v>6.3</v>
      </c>
      <c r="T11" s="55" t="str">
        <f ca="1">IFERROR(INDEX(Calcs!$T$7:$T$20,MATCH($B11,Calcs!$A$7:$A$20,0)),"")</f>
        <v>Inactive</v>
      </c>
      <c r="U11">
        <f ca="1">IFERROR(ROUND(INDEX(Calcs!$R$7:$R$20,MATCH($B11,Calcs!$A$7:$A$20,0))+INDEX(Calcs!$U$7:$U$20,MATCH($B11,Calcs!$A$7:$A$20,0)),0),0)</f>
        <v>30</v>
      </c>
      <c r="V11" s="57">
        <f ca="1">IFERROR(ROUND(INDEX(Calcs!$S$7:$S$20,MATCH($B11,Calcs!$A$7:$A$20,0)),0),"")</f>
        <v>1058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Chase</v>
      </c>
      <c r="C12" s="54">
        <f ca="1">IFERROR(INDEX(Calcs!$S$7:$S$20,MATCH($B12,Calcs!$A$7:$A$20,0)),"")</f>
        <v>1042.953806715856</v>
      </c>
      <c r="D12" s="55">
        <f ca="1">COUNTIF('Match Log'!$D$4:$D$1510,$B12)</f>
        <v>21</v>
      </c>
      <c r="E12" s="55">
        <f ca="1">COUNTIFS('Match Log'!$D$4:$D$1510,$B12,'Match Log'!$E$4:$E$1510,"Win")</f>
        <v>9</v>
      </c>
      <c r="F12" s="55">
        <f t="shared" ca="1" si="1"/>
        <v>12</v>
      </c>
      <c r="G12" s="56">
        <f t="shared" ca="1" si="2"/>
        <v>0.42857142857142855</v>
      </c>
      <c r="H12" s="57">
        <f ca="1">SUMIF('Match Log'!$D$4:$D$1510,$B12,'Match Log'!$J$4:$J$1510)</f>
        <v>24.354276039759995</v>
      </c>
      <c r="I12" s="57">
        <f ca="1">SUMIF('Match Log'!$D$4:$D$1510,$B12,'Match Log'!$K$4:$K$1510)</f>
        <v>-1.4004693239039163</v>
      </c>
      <c r="J12" s="57">
        <f ca="1">SUMIF('Match Log'!$D$4:$D$1510,$B12,'Match Log'!$L$4:$L$1510)</f>
        <v>40</v>
      </c>
      <c r="K12" s="55">
        <f ca="1">SUMPRODUCT(--(COUNTIFS('Match Log'!$D$4:$D$1510,$B12,'Match Log'!$C$4:$C$1510,Lists!$C$2:$C$26)&gt;0))</f>
        <v>10</v>
      </c>
      <c r="L12" s="55" t="str">
        <f ca="1">IF($D12=0,"No games",IF(AND($D12&gt;='Guide &amp; Settings'!$C$45,$K12&gt;='Guide &amp; Settings'!$C$46),"Eligible","Provisional"))</f>
        <v>Eligible</v>
      </c>
      <c r="M12" s="54">
        <f ca="1">IFERROR(INDEX(Calcs!$C$7:$C$20,MATCH($B12,Calcs!$A$7:$A$20,0)),"")</f>
        <v>1132.4367121571511</v>
      </c>
      <c r="N12" s="54">
        <f t="shared" ca="1" si="3"/>
        <v>212.29321398936099</v>
      </c>
      <c r="O12" s="55" t="str">
        <f ca="1">IFERROR(INDEX(Calcs!$H$7:$H$20,MATCH($B12,Calcs!$A$7:$A$20,0)),"")</f>
        <v>L2</v>
      </c>
      <c r="P12" s="55" t="str">
        <f ca="1">IFERROR(INDEX(Calcs!$I$7:$I$20,MATCH($B12,Calcs!$A$7:$A$20,0)),"")</f>
        <v>LWWLL</v>
      </c>
      <c r="Q12" s="55" t="str">
        <f ca="1">IFERROR(IF(INDEX(Calcs!$L$7:$L$20,MATCH($B12,Calcs!$A$7:$A$20,0))&gt;0,"▲"&amp;INDEX(Calcs!$L$7:$L$20,MATCH($B12,Calcs!$A$7:$A$20,0)),IF(INDEX(Calcs!$L$7:$L$20,MATCH($B12,Calcs!$A$7:$A$20,0))&lt;0,"▼"&amp;ABS(INDEX(Calcs!$L$7:$L$20,MATCH($B12,Calcs!$A$7:$A$20,0))),"–")),"")</f>
        <v>▼1</v>
      </c>
      <c r="R12" s="55" t="str">
        <f ca="1">IFERROR(IF(INDEX(Calcs!$P$7:$P$20,MATCH($B12,Calcs!$A$7:$A$20,0))=0,"—",TEXT(INDEX(Calcs!$P$7:$P$20,MATCH($B12,Calcs!$A$7:$A$20,0)),"d mmm")),"")</f>
        <v>28 Sep</v>
      </c>
      <c r="S12" s="55">
        <f ca="1">IFERROR(ROUND(INDEX(Calcs!$Q$7:$Q$20,MATCH($B12,Calcs!$A$7:$A$20,0)),1),"")</f>
        <v>0</v>
      </c>
      <c r="T12" s="55" t="str">
        <f ca="1">IFERROR(INDEX(Calcs!$T$7:$T$20,MATCH($B12,Calcs!$A$7:$A$20,0)),"")</f>
        <v>Active</v>
      </c>
      <c r="U12">
        <f ca="1">IFERROR(ROUND(INDEX(Calcs!$R$7:$R$20,MATCH($B12,Calcs!$A$7:$A$20,0))+INDEX(Calcs!$U$7:$U$20,MATCH($B12,Calcs!$A$7:$A$20,0)),0),0)</f>
        <v>20</v>
      </c>
      <c r="V12" s="57">
        <f ca="1">IFERROR(ROUND(INDEX(Calcs!$S$7:$S$20,MATCH($B12,Calcs!$A$7:$A$20,0)),0),"")</f>
        <v>1043</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Dylan S</v>
      </c>
      <c r="C13" s="54">
        <f ca="1">IFERROR(INDEX(Calcs!$S$7:$S$20,MATCH($B13,Calcs!$A$7:$A$20,0)),"")</f>
        <v>1000</v>
      </c>
      <c r="D13" s="55">
        <f ca="1">COUNTIF('Match Log'!$D$4:$D$1510,$B13)</f>
        <v>0</v>
      </c>
      <c r="E13" s="55">
        <f ca="1">COUNTIFS('Match Log'!$D$4:$D$1510,$B13,'Match Log'!$E$4:$E$1510,"Win")</f>
        <v>0</v>
      </c>
      <c r="F13" s="55">
        <f t="shared" ca="1" si="1"/>
        <v>0</v>
      </c>
      <c r="G13" s="56" t="str">
        <f t="shared" ca="1" si="2"/>
        <v/>
      </c>
      <c r="H13" s="57">
        <f ca="1">SUMIF('Match Log'!$D$4:$D$1510,$B13,'Match Log'!$J$4:$J$1510)</f>
        <v>0</v>
      </c>
      <c r="I13" s="57">
        <f ca="1">SUMIF('Match Log'!$D$4:$D$1510,$B13,'Match Log'!$K$4:$K$1510)</f>
        <v>0</v>
      </c>
      <c r="J13" s="57">
        <f ca="1">SUMIF('Match Log'!$D$4:$D$1510,$B13,'Match Log'!$L$4:$L$1510)</f>
        <v>0</v>
      </c>
      <c r="K13" s="55">
        <f ca="1">SUMPRODUCT(--(COUNTIFS('Match Log'!$D$4:$D$1510,$B13,'Match Log'!$C$4:$C$1510,Lists!$C$2:$C$26)&gt;0))</f>
        <v>0</v>
      </c>
      <c r="L13" s="55" t="str">
        <f ca="1">IF($D13=0,"No games",IF(AND($D13&gt;='Guide &amp; Settings'!$C$45,$K13&gt;='Guide &amp; Settings'!$C$46),"Eligible","Provisional"))</f>
        <v>No games</v>
      </c>
      <c r="M13" s="54" t="str">
        <f ca="1">IFERROR(INDEX(Calcs!$C$7:$C$20,MATCH($B13,Calcs!$A$7:$A$20,0)),"")</f>
        <v/>
      </c>
      <c r="N13" s="54">
        <f t="shared" ca="1" si="3"/>
        <v>255.24702070521698</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A</v>
      </c>
      <c r="C14" s="54">
        <f ca="1">IFERROR(INDEX(Calcs!$S$7:$S$20,MATCH($B14,Calcs!$A$7:$A$20,0)),"")</f>
        <v>993.2192605207141</v>
      </c>
      <c r="D14" s="55">
        <f ca="1">COUNTIF('Match Log'!$D$4:$D$1510,$B14)</f>
        <v>15</v>
      </c>
      <c r="E14" s="55">
        <f ca="1">COUNTIFS('Match Log'!$D$4:$D$1510,$B14,'Match Log'!$E$4:$E$1510,"Win")</f>
        <v>6</v>
      </c>
      <c r="F14" s="55">
        <f t="shared" ca="1" si="1"/>
        <v>9</v>
      </c>
      <c r="G14" s="56">
        <f t="shared" ca="1" si="2"/>
        <v>0.4</v>
      </c>
      <c r="H14" s="57">
        <f ca="1">SUMIF('Match Log'!$D$4:$D$1510,$B14,'Match Log'!$J$4:$J$1510)</f>
        <v>-11.626983026245711</v>
      </c>
      <c r="I14" s="57">
        <f ca="1">SUMIF('Match Log'!$D$4:$D$1510,$B14,'Match Log'!$K$4:$K$1510)</f>
        <v>3.8462435469599932</v>
      </c>
      <c r="J14" s="57">
        <f ca="1">SUMIF('Match Log'!$D$4:$D$1510,$B14,'Match Log'!$L$4:$L$1510)</f>
        <v>31</v>
      </c>
      <c r="K14" s="55">
        <f ca="1">SUMPRODUCT(--(COUNTIFS('Match Log'!$D$4:$D$1510,$B14,'Match Log'!$C$4:$C$1510,Lists!$C$2:$C$26)&gt;0))</f>
        <v>4</v>
      </c>
      <c r="L14" s="55" t="str">
        <f ca="1">IF($D14=0,"No games",IF(AND($D14&gt;='Guide &amp; Settings'!$C$45,$K14&gt;='Guide &amp; Settings'!$C$46),"Eligible","Provisional"))</f>
        <v>Eligible</v>
      </c>
      <c r="M14" s="54">
        <f ca="1">IFERROR(INDEX(Calcs!$C$7:$C$20,MATCH($B14,Calcs!$A$7:$A$20,0)),"")</f>
        <v>1107.1580138007182</v>
      </c>
      <c r="N14" s="54">
        <f t="shared" ca="1" si="3"/>
        <v>262.02776018450288</v>
      </c>
      <c r="O14" s="55" t="str">
        <f ca="1">IFERROR(INDEX(Calcs!$H$7:$H$20,MATCH($B14,Calcs!$A$7:$A$20,0)),"")</f>
        <v>L6</v>
      </c>
      <c r="P14" s="55" t="str">
        <f ca="1">IFERROR(INDEX(Calcs!$I$7:$I$20,MATCH($B14,Calcs!$A$7:$A$20,0)),"")</f>
        <v>LLLLL</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15 Aug</v>
      </c>
      <c r="S14" s="55">
        <f ca="1">IFERROR(ROUND(INDEX(Calcs!$Q$7:$Q$20,MATCH($B14,Calcs!$A$7:$A$20,0)),1),"")</f>
        <v>6.3</v>
      </c>
      <c r="T14" s="55" t="str">
        <f ca="1">IFERROR(INDEX(Calcs!$T$7:$T$20,MATCH($B14,Calcs!$A$7:$A$20,0)),"")</f>
        <v>Inactive</v>
      </c>
      <c r="U14">
        <f ca="1">IFERROR(ROUND(INDEX(Calcs!$R$7:$R$20,MATCH($B14,Calcs!$A$7:$A$20,0))+INDEX(Calcs!$U$7:$U$20,MATCH($B14,Calcs!$A$7:$A$20,0)),0),0)</f>
        <v>30</v>
      </c>
      <c r="V14" s="57">
        <f ca="1">IFERROR(ROUND(INDEX(Calcs!$S$7:$S$20,MATCH($B14,Calcs!$A$7:$A$20,0)),0),"")</f>
        <v>993</v>
      </c>
      <c r="W14" s="55" t="str">
        <f ca="1">IFERROR(INDEX(Calcs!$AF$7:$AF$20,MATCH($B14,Calcs!$A$7:$A$20,0)),"")</f>
        <v>Mid</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968.26132335618615</v>
      </c>
      <c r="D15" s="55">
        <f ca="1">COUNTIF('Match Log'!$D$4:$D$1510,$B15)</f>
        <v>83</v>
      </c>
      <c r="E15" s="55">
        <f ca="1">COUNTIFS('Match Log'!$D$4:$D$1510,$B15,'Match Log'!$E$4:$E$1510,"Win")</f>
        <v>29</v>
      </c>
      <c r="F15" s="55">
        <f t="shared" ca="1" si="1"/>
        <v>54</v>
      </c>
      <c r="G15" s="56">
        <f t="shared" ca="1" si="2"/>
        <v>0.3493975903614458</v>
      </c>
      <c r="H15" s="57">
        <f ca="1">SUMIF('Match Log'!$D$4:$D$1510,$B15,'Match Log'!$J$4:$J$1510)</f>
        <v>-112.74117488122033</v>
      </c>
      <c r="I15" s="57">
        <f ca="1">SUMIF('Match Log'!$D$4:$D$1510,$B15,'Match Log'!$K$4:$K$1510)</f>
        <v>-38.997501762593693</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1157.4978251153948</v>
      </c>
      <c r="N15" s="54">
        <f t="shared" ca="1" si="3"/>
        <v>286.98569734903083</v>
      </c>
      <c r="O15" s="55" t="str">
        <f ca="1">IFERROR(INDEX(Calcs!$H$7:$H$20,MATCH($B15,Calcs!$A$7:$A$20,0)),"")</f>
        <v>W1</v>
      </c>
      <c r="P15" s="55" t="str">
        <f ca="1">IFERROR(INDEX(Calcs!$I$7:$I$20,MATCH($B15,Calcs!$A$7:$A$20,0)),"")</f>
        <v>LLLLW</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26 Sep</v>
      </c>
      <c r="S15" s="55">
        <f ca="1">IFERROR(ROUND(INDEX(Calcs!$Q$7:$Q$20,MATCH($B15,Calcs!$A$7:$A$20,0)),1),"")</f>
        <v>0.3</v>
      </c>
      <c r="T15" s="55" t="str">
        <f ca="1">IFERROR(INDEX(Calcs!$T$7:$T$20,MATCH($B15,Calcs!$A$7:$A$20,0)),"")</f>
        <v>Active</v>
      </c>
      <c r="U15">
        <f ca="1">IFERROR(ROUND(INDEX(Calcs!$R$7:$R$20,MATCH($B15,Calcs!$A$7:$A$20,0))+INDEX(Calcs!$U$7:$U$20,MATCH($B15,Calcs!$A$7:$A$20,0)),0),0)</f>
        <v>0</v>
      </c>
      <c r="V15" s="57">
        <f ca="1">IFERROR(ROUND(INDEX(Calcs!$S$7:$S$20,MATCH($B15,Calcs!$A$7:$A$20,0)),0),"")</f>
        <v>968</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909.51759653351382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1094.683515305948</v>
      </c>
      <c r="N16" s="54">
        <f t="shared" ca="1" si="3"/>
        <v>345.72942417170316</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15</v>
      </c>
      <c r="T16" s="55" t="str">
        <f ca="1">IFERROR(INDEX(Calcs!$T$7:$T$20,MATCH($B16,Calcs!$A$7:$A$20,0)),"")</f>
        <v>Inactive</v>
      </c>
      <c r="U16">
        <f ca="1">IFERROR(ROUND(INDEX(Calcs!$R$7:$R$20,MATCH($B16,Calcs!$A$7:$A$20,0))+INDEX(Calcs!$U$7:$U$20,MATCH($B16,Calcs!$A$7:$A$20,0)),0),0)</f>
        <v>120</v>
      </c>
      <c r="V16" s="57">
        <f ca="1">IFERROR(ROUND(INDEX(Calcs!$S$7:$S$20,MATCH($B16,Calcs!$A$7:$A$20,0)),0),"")</f>
        <v>910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867.03133644117429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1160.5446633579827</v>
      </c>
      <c r="N17" s="54">
        <f t="shared" ca="1" si="3"/>
        <v>388.21568426404269</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5.3</v>
      </c>
      <c r="T17" s="55" t="str">
        <f ca="1">IFERROR(INDEX(Calcs!$T$7:$T$20,MATCH($B17,Calcs!$A$7:$A$20,0)),"")</f>
        <v>Inactive</v>
      </c>
      <c r="U17">
        <f ca="1">IFERROR(ROUND(INDEX(Calcs!$R$7:$R$20,MATCH($B17,Calcs!$A$7:$A$20,0))+INDEX(Calcs!$U$7:$U$20,MATCH($B17,Calcs!$A$7:$A$20,0)),0),0)</f>
        <v>40</v>
      </c>
      <c r="V17" s="57">
        <f ca="1">IFERROR(ROUND(INDEX(Calcs!$S$7:$S$20,MATCH($B17,Calcs!$A$7:$A$20,0)),0),"")</f>
        <v>867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782.22294373677494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1126.0199871678924</v>
      </c>
      <c r="N18" s="54">
        <f t="shared" ca="1" si="3"/>
        <v>473.02407696844205</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10.1</v>
      </c>
      <c r="T18" s="55" t="str">
        <f ca="1">IFERROR(INDEX(Calcs!$T$7:$T$20,MATCH($B18,Calcs!$A$7:$A$20,0)),"")</f>
        <v>Inactive</v>
      </c>
      <c r="U18">
        <f ca="1">IFERROR(ROUND(INDEX(Calcs!$R$7:$R$20,MATCH($B18,Calcs!$A$7:$A$20,0))+INDEX(Calcs!$U$7:$U$20,MATCH($B18,Calcs!$A$7:$A$20,0)),0),0)</f>
        <v>80</v>
      </c>
      <c r="V18" s="57">
        <f ca="1">IFERROR(ROUND(INDEX(Calcs!$S$7:$S$20,MATCH($B18,Calcs!$A$7:$A$20,0)),0),"")</f>
        <v>782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1255.247020705217</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39–25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0.609375</v>
      </c>
      <c r="D9" s="63" t="s">
        <v>37</v>
      </c>
      <c r="E9" s="37">
        <f>COUNTIFS('Match Log'!$D$4:$D$1510,$B$3,'Match Log'!$C$4:$C$1510,$D9)</f>
        <v>4</v>
      </c>
      <c r="F9" s="37">
        <f>COUNTIFS('Match Log'!$D$4:$D$1510,$B$3,'Match Log'!$C$4:$C$1510,$D9,'Match Log'!$E$4:$E$1510,"Win")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64</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1126.7450819051685</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W5</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27 Sep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7</v>
      </c>
      <c r="F18" s="40">
        <f>COUNTIFS('Match Log'!$D$4:$D$1510,$B$3,'Match Log'!$C$4:$C$1510,$D18,'Match Log'!$E$4:$E$1510,"Win")</f>
        <v>6</v>
      </c>
      <c r="G18" s="68">
        <f t="shared" si="0"/>
        <v>0.8571428571428571</v>
      </c>
      <c r="H18" s="69">
        <f>IFERROR(IF($E18=0,"",INDEX('Sport Records'!$B$106:$O$130,MATCH($D18,'Sport Records'!$A$106:$A$130,0),MATCH($B$3,'Sport Records'!$B$105:$O$105,0))),"")</f>
        <v>1055.4776164286188</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90</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61</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100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82</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61" t="s">
        <v>290</v>
      </c>
      <c r="B2" s="146"/>
      <c r="C2" s="146"/>
      <c r="D2" s="146"/>
      <c r="E2" s="146"/>
      <c r="F2" s="146"/>
      <c r="G2" s="146"/>
      <c r="H2" s="146"/>
      <c r="I2" s="146"/>
      <c r="J2" s="146"/>
      <c r="K2" s="146"/>
      <c r="L2" s="146"/>
      <c r="M2" s="146"/>
      <c r="N2" s="146"/>
      <c r="O2" s="146"/>
    </row>
    <row r="3" spans="1:15" ht="37.5" customHeight="1" x14ac:dyDescent="0.2">
      <c r="A3" s="159" t="s">
        <v>291</v>
      </c>
      <c r="B3" s="160"/>
      <c r="C3" s="160"/>
      <c r="D3" s="160"/>
      <c r="E3" s="160"/>
      <c r="F3" s="160"/>
      <c r="G3" s="160"/>
      <c r="H3" s="160"/>
      <c r="I3" s="160"/>
      <c r="J3" s="160"/>
      <c r="K3" s="160"/>
      <c r="L3" s="160"/>
      <c r="M3" s="160"/>
      <c r="N3" s="160"/>
      <c r="O3" s="160"/>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45% of 53</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54% of 26</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33% of 9</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63% of 32</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55% of 53</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67% of 9</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54% of 59</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55% of 33</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1</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46% of 26</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38% of 32</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46% of 59</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75% of 4</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45% of 33</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1</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25% of 4</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5</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58</v>
      </c>
      <c r="H22" s="77">
        <f>IF($A22=H$21,0,SUMPRODUCT(('Match Log'!$D$4:$D$1510=$A22)*(COUNTIFS('Match Log'!$A$4:$A$1510,'Match Log'!$A$4:$A$1510,'Match Log'!$D$4:$D$1510,H$21)&gt;0)))</f>
        <v>8</v>
      </c>
      <c r="I22" s="77">
        <f>IF($A22=I$21,0,SUMPRODUCT(('Match Log'!$D$4:$D$1510=$A22)*(COUNTIFS('Match Log'!$A$4:$A$1510,'Match Log'!$A$4:$A$1510,'Match Log'!$D$4:$D$1510,I$21)&gt;0)))</f>
        <v>36</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5</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11</v>
      </c>
      <c r="H24" s="77">
        <f>IF($A24=H$21,0,SUMPRODUCT(('Match Log'!$D$4:$D$1510=$A24)*(COUNTIFS('Match Log'!$A$4:$A$1510,'Match Log'!$A$4:$A$1510,'Match Log'!$D$4:$D$1510,H$21)&gt;0)))</f>
        <v>4</v>
      </c>
      <c r="I24" s="77">
        <f>IF($A24=I$21,0,SUMPRODUCT(('Match Log'!$D$4:$D$1510=$A24)*(COUNTIFS('Match Log'!$A$4:$A$1510,'Match Log'!$A$4:$A$1510,'Match Log'!$D$4:$D$1510,I$21)&gt;0)))</f>
        <v>10</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33</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58</v>
      </c>
      <c r="C27" s="77">
        <f>IF($A27=C$21,0,SUMPRODUCT(('Match Log'!$D$4:$D$1510=$A27)*(COUNTIFS('Match Log'!$A$4:$A$1510,'Match Log'!$A$4:$A$1510,'Match Log'!$D$4:$D$1510,C$21)&gt;0)))</f>
        <v>1</v>
      </c>
      <c r="D27" s="77">
        <f>IF($A27=D$21,0,SUMPRODUCT(('Match Log'!$D$4:$D$1510=$A27)*(COUNTIFS('Match Log'!$A$4:$A$1510,'Match Log'!$A$4:$A$1510,'Match Log'!$D$4:$D$1510,D$21)&gt;0)))</f>
        <v>11</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70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47</v>
      </c>
      <c r="M27" s="77">
        <f>IF($A27=M$21,0,SUMPRODUCT(('Match Log'!$D$4:$D$1510=$A27)*(COUNTIFS('Match Log'!$A$4:$A$1510,'Match Log'!$A$4:$A$1510,'Match Log'!$D$4:$D$1510,M$21)&gt;0)))</f>
        <v>1</v>
      </c>
      <c r="N27" s="77">
        <f>IF($A27=N$21,0,SUMPRODUCT(('Match Log'!$D$4:$D$1510=$A27)*(COUNTIFS('Match Log'!$A$4:$A$1510,'Match Log'!$A$4:$A$1510,'Match Log'!$D$4:$D$1510,N$21)&gt;0)))</f>
        <v>1</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36</v>
      </c>
      <c r="C29" s="77">
        <f>IF($A29=C$21,0,SUMPRODUCT(('Match Log'!$D$4:$D$1510=$A29)*(COUNTIFS('Match Log'!$A$4:$A$1510,'Match Log'!$A$4:$A$1510,'Match Log'!$D$4:$D$1510,C$21)&gt;0)))</f>
        <v>2</v>
      </c>
      <c r="D29" s="77">
        <f>IF($A29=D$21,0,SUMPRODUCT(('Match Log'!$D$4:$D$1510=$A29)*(COUNTIFS('Match Log'!$A$4:$A$1510,'Match Log'!$A$4:$A$1510,'Match Log'!$D$4:$D$1510,D$21)&gt;0)))</f>
        <v>10</v>
      </c>
      <c r="E29" s="77">
        <f>IF($A29=E$21,0,SUMPRODUCT(('Match Log'!$D$4:$D$1510=$A29)*(COUNTIFS('Match Log'!$A$4:$A$1510,'Match Log'!$A$4:$A$1510,'Match Log'!$D$4:$D$1510,E$21)&gt;0)))</f>
        <v>6</v>
      </c>
      <c r="F29" s="77">
        <f>IF($A29=F$21,0,SUMPRODUCT(('Match Log'!$D$4:$D$1510=$A29)*(COUNTIFS('Match Log'!$A$4:$A$1510,'Match Log'!$A$4:$A$1510,'Match Log'!$D$4:$D$1510,F$21)&gt;0)))</f>
        <v>33</v>
      </c>
      <c r="G29" s="77">
        <f>IF($A29=G$21,0,SUMPRODUCT(('Match Log'!$D$4:$D$1510=$A29)*(COUNTIFS('Match Log'!$A$4:$A$1510,'Match Log'!$A$4:$A$1510,'Match Log'!$D$4:$D$1510,G$21)&gt;0)))</f>
        <v>70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7</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47</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1</v>
      </c>
      <c r="H34" s="77">
        <f>IF($A34=H$21,0,SUMPRODUCT(('Match Log'!$D$4:$D$1510=$A34)*(COUNTIFS('Match Log'!$A$4:$A$1510,'Match Log'!$A$4:$A$1510,'Match Log'!$D$4:$D$1510,H$21)&gt;0)))</f>
        <v>2</v>
      </c>
      <c r="I34" s="77">
        <f>IF($A34=I$21,0,SUMPRODUCT(('Match Log'!$D$4:$D$1510=$A34)*(COUNTIFS('Match Log'!$A$4:$A$1510,'Match Log'!$A$4:$A$1510,'Match Log'!$D$4:$D$1510,I$21)&gt;0)))</f>
        <v>7</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4"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307</v>
      </c>
    </row>
    <row r="4" spans="1:18" ht="18.75" customHeight="1" x14ac:dyDescent="0.2">
      <c r="A4" s="43" t="s">
        <v>298</v>
      </c>
      <c r="C4" s="163" t="str">
        <f ca="1">INDEX($A$89:$A$102,MATCH(MAX($S$89:$S$102),$S$89:$S$102,0))</f>
        <v>Josh</v>
      </c>
      <c r="D4" s="146"/>
      <c r="E4" s="146"/>
      <c r="F4" s="146"/>
      <c r="G4" s="146"/>
    </row>
    <row r="6" spans="1:18" ht="15" customHeight="1" x14ac:dyDescent="0.2">
      <c r="A6" s="162"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4</v>
      </c>
      <c r="G12" s="83">
        <f>COUNTIFS('Match Log'!$D$4:$D$1510,G$7,'Match Log'!$C$4:$C$1510,$A12)</f>
        <v>1</v>
      </c>
      <c r="H12" s="83">
        <f>COUNTIFS('Match Log'!$D$4:$D$1510,H$7,'Match Log'!$C$4:$C$1510,$A12)</f>
        <v>2</v>
      </c>
      <c r="I12" s="83">
        <f>COUNTIFS('Match Log'!$D$4:$D$1510,I$7,'Match Log'!$C$4:$C$1510,$A12)</f>
        <v>11</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25</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7</v>
      </c>
      <c r="G21" s="83">
        <f>COUNTIFS('Match Log'!$D$4:$D$1510,G$7,'Match Log'!$C$4:$C$1510,$A21)</f>
        <v>14</v>
      </c>
      <c r="H21" s="83">
        <f>COUNTIFS('Match Log'!$D$4:$D$1510,H$7,'Match Log'!$C$4:$C$1510,$A21)</f>
        <v>1</v>
      </c>
      <c r="I21" s="83">
        <f>COUNTIFS('Match Log'!$D$4:$D$1510,I$7,'Match Log'!$C$4:$C$1510,$A21)</f>
        <v>7</v>
      </c>
      <c r="J21" s="83">
        <f>COUNTIFS('Match Log'!$D$4:$D$1510,J$7,'Match Log'!$C$4:$C$1510,$A21)</f>
        <v>0</v>
      </c>
      <c r="K21" s="83">
        <f>COUNTIFS('Match Log'!$D$4:$D$1510,K$7,'Match Log'!$C$4:$C$1510,$A21)</f>
        <v>0</v>
      </c>
      <c r="L21" s="83">
        <f>COUNTIFS('Match Log'!$D$4:$D$1510,L$7,'Match Log'!$C$4:$C$1510,$A21)</f>
        <v>11</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21</v>
      </c>
      <c r="Q21" s="85" t="str">
        <f t="shared" si="0"/>
        <v>Oscar</v>
      </c>
      <c r="R21" s="84">
        <f t="shared" si="1"/>
        <v>8</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14</v>
      </c>
      <c r="C26" s="83">
        <f>COUNTIFS('Match Log'!$D$4:$D$1510,C$7,'Match Log'!$C$4:$C$1510,$A26)</f>
        <v>0</v>
      </c>
      <c r="D26" s="83">
        <f>COUNTIFS('Match Log'!$D$4:$D$1510,D$7,'Match Log'!$C$4:$C$1510,$A26)</f>
        <v>8</v>
      </c>
      <c r="E26" s="83">
        <f>COUNTIFS('Match Log'!$D$4:$D$1510,E$7,'Match Log'!$C$4:$C$1510,$A26)</f>
        <v>0</v>
      </c>
      <c r="F26" s="83">
        <f>COUNTIFS('Match Log'!$D$4:$D$1510,F$7,'Match Log'!$C$4:$C$1510,$A26)</f>
        <v>4</v>
      </c>
      <c r="G26" s="83">
        <f>COUNTIFS('Match Log'!$D$4:$D$1510,G$7,'Match Log'!$C$4:$C$1510,$A26)</f>
        <v>38</v>
      </c>
      <c r="H26" s="83">
        <f>COUNTIFS('Match Log'!$D$4:$D$1510,H$7,'Match Log'!$C$4:$C$1510,$A26)</f>
        <v>1</v>
      </c>
      <c r="I26" s="83">
        <f>COUNTIFS('Match Log'!$D$4:$D$1510,I$7,'Match Log'!$C$4:$C$1510,$A26)</f>
        <v>31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0</v>
      </c>
      <c r="O26" s="83">
        <f>COUNTIFS('Match Log'!$D$4:$D$1510,O$7,'Match Log'!$C$4:$C$1510,$A26)</f>
        <v>0</v>
      </c>
      <c r="P26" s="84">
        <f>SUMPRODUCT(('Match Log'!$C$4:$C$1510=$A26)*('Match Log'!$D$4:$D$1510='Match Log'!$G$4:$G$1510)*('Match Log'!$D$4:$D$1510&lt;&gt;""))</f>
        <v>47</v>
      </c>
      <c r="Q26" s="85" t="str">
        <f t="shared" si="0"/>
        <v>Daniel (Ferret)</v>
      </c>
      <c r="R26" s="84">
        <f t="shared" si="1"/>
        <v>19</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2"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2</v>
      </c>
      <c r="G39" s="83">
        <f>COUNTIFS('Match Log'!$D$4:$D$1510,G$34,'Match Log'!$C$4:$C$1510,$A39,'Match Log'!$E$4:$E$1510,"Win")</f>
        <v>1</v>
      </c>
      <c r="H39" s="83">
        <f>COUNTIFS('Match Log'!$D$4:$D$1510,H$34,'Match Log'!$C$4:$C$1510,$A39,'Match Log'!$E$4:$E$1510,"Win")</f>
        <v>2</v>
      </c>
      <c r="I39" s="83">
        <f>COUNTIFS('Match Log'!$D$4:$D$1510,I$34,'Match Log'!$C$4:$C$1510,$A39,'Match Log'!$E$4:$E$1510,"Win")</f>
        <v>5</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6</v>
      </c>
      <c r="G48" s="83">
        <f>COUNTIFS('Match Log'!$D$4:$D$1510,G$34,'Match Log'!$C$4:$C$1510,$A48,'Match Log'!$E$4:$E$1510,"Win")</f>
        <v>0</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8</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18</v>
      </c>
      <c r="H53" s="83">
        <f>COUNTIFS('Match Log'!$D$4:$D$1510,H$34,'Match Log'!$C$4:$C$1510,$A53,'Match Log'!$E$4:$E$1510,"Win")</f>
        <v>0</v>
      </c>
      <c r="I53" s="83">
        <f>COUNTIFS('Match Log'!$D$4:$D$1510,I$34,'Match Log'!$C$4:$C$1510,$A53,'Match Log'!$E$4:$E$1510,"Win")</f>
        <v>19</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2"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0.45454545454545453</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0.8571428571428571</v>
      </c>
      <c r="G75" s="86">
        <f t="shared" si="15"/>
        <v>0</v>
      </c>
      <c r="H75" s="86">
        <f t="shared" si="15"/>
        <v>0</v>
      </c>
      <c r="I75" s="86">
        <f t="shared" si="15"/>
        <v>0.42857142857142855</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0.21428571428571427</v>
      </c>
      <c r="C80" s="86" t="str">
        <f t="shared" si="20"/>
        <v/>
      </c>
      <c r="D80" s="86">
        <f t="shared" si="20"/>
        <v>0.5</v>
      </c>
      <c r="E80" s="86" t="str">
        <f t="shared" si="20"/>
        <v/>
      </c>
      <c r="F80" s="86">
        <f t="shared" si="20"/>
        <v>0.5</v>
      </c>
      <c r="G80" s="86">
        <f t="shared" si="20"/>
        <v>0.47368421052631576</v>
      </c>
      <c r="H80" s="86">
        <f t="shared" si="20"/>
        <v>0</v>
      </c>
      <c r="I80" s="86">
        <f t="shared" si="20"/>
        <v>0.61290322580645162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2"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1187.9015417269482</v>
      </c>
      <c r="G89" s="83" t="str">
        <f>IF($B89=0,"No games",IF(AND($B89&gt;='Guide &amp; Settings'!$C$45,$C89&gt;='Guide &amp; Settings'!$C$46),"Eligible","Provisional"))</f>
        <v>Eligible</v>
      </c>
      <c r="S89" s="89">
        <f ca="1">IF($G89="Eligible",IF(IFERROR(INDEX(Calcs!$T$7:$T$20,MATCH($A89,Calcs!$A$7:$A$20,0)),"")="Inactive",-1,$F89),-1)</f>
        <v>1187.9015417269482</v>
      </c>
    </row>
    <row r="90" spans="1:19" ht="15" customHeight="1" x14ac:dyDescent="0.2">
      <c r="A90" s="82" t="s">
        <v>19</v>
      </c>
      <c r="B90" s="83">
        <f>COUNTIF('Match Log'!$D$4:$D$1510,$A90)</f>
        <v>64</v>
      </c>
      <c r="C90" s="83">
        <f>SUMPRODUCT(--(COUNTIFS('Match Log'!$D$4:$D$1510,$A90,'Match Log'!$C$4:$C$1510,Lists!$C$2:$C$26)&gt;0))</f>
        <v>15</v>
      </c>
      <c r="D90" s="83">
        <f>COUNTIFS('Match Log'!$D$4:$D$1510,$A90,'Match Log'!$E$4:$E$1510,"Win")</f>
        <v>39</v>
      </c>
      <c r="E90" s="86">
        <f t="shared" si="27"/>
        <v>0.609375</v>
      </c>
      <c r="F90" s="88">
        <f ca="1">IFERROR(INDEX(Calcs!$S$7:$S$20,MATCH($A90,Calcs!$A$7:$A$20,0)),"")</f>
        <v>1255.247020705217</v>
      </c>
      <c r="G90" s="83" t="str">
        <f>IF($B90=0,"No games",IF(AND($B90&gt;='Guide &amp; Settings'!$C$45,$C90&gt;='Guide &amp; Settings'!$C$46),"Eligible","Provisional"))</f>
        <v>Eligible</v>
      </c>
      <c r="S90" s="89">
        <f ca="1">IF($G90="Eligible",IF(IFERROR(INDEX(Calcs!$T$7:$T$20,MATCH($A90,Calcs!$A$7:$A$20,0)),"")="Inactive",-1,$F90),-1)</f>
        <v>1255.247020705217</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Log'!$D$4:$D$1510,$A92)</f>
        <v>83</v>
      </c>
      <c r="C92" s="83">
        <f>SUMPRODUCT(--(COUNTIFS('Match Log'!$D$4:$D$1510,$A92,'Match Log'!$C$4:$C$1510,Lists!$C$2:$C$26)&gt;0))</f>
        <v>14</v>
      </c>
      <c r="D92" s="83">
        <f>COUNTIFS('Match Log'!$D$4:$D$1510,$A92,'Match Log'!$E$4:$E$1510,"Win")</f>
        <v>29</v>
      </c>
      <c r="E92" s="86">
        <f t="shared" si="27"/>
        <v>0.3493975903614458</v>
      </c>
      <c r="F92" s="88">
        <f ca="1">IFERROR(INDEX(Calcs!$S$7:$S$20,MATCH($A92,Calcs!$A$7:$A$20,0)),"")</f>
        <v>968.26132335618615</v>
      </c>
      <c r="G92" s="83" t="str">
        <f>IF($B92=0,"No games",IF(AND($B92&gt;='Guide &amp; Settings'!$C$45,$C92&gt;='Guide &amp; Settings'!$C$46),"Eligible","Provisional"))</f>
        <v>Eligible</v>
      </c>
      <c r="S92" s="89">
        <f ca="1">IF($G92="Eligible",IF(IFERROR(INDEX(Calcs!$T$7:$T$20,MATCH($A92,Calcs!$A$7:$A$20,0)),"")="Inactive",-1,$F92),-1)</f>
        <v>968.26132335618615</v>
      </c>
    </row>
    <row r="93" spans="1:19" ht="15" customHeight="1" x14ac:dyDescent="0.2">
      <c r="A93" s="82" t="s">
        <v>22</v>
      </c>
      <c r="B93" s="83">
        <f>COUNTIF('Match Log'!$D$4:$D$1510,$A93)</f>
        <v>148</v>
      </c>
      <c r="C93" s="83">
        <f>SUMPRODUCT(--(COUNTIFS('Match Log'!$D$4:$D$1510,$A93,'Match Log'!$C$4:$C$1510,Lists!$C$2:$C$26)&gt;0))</f>
        <v>20</v>
      </c>
      <c r="D93" s="83">
        <f>COUNTIFS('Match Log'!$D$4:$D$1510,$A93,'Match Log'!$E$4:$E$1510,"Win")</f>
        <v>62</v>
      </c>
      <c r="E93" s="86">
        <f t="shared" si="27"/>
        <v>0.41891891891891891</v>
      </c>
      <c r="F93" s="88">
        <f ca="1">IFERROR(INDEX(Calcs!$S$7:$S$20,MATCH($A93,Calcs!$A$7:$A$20,0)),"")</f>
        <v>1178.8141127775541</v>
      </c>
      <c r="G93" s="83" t="str">
        <f>IF($B93=0,"No games",IF(AND($B93&gt;='Guide &amp; Settings'!$C$45,$C93&gt;='Guide &amp; Settings'!$C$46),"Eligible","Provisional"))</f>
        <v>Eligible</v>
      </c>
      <c r="S93" s="89">
        <f ca="1">IF($G93="Eligible",IF(IFERROR(INDEX(Calcs!$T$7:$T$20,MATCH($A93,Calcs!$A$7:$A$20,0)),"")="Inactive",-1,$F93),-1)</f>
        <v>1178.8141127775541</v>
      </c>
    </row>
    <row r="94" spans="1:19" ht="15" customHeight="1" x14ac:dyDescent="0.2">
      <c r="A94" s="82" t="s">
        <v>15</v>
      </c>
      <c r="B94" s="83">
        <f>COUNTIF('Match Log'!$D$4:$D$1510,$A94)</f>
        <v>89</v>
      </c>
      <c r="C94" s="83">
        <f>SUMPRODUCT(--(COUNTIFS('Match Log'!$D$4:$D$1510,$A94,'Match Log'!$C$4:$C$1510,Lists!$C$2:$C$26)&gt;0))</f>
        <v>14</v>
      </c>
      <c r="D94" s="83">
        <f>COUNTIFS('Match Log'!$D$4:$D$1510,$A94,'Match Log'!$E$4:$E$1510,"Win")</f>
        <v>42</v>
      </c>
      <c r="E94" s="86">
        <f t="shared" si="27"/>
        <v>0.47191011235955055</v>
      </c>
      <c r="F94" s="88">
        <f ca="1">IFERROR(INDEX(Calcs!$S$7:$S$20,MATCH($A94,Calcs!$A$7:$A$20,0)),"")</f>
        <v>1196.4573388632245</v>
      </c>
      <c r="G94" s="83" t="str">
        <f>IF($B94=0,"No games",IF(AND($B94&gt;='Guide &amp; Settings'!$C$45,$C94&gt;='Guide &amp; Settings'!$C$46),"Eligible","Provisional"))</f>
        <v>Eligible</v>
      </c>
      <c r="S94" s="89">
        <f ca="1">IF($G94="Eligible",IF(IFERROR(INDEX(Calcs!$T$7:$T$20,MATCH($A94,Calcs!$A$7:$A$20,0)),"")="Inactive",-1,$F94),-1)</f>
        <v>1196.4573388632245</v>
      </c>
    </row>
    <row r="95" spans="1:19" ht="15" customHeight="1" x14ac:dyDescent="0.2">
      <c r="A95" s="82" t="s">
        <v>20</v>
      </c>
      <c r="B95" s="83">
        <f>COUNTIF('Match Log'!$D$4:$D$1510,$A95)</f>
        <v>158</v>
      </c>
      <c r="C95" s="83">
        <f>SUMPRODUCT(--(COUNTIFS('Match Log'!$D$4:$D$1510,$A95,'Match Log'!$C$4:$C$1510,Lists!$C$2:$C$26)&gt;0))</f>
        <v>19</v>
      </c>
      <c r="D95" s="83">
        <f>COUNTIFS('Match Log'!$D$4:$D$1510,$A95,'Match Log'!$E$4:$E$1510,"Win")</f>
        <v>74</v>
      </c>
      <c r="E95" s="86">
        <f t="shared" si="27"/>
        <v>0.46835443037974683</v>
      </c>
      <c r="F95" s="88">
        <f ca="1">IFERROR(INDEX(Calcs!$S$7:$S$20,MATCH($A95,Calcs!$A$7:$A$20,0)),"")</f>
        <v>1147.3786422292076</v>
      </c>
      <c r="G95" s="83" t="str">
        <f>IF($B95=0,"No games",IF(AND($B95&gt;='Guide &amp; Settings'!$C$45,$C95&gt;='Guide &amp; Settings'!$C$46),"Eligible","Provisional"))</f>
        <v>Eligible</v>
      </c>
      <c r="S95" s="89">
        <f ca="1">IF($G95="Eligible",IF(IFERROR(INDEX(Calcs!$T$7:$T$20,MATCH($A95,Calcs!$A$7:$A$20,0)),"")="Inactive",-1,$F95),-1)</f>
        <v>1147.3786422292076</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909.51759653351382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1057.5488947064855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15</v>
      </c>
      <c r="C98" s="83">
        <f>SUMPRODUCT(--(COUNTIFS('Match Log'!$D$4:$D$1510,$A98,'Match Log'!$C$4:$C$1510,Lists!$C$2:$C$26)&gt;0))</f>
        <v>4</v>
      </c>
      <c r="D98" s="83">
        <f>COUNTIFS('Match Log'!$D$4:$D$1510,$A98,'Match Log'!$E$4:$E$1510,"Win")</f>
        <v>6</v>
      </c>
      <c r="E98" s="86">
        <f t="shared" si="27"/>
        <v>0.4</v>
      </c>
      <c r="F98" s="88">
        <f ca="1">IFERROR(INDEX(Calcs!$S$7:$S$20,MATCH($A98,Calcs!$A$7:$A$20,0)),"")</f>
        <v>993.2192605207141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Log'!$D$4:$D$1510,$A99)</f>
        <v>21</v>
      </c>
      <c r="C99" s="83">
        <f>SUMPRODUCT(--(COUNTIFS('Match Log'!$D$4:$D$1510,$A99,'Match Log'!$C$4:$C$1510,Lists!$C$2:$C$26)&gt;0))</f>
        <v>10</v>
      </c>
      <c r="D99" s="83">
        <f>COUNTIFS('Match Log'!$D$4:$D$1510,$A99,'Match Log'!$E$4:$E$1510,"Win")</f>
        <v>9</v>
      </c>
      <c r="E99" s="86">
        <f t="shared" si="27"/>
        <v>0.42857142857142855</v>
      </c>
      <c r="F99" s="88">
        <f ca="1">IFERROR(INDEX(Calcs!$S$7:$S$20,MATCH($A99,Calcs!$A$7:$A$20,0)),"")</f>
        <v>1042.953806715856</v>
      </c>
      <c r="G99" s="83" t="str">
        <f>IF($B99=0,"No games",IF(AND($B99&gt;='Guide &amp; Settings'!$C$45,$C99&gt;='Guide &amp; Settings'!$C$46),"Eligible","Provisional"))</f>
        <v>Eligible</v>
      </c>
      <c r="S99" s="89">
        <f ca="1">IF($G99="Eligible",IF(IFERROR(INDEX(Calcs!$T$7:$T$20,MATCH($A99,Calcs!$A$7:$A$20,0)),"")="Inactive",-1,$F99),-1)</f>
        <v>1042.953806715856</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867.03133644117429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782.22294373677494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2"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1001.4894058706261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988.04042504575511</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1055.4776164286188</v>
      </c>
      <c r="G119" s="88">
        <f>IFERROR(LOOKUP(2,1/(('Match Log'!$D$4:$D$1510=G$105)*('Match Log'!$C$4:$C$1510=$A119)),'Match Log'!$AB$4:$AB$1510),"")</f>
        <v>844.70538647951662</v>
      </c>
      <c r="H119" s="88">
        <f>IFERROR(LOOKUP(2,1/(('Match Log'!$D$4:$D$1510=H$105)*('Match Log'!$C$4:$C$1510=$A119)),'Match Log'!$AB$4:$AB$1510),"")</f>
        <v>994.66666666666663</v>
      </c>
      <c r="I119" s="88">
        <f>IFERROR(LOOKUP(2,1/(('Match Log'!$D$4:$D$1510=I$105)*('Match Log'!$C$4:$C$1510=$A119)),'Match Log'!$AB$4:$AB$1510),"")</f>
        <v>985.16234453768709</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1063.0786926105654</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Oscar</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941.66416056941034</v>
      </c>
      <c r="C124" s="88" t="str">
        <f>IFERROR(LOOKUP(2,1/(('Match Log'!$D$4:$D$1510=C$105)*('Match Log'!$C$4:$C$1510=$A124)),'Match Log'!$AB$4:$AB$1510),"")</f>
        <v/>
      </c>
      <c r="D124" s="88">
        <f>IFERROR(LOOKUP(2,1/(('Match Log'!$D$4:$D$1510=D$105)*('Match Log'!$C$4:$C$1510=$A124)),'Match Log'!$AB$4:$AB$1510),"")</f>
        <v>1025.1456607850155</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962.4492002901444</v>
      </c>
      <c r="H124" s="88">
        <f>IFERROR(LOOKUP(2,1/(('Match Log'!$D$4:$D$1510=H$105)*('Match Log'!$C$4:$C$1510=$A124)),'Match Log'!$AB$4:$AB$1510),"")</f>
        <v>995.11454772974389</v>
      </c>
      <c r="I124" s="88">
        <f>IFERROR(LOOKUP(2,1/(('Match Log'!$D$4:$D$1510=I$105)*('Match Log'!$C$4:$C$1510=$A124)),'Match Log'!$AB$4:$AB$1510),"")</f>
        <v>1127.9441393405727</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t="str">
        <f>IFERROR(LOOKUP(2,1/(('Match Log'!$D$4:$D$1510=N$105)*('Match Log'!$C$4:$C$1510=$A124)),'Match Log'!$AB$4:$AB$1510),"")</f>
        <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5"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Aaron</v>
      </c>
      <c r="C6" s="91" t="str">
        <f>IFERROR(INDEX(Calcs!$H$25:$H$724,MATCH(LARGE(Calcs!$I$25:$I$724,1),Calcs!$I$25:$I$724,0)),"")</f>
        <v>Shawn</v>
      </c>
      <c r="D6" s="91" t="str">
        <f>IFERROR(INDEX(Calcs!$C$25:$C$724,MATCH(LARGE(Calcs!$I$25:$I$724,1),Calcs!$I$25:$I$724,0)),"")</f>
        <v>Mario Golf</v>
      </c>
      <c r="E6" s="91" t="str">
        <f>IFERROR(TEXT(INDEX(Calcs!$F$25:$F$724,MATCH(LARGE(Calcs!$I$25:$I$724,1),Calcs!$I$25:$I$724,0)),"0%"),"")</f>
        <v>17%</v>
      </c>
      <c r="F6" s="91" t="str">
        <f>IFERROR(TEXT(INDEX(Calcs!$B$25:$B$724,MATCH(LARGE(Calcs!$I$25:$I$724,1),Calcs!$I$25:$I$724,0)),"d mmm"),"")</f>
        <v>10 Jul</v>
      </c>
    </row>
    <row r="7" spans="1:6" ht="15" customHeight="1" x14ac:dyDescent="0.2">
      <c r="A7" s="67">
        <v>2</v>
      </c>
      <c r="B7" s="40" t="str">
        <f>IFERROR(INDEX(Calcs!$D$25:$D$724,MATCH(LARGE(Calcs!$I$25:$I$724,2),Calcs!$I$25:$I$724,0)),"")</f>
        <v>Daniel (Ferret)</v>
      </c>
      <c r="C7" s="40" t="str">
        <f>IFERROR(INDEX(Calcs!$H$25:$H$724,MATCH(LARGE(Calcs!$I$25:$I$724,2),Calcs!$I$25:$I$724,0)),"")</f>
        <v>Shawn</v>
      </c>
      <c r="D7" s="40" t="str">
        <f>IFERROR(INDEX(Calcs!$C$25:$C$724,MATCH(LARGE(Calcs!$I$25:$I$724,2),Calcs!$I$25:$I$724,0)),"")</f>
        <v>FIFA</v>
      </c>
      <c r="E7" s="40" t="str">
        <f>IFERROR(TEXT(INDEX(Calcs!$F$25:$F$724,MATCH(LARGE(Calcs!$I$25:$I$724,2),Calcs!$I$25:$I$724,0)),"0%"),"")</f>
        <v>20%</v>
      </c>
      <c r="F7" s="40" t="str">
        <f>IFERROR(TEXT(INDEX(Calcs!$B$25:$B$724,MATCH(LARGE(Calcs!$I$25:$I$724,2),Calcs!$I$25:$I$724,0)),"d mmm"),"")</f>
        <v>30 May</v>
      </c>
    </row>
    <row r="8" spans="1:6" ht="15" customHeight="1" x14ac:dyDescent="0.2">
      <c r="A8" s="63">
        <v>3</v>
      </c>
      <c r="B8" s="37" t="str">
        <f>IFERROR(INDEX(Calcs!$D$25:$D$724,MATCH(LARGE(Calcs!$I$25:$I$724,3),Calcs!$I$25:$I$724,0)),"")</f>
        <v>Shawn</v>
      </c>
      <c r="C8" s="37" t="str">
        <f>IFERROR(INDEX(Calcs!$H$25:$H$724,MATCH(LARGE(Calcs!$I$25:$I$724,3),Calcs!$I$25:$I$724,0)),"")</f>
        <v>Daniel (Ferret)</v>
      </c>
      <c r="D8" s="37" t="str">
        <f>IFERROR(INDEX(Calcs!$C$25:$C$724,MATCH(LARGE(Calcs!$I$25:$I$724,3),Calcs!$I$25:$I$724,0)),"")</f>
        <v>Mario Party</v>
      </c>
      <c r="E8" s="37" t="str">
        <f>IFERROR(TEXT(INDEX(Calcs!$F$25:$F$724,MATCH(LARGE(Calcs!$I$25:$I$724,3),Calcs!$I$25:$I$724,0)),"0%"),"")</f>
        <v>23%</v>
      </c>
      <c r="F8" s="37" t="str">
        <f>IFERROR(TEXT(INDEX(Calcs!$B$25:$B$724,MATCH(LARGE(Calcs!$I$25:$I$724,3),Calcs!$I$25:$I$724,0)),"d mmm"),"")</f>
        <v>5 Jul</v>
      </c>
    </row>
    <row r="9" spans="1:6" ht="15" customHeight="1" x14ac:dyDescent="0.2">
      <c r="A9" s="67">
        <v>4</v>
      </c>
      <c r="B9" s="40" t="str">
        <f>IFERROR(INDEX(Calcs!$D$25:$D$724,MATCH(LARGE(Calcs!$I$25:$I$724,4),Calcs!$I$25:$I$724,0)),"")</f>
        <v>Dean B</v>
      </c>
      <c r="C9" s="40" t="str">
        <f>IFERROR(INDEX(Calcs!$H$25:$H$724,MATCH(LARGE(Calcs!$I$25:$I$724,4),Calcs!$I$25:$I$724,0)),"")</f>
        <v>David</v>
      </c>
      <c r="D9" s="40" t="str">
        <f>IFERROR(INDEX(Calcs!$C$25:$C$724,MATCH(LARGE(Calcs!$I$25:$I$724,4),Calcs!$I$25:$I$724,0)),"")</f>
        <v>Darts</v>
      </c>
      <c r="E9" s="40" t="str">
        <f>IFERROR(TEXT(INDEX(Calcs!$F$25:$F$724,MATCH(LARGE(Calcs!$I$25:$I$724,4),Calcs!$I$25:$I$724,0)),"0%"),"")</f>
        <v>23%</v>
      </c>
      <c r="F9" s="40" t="str">
        <f>IFERROR(TEXT(INDEX(Calcs!$B$25:$B$724,MATCH(LARGE(Calcs!$I$25:$I$724,4),Calcs!$I$25:$I$724,0)),"d mmm"),"")</f>
        <v>21 Aug</v>
      </c>
    </row>
    <row r="10" spans="1:6" ht="15" customHeight="1" x14ac:dyDescent="0.2">
      <c r="A10" s="63">
        <v>5</v>
      </c>
      <c r="B10" s="37" t="str">
        <f>IFERROR(INDEX(Calcs!$D$25:$D$724,MATCH(LARGE(Calcs!$I$25:$I$724,5),Calcs!$I$25:$I$724,0)),"")</f>
        <v>Simon</v>
      </c>
      <c r="C10" s="37" t="str">
        <f>IFERROR(INDEX(Calcs!$H$25:$H$724,MATCH(LARGE(Calcs!$I$25:$I$724,5),Calcs!$I$25:$I$724,0)),"")</f>
        <v>Oscar</v>
      </c>
      <c r="D10" s="37" t="str">
        <f>IFERROR(INDEX(Calcs!$C$25:$C$724,MATCH(LARGE(Calcs!$I$25:$I$724,5),Calcs!$I$25:$I$724,0)),"")</f>
        <v>Table Tennis</v>
      </c>
      <c r="E10" s="37" t="str">
        <f>IFERROR(TEXT(INDEX(Calcs!$F$25:$F$724,MATCH(LARGE(Calcs!$I$25:$I$724,5),Calcs!$I$25:$I$724,0)),"0%"),"")</f>
        <v>23%</v>
      </c>
      <c r="F10" s="37" t="str">
        <f>IFERROR(TEXT(INDEX(Calcs!$B$25:$B$724,MATCH(LARGE(Calcs!$I$25:$I$724,5),Calcs!$I$25:$I$724,0)),"d mmm"),"")</f>
        <v>23 Aug</v>
      </c>
    </row>
    <row r="11" spans="1:6" ht="15" customHeight="1" x14ac:dyDescent="0.2">
      <c r="A11" s="67">
        <v>6</v>
      </c>
      <c r="B11" s="40" t="str">
        <f>IFERROR(INDEX(Calcs!$D$25:$D$724,MATCH(LARGE(Calcs!$I$25:$I$724,6),Calcs!$I$25:$I$724,0)),"")</f>
        <v>Aaron</v>
      </c>
      <c r="C11" s="40" t="str">
        <f>IFERROR(INDEX(Calcs!$H$25:$H$724,MATCH(LARGE(Calcs!$I$25:$I$724,6),Calcs!$I$25:$I$724,0)),"")</f>
        <v>Shawn</v>
      </c>
      <c r="D11" s="40" t="str">
        <f>IFERROR(INDEX(Calcs!$C$25:$C$724,MATCH(LARGE(Calcs!$I$25:$I$724,6),Calcs!$I$25:$I$724,0)),"")</f>
        <v>Table Tennis</v>
      </c>
      <c r="E11" s="40" t="str">
        <f>IFERROR(TEXT(INDEX(Calcs!$F$25:$F$724,MATCH(LARGE(Calcs!$I$25:$I$724,6),Calcs!$I$25:$I$724,0)),"0%"),"")</f>
        <v>24%</v>
      </c>
      <c r="F11" s="40" t="str">
        <f>IFERROR(TEXT(INDEX(Calcs!$B$25:$B$724,MATCH(LARGE(Calcs!$I$25:$I$724,6),Calcs!$I$25:$I$724,0)),"d mmm"),"")</f>
        <v>21 Aug</v>
      </c>
    </row>
    <row r="12" spans="1:6" ht="15" customHeight="1" x14ac:dyDescent="0.2">
      <c r="A12" s="63">
        <v>7</v>
      </c>
      <c r="B12" s="37" t="str">
        <f>IFERROR(INDEX(Calcs!$D$25:$D$724,MATCH(LARGE(Calcs!$I$25:$I$724,7),Calcs!$I$25:$I$724,0)),"")</f>
        <v>Oscar</v>
      </c>
      <c r="C12" s="37" t="str">
        <f>IFERROR(INDEX(Calcs!$H$25:$H$724,MATCH(LARGE(Calcs!$I$25:$I$724,7),Calcs!$I$25:$I$724,0)),"")</f>
        <v>Daniel (Ferret)</v>
      </c>
      <c r="D12" s="37" t="str">
        <f>IFERROR(INDEX(Calcs!$C$25:$C$724,MATCH(LARGE(Calcs!$I$25:$I$724,7),Calcs!$I$25:$I$724,0)),"")</f>
        <v>Mario Kart</v>
      </c>
      <c r="E12" s="37" t="str">
        <f>IFERROR(TEXT(INDEX(Calcs!$F$25:$F$724,MATCH(LARGE(Calcs!$I$25:$I$724,7),Calcs!$I$25:$I$724,0)),"0%"),"")</f>
        <v>25%</v>
      </c>
      <c r="F12" s="37" t="str">
        <f>IFERROR(TEXT(INDEX(Calcs!$B$25:$B$724,MATCH(LARGE(Calcs!$I$25:$I$724,7),Calcs!$I$25:$I$724,0)),"d mmm"),"")</f>
        <v>3 Jun</v>
      </c>
    </row>
    <row r="13" spans="1:6" ht="15" customHeight="1" x14ac:dyDescent="0.2">
      <c r="A13" s="67">
        <v>8</v>
      </c>
      <c r="B13" s="40" t="str">
        <f>IFERROR(INDEX(Calcs!$D$25:$D$724,MATCH(LARGE(Calcs!$I$25:$I$724,8),Calcs!$I$25:$I$724,0)),"")</f>
        <v>Daniel (Ferret)</v>
      </c>
      <c r="C13" s="40" t="str">
        <f>IFERROR(INDEX(Calcs!$H$25:$H$724,MATCH(LARGE(Calcs!$I$25:$I$724,8),Calcs!$I$25:$I$724,0)),"")</f>
        <v>Josh</v>
      </c>
      <c r="D13" s="40" t="str">
        <f>IFERROR(INDEX(Calcs!$C$25:$C$724,MATCH(LARGE(Calcs!$I$25:$I$724,8),Calcs!$I$25:$I$724,0)),"")</f>
        <v>Mario Golf</v>
      </c>
      <c r="E13" s="40" t="str">
        <f>IFERROR(TEXT(INDEX(Calcs!$F$25:$F$724,MATCH(LARGE(Calcs!$I$25:$I$724,8),Calcs!$I$25:$I$724,0)),"0%"),"")</f>
        <v>25%</v>
      </c>
      <c r="F13" s="40" t="str">
        <f>IFERROR(TEXT(INDEX(Calcs!$B$25:$B$724,MATCH(LARGE(Calcs!$I$25:$I$724,8),Calcs!$I$25:$I$724,0)),"d mmm"),"")</f>
        <v>26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17%</v>
      </c>
      <c r="C20" s="40" t="str">
        <f>$B$6</f>
        <v>Aaron</v>
      </c>
      <c r="D20" s="40" t="str">
        <f>$D$6</f>
        <v>Mario Golf</v>
      </c>
      <c r="E20" s="40" t="str">
        <f>$F$6</f>
        <v>10 Jul</v>
      </c>
      <c r="F20" s="40" t="str">
        <f>"beat "&amp;$C$6</f>
        <v>beat Shawn</v>
      </c>
    </row>
    <row r="21" spans="1:8" ht="15" customHeight="1" x14ac:dyDescent="0.2">
      <c r="A21" s="92" t="s">
        <v>325</v>
      </c>
      <c r="B21" s="37" t="str">
        <f ca="1">TEXT(MAX(Dashboard!$D$5:$D$18),"0")</f>
        <v>158</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56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5 wins</v>
      </c>
      <c r="C24" s="40" t="str">
        <f>INDEX(Calcs!$A$7:$A$20,MATCH(MAX(Calcs!$O$7:$O$20),Calcs!$O$7:$O$20,0))</f>
        <v>Josh</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45 points clear of Simon.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Josh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Cody can't take a trick — 6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Josh is surging — up 3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158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Log'!$A$4:$A$1510)&amp;" games played across "&amp;COUNTIF('Sport Records'!$P$8:$P$32,"&gt;0")&amp;" different sports — and counting."</f>
        <v>🎲  307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1255</v>
      </c>
      <c r="D17" s="109" t="str">
        <f>"leader"</f>
        <v>leader</v>
      </c>
      <c r="E17" s="105"/>
      <c r="F17" s="27"/>
    </row>
    <row r="18" spans="1:6" ht="15" customHeight="1" x14ac:dyDescent="0.2">
      <c r="A18" s="110">
        <v>2</v>
      </c>
      <c r="B18" s="62" t="str">
        <f ca="1">Dashboard!$B$6</f>
        <v>Simon</v>
      </c>
      <c r="C18" s="144">
        <f ca="1">ROUND(Dashboard!$C$6,0)</f>
        <v>1210</v>
      </c>
      <c r="D18" s="111" t="str">
        <f ca="1">ROUND(Dashboard!$C$5-Dashboard!$C$6,0)&amp;" behind"</f>
        <v>45 behind</v>
      </c>
      <c r="E18" s="105"/>
      <c r="F18" s="27"/>
    </row>
    <row r="19" spans="1:6" ht="15" customHeight="1" x14ac:dyDescent="0.2">
      <c r="A19" s="110">
        <v>3</v>
      </c>
      <c r="B19" s="62" t="str">
        <f ca="1">Dashboard!$B$7</f>
        <v>Aaron</v>
      </c>
      <c r="C19" s="144">
        <f ca="1">ROUND(Dashboard!$C$7,0)</f>
        <v>1196</v>
      </c>
      <c r="D19" s="111" t="str">
        <f ca="1">ROUND(Dashboard!$C$5-Dashboard!$C$7,0)&amp;" behind"</f>
        <v>59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W</v>
      </c>
      <c r="C40" s="113" t="str">
        <f>IFERROR(IF(INDEX('Match Log'!$E$1:$E$1510,_xlfn.AGGREGATE(14,6,ROW('Match Log'!$A$4:$A$1510)/('Match Log'!$D$4:$D$1510=$A40),9))="Win","W","L"),"")</f>
        <v>W</v>
      </c>
      <c r="D40" s="113" t="str">
        <f>IFERROR(IF(INDEX('Match Log'!$E$1:$E$1510,_xlfn.AGGREGATE(14,6,ROW('Match Log'!$A$4:$A$1510)/('Match Log'!$D$4:$D$1510=$A40),8))="Win","W","L"),"")</f>
        <v>L</v>
      </c>
      <c r="E40" s="113" t="str">
        <f>IFERROR(IF(INDEX('Match Log'!$E$1:$E$1510,_xlfn.AGGREGATE(14,6,ROW('Match Log'!$A$4:$A$1510)/('Match Log'!$D$4:$D$1510=$A40),7))="Win","W","L"),"")</f>
        <v>W</v>
      </c>
      <c r="F40" s="113" t="str">
        <f>IFERROR(IF(INDEX('Match Log'!$E$1:$E$1510,_xlfn.AGGREGATE(14,6,ROW('Match Log'!$A$4:$A$1510)/('Match Log'!$D$4:$D$1510=$A40),6))="Win","W","L"),"")</f>
        <v>W</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W</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L</v>
      </c>
      <c r="G42" s="113" t="str">
        <f>IFERROR(IF(INDEX('Match Log'!$E$1:$E$1510,_xlfn.AGGREGATE(14,6,ROW('Match Log'!$A$4:$A$1510)/('Match Log'!$D$4:$D$1510=$A42),5))="Win","W","L"),"")</f>
        <v>L</v>
      </c>
      <c r="H42" s="113" t="str">
        <f>IFERROR(IF(INDEX('Match Log'!$E$1:$E$1510,_xlfn.AGGREGATE(14,6,ROW('Match Log'!$A$4:$A$1510)/('Match Log'!$D$4:$D$1510=$A42),4))="Win","W","L"),"")</f>
        <v>W</v>
      </c>
      <c r="I42" s="113" t="str">
        <f>IFERROR(IF(INDEX('Match Log'!$E$1:$E$1510,_xlfn.AGGREGATE(14,6,ROW('Match Log'!$A$4:$A$1510)/('Match Log'!$D$4:$D$1510=$A42),3))="Win","W","L"),"")</f>
        <v>W</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W</v>
      </c>
      <c r="D44" s="113" t="str">
        <f>IFERROR(IF(INDEX('Match Log'!$E$1:$E$1510,_xlfn.AGGREGATE(14,6,ROW('Match Log'!$A$4:$A$1510)/('Match Log'!$D$4:$D$1510=$A44),8))="Win","W","L"),"")</f>
        <v>L</v>
      </c>
      <c r="E44" s="113" t="str">
        <f>IFERROR(IF(INDEX('Match Log'!$E$1:$E$1510,_xlfn.AGGREGATE(14,6,ROW('Match Log'!$A$4:$A$1510)/('Match Log'!$D$4:$D$1510=$A44),7))="Win","W","L"),"")</f>
        <v>W</v>
      </c>
      <c r="F44" s="113" t="str">
        <f>IFERROR(IF(INDEX('Match Log'!$E$1:$E$1510,_xlfn.AGGREGATE(14,6,ROW('Match Log'!$A$4:$A$1510)/('Match Log'!$D$4:$D$1510=$A44),6))="Win","W","L"),"")</f>
        <v>L</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L</v>
      </c>
      <c r="C45" s="113" t="str">
        <f>IFERROR(IF(INDEX('Match Log'!$E$1:$E$1510,_xlfn.AGGREGATE(14,6,ROW('Match Log'!$A$4:$A$1510)/('Match Log'!$D$4:$D$1510=$A45),9))="Win","W","L"),"")</f>
        <v>L</v>
      </c>
      <c r="D45" s="113" t="str">
        <f>IFERROR(IF(INDEX('Match Log'!$E$1:$E$1510,_xlfn.AGGREGATE(14,6,ROW('Match Log'!$A$4:$A$1510)/('Match Log'!$D$4:$D$1510=$A45),8))="Win","W","L"),"")</f>
        <v>W</v>
      </c>
      <c r="E45" s="113" t="str">
        <f>IFERROR(IF(INDEX('Match Log'!$E$1:$E$1510,_xlfn.AGGREGATE(14,6,ROW('Match Log'!$A$4:$A$1510)/('Match Log'!$D$4:$D$1510=$A45),7))="Win","W","L"),"")</f>
        <v>L</v>
      </c>
      <c r="F45" s="113" t="str">
        <f>IFERROR(IF(INDEX('Match Log'!$E$1:$E$1510,_xlfn.AGGREGATE(14,6,ROW('Match Log'!$A$4:$A$1510)/('Match Log'!$D$4:$D$1510=$A45),6))="Win","W","L"),"")</f>
        <v>L</v>
      </c>
      <c r="G45" s="113" t="str">
        <f>IFERROR(IF(INDEX('Match Log'!$E$1:$E$1510,_xlfn.AGGREGATE(14,6,ROW('Match Log'!$A$4:$A$1510)/('Match Log'!$D$4:$D$1510=$A45),5))="Win","W","L"),"")</f>
        <v>L</v>
      </c>
      <c r="H45" s="113" t="str">
        <f>IFERROR(IF(INDEX('Match Log'!$E$1:$E$1510,_xlfn.AGGREGATE(14,6,ROW('Match Log'!$A$4:$A$1510)/('Match Log'!$D$4:$D$1510=$A45),4))="Win","W","L"),"")</f>
        <v>L</v>
      </c>
      <c r="I45" s="113" t="str">
        <f>IFERROR(IF(INDEX('Match Log'!$E$1:$E$1510,_xlfn.AGGREGATE(14,6,ROW('Match Log'!$A$4:$A$1510)/('Match Log'!$D$4:$D$1510=$A45),3))="Win","W","L"),"")</f>
        <v>L</v>
      </c>
      <c r="J45" s="113" t="str">
        <f>IFERROR(IF(INDEX('Match Log'!$E$1:$E$1510,_xlfn.AGGREGATE(14,6,ROW('Match Log'!$A$4:$A$1510)/('Match Log'!$D$4:$D$1510=$A45),2))="Win","W","L"),"")</f>
        <v>L</v>
      </c>
      <c r="K45" s="113" t="str">
        <f>IFERROR(IF(INDEX('Match Log'!$E$1:$E$1510,_xlfn.AGGREGATE(14,6,ROW('Match Log'!$A$4:$A$1510)/('Match Log'!$D$4:$D$1510=$A45),1))="Win","W","L"),"")</f>
        <v>W</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W</v>
      </c>
      <c r="C47" s="113" t="str">
        <f>IFERROR(IF(INDEX('Match Log'!$E$1:$E$1510,_xlfn.AGGREGATE(14,6,ROW('Match Log'!$A$4:$A$1510)/('Match Log'!$D$4:$D$1510=$A47),9))="Win","W","L"),"")</f>
        <v>W</v>
      </c>
      <c r="D47" s="113" t="str">
        <f>IFERROR(IF(INDEX('Match Log'!$E$1:$E$1510,_xlfn.AGGREGATE(14,6,ROW('Match Log'!$A$4:$A$1510)/('Match Log'!$D$4:$D$1510=$A47),8))="Win","W","L"),"")</f>
        <v>W</v>
      </c>
      <c r="E47" s="113" t="str">
        <f>IFERROR(IF(INDEX('Match Log'!$E$1:$E$1510,_xlfn.AGGREGATE(14,6,ROW('Match Log'!$A$4:$A$1510)/('Match Log'!$D$4:$D$1510=$A47),7))="Win","W","L"),"")</f>
        <v>W</v>
      </c>
      <c r="F47" s="113" t="str">
        <f>IFERROR(IF(INDEX('Match Log'!$E$1:$E$1510,_xlfn.AGGREGATE(14,6,ROW('Match Log'!$A$4:$A$1510)/('Match Log'!$D$4:$D$1510=$A47),6))="Win","W","L"),"")</f>
        <v>W</v>
      </c>
      <c r="G47" s="113" t="str">
        <f>IFERROR(IF(INDEX('Match Log'!$E$1:$E$1510,_xlfn.AGGREGATE(14,6,ROW('Match Log'!$A$4:$A$1510)/('Match Log'!$D$4:$D$1510=$A47),5))="Win","W","L"),"")</f>
        <v>W</v>
      </c>
      <c r="H47" s="113" t="str">
        <f>IFERROR(IF(INDEX('Match Log'!$E$1:$E$1510,_xlfn.AGGREGATE(14,6,ROW('Match Log'!$A$4:$A$1510)/('Match Log'!$D$4:$D$1510=$A47),4))="Win","W","L"),"")</f>
        <v>L</v>
      </c>
      <c r="I47" s="113" t="str">
        <f>IFERROR(IF(INDEX('Match Log'!$E$1:$E$1510,_xlfn.AGGREGATE(14,6,ROW('Match Log'!$A$4:$A$1510)/('Match Log'!$D$4:$D$1510=$A47),3))="Win","W","L"),"")</f>
        <v>W</v>
      </c>
      <c r="J47" s="113" t="str">
        <f>IFERROR(IF(INDEX('Match Log'!$E$1:$E$1510,_xlfn.AGGREGATE(14,6,ROW('Match Log'!$A$4:$A$1510)/('Match Log'!$D$4:$D$1510=$A47),2))="Win","W","L"),"")</f>
        <v>L</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W</v>
      </c>
      <c r="C50" s="113" t="str">
        <f>IFERROR(IF(INDEX('Match Log'!$E$1:$E$1510,_xlfn.AGGREGATE(14,6,ROW('Match Log'!$A$4:$A$1510)/('Match Log'!$D$4:$D$1510=$A50),9))="Win","W","L"),"")</f>
        <v>L</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L</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L</v>
      </c>
      <c r="D52" s="113" t="str">
        <f>IFERROR(IF(INDEX('Match Log'!$E$1:$E$1510,_xlfn.AGGREGATE(14,6,ROW('Match Log'!$A$4:$A$1510)/('Match Log'!$D$4:$D$1510=$A52),8))="Win","W","L"),"")</f>
        <v>W</v>
      </c>
      <c r="E52" s="113" t="str">
        <f>IFERROR(IF(INDEX('Match Log'!$E$1:$E$1510,_xlfn.AGGREGATE(14,6,ROW('Match Log'!$A$4:$A$1510)/('Match Log'!$D$4:$D$1510=$A52),7))="Win","W","L"),"")</f>
        <v>W</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0.21428571428571427</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0.8571428571428571</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0.47368421052631576</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0.45454545454545453</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0.42857142857142855</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0.61290322580645162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675" activePane="bottomRight" state="frozen"/>
      <selection pane="topRight" activeCell="F1" sqref="F1"/>
      <selection pane="bottomLeft" activeCell="A442" sqref="A442"/>
      <selection pane="bottomRight" activeCell="E711" sqref="E711"/>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45" t="s">
        <v>346</v>
      </c>
      <c r="B1" s="146"/>
      <c r="C1" s="146"/>
      <c r="D1" s="146"/>
      <c r="E1" s="146"/>
      <c r="F1" s="146"/>
      <c r="G1" s="146"/>
      <c r="H1" s="146"/>
      <c r="I1" s="146"/>
      <c r="J1" s="146"/>
      <c r="K1" s="146"/>
      <c r="L1" s="146"/>
      <c r="M1" s="146"/>
      <c r="N1" s="146"/>
      <c r="O1" s="146"/>
    </row>
    <row r="2" spans="1:32" ht="15" customHeight="1" x14ac:dyDescent="0.2">
      <c r="A2" s="147"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c r="B727" s="118"/>
      <c r="C727" s="119"/>
      <c r="D727" s="119"/>
      <c r="E727" s="117"/>
      <c r="F727" s="120">
        <f t="shared" si="220"/>
        <v>0</v>
      </c>
      <c r="G727" s="121" t="str">
        <f t="shared" si="221"/>
        <v/>
      </c>
      <c r="H727" s="122">
        <f>IF($D727="",0,IFERROR(LOOKUP(2,1/(($D$3:D726=$D727)*($A$3:A726&lt;$A727)),$N$3:N726),'Guide &amp; Settings'!$C$41))</f>
        <v>0</v>
      </c>
      <c r="I727" s="123">
        <f t="shared" si="222"/>
        <v>0</v>
      </c>
      <c r="J727" s="124">
        <f>IF($D727="",0,IF($F727&lt;2,0,IF($E727="Win",('Guide &amp; Settings'!$C$42/(($F727-1)*COUNTIFS($A$4:$A$1510,$A727,$E$4:$E$1510,"Win")))*SUMIFS($X$4:$X$1510,$A$4:$A$1510,$A727,$E$4:$E$1510,"Loss"),-('Guide &amp; Settings'!$C$42/($F727-1))*$X727)))</f>
        <v>0</v>
      </c>
      <c r="K727" s="124">
        <f>IF($D727="",0,'Guide &amp; Settings'!$C$43*(IF($E727="Win",1,0)-$I727))</f>
        <v>0</v>
      </c>
      <c r="L727" s="125">
        <f>IF($D727="",0,'Guide &amp; Settings'!$C$44*IF($F727&gt;=3,$F727,0))</f>
        <v>0</v>
      </c>
      <c r="M727" s="124">
        <f t="shared" si="223"/>
        <v>0</v>
      </c>
      <c r="N727" s="122">
        <f t="shared" si="224"/>
        <v>0</v>
      </c>
      <c r="O727" s="121" t="str">
        <f t="shared" si="225"/>
        <v/>
      </c>
      <c r="P727">
        <f t="shared" si="226"/>
        <v>0</v>
      </c>
      <c r="Q727">
        <f t="shared" si="227"/>
        <v>0</v>
      </c>
      <c r="R727">
        <f t="shared" si="228"/>
        <v>0</v>
      </c>
      <c r="S727">
        <f t="shared" si="229"/>
        <v>0</v>
      </c>
      <c r="T727" s="89">
        <f t="shared" si="230"/>
        <v>0</v>
      </c>
      <c r="U727" s="126">
        <f>IF($D727="",0,IFERROR(LOOKUP(2,1/(($D$3:D726=$D727)*($C$3:C726=$C727)*($A$3:A726&lt;$A727)),$AB$3:AB726),1000))</f>
        <v>0</v>
      </c>
      <c r="V727" s="126">
        <f t="shared" si="231"/>
        <v>0</v>
      </c>
      <c r="W727">
        <f t="shared" si="232"/>
        <v>0</v>
      </c>
      <c r="X727">
        <f t="shared" si="233"/>
        <v>0</v>
      </c>
      <c r="Y727">
        <f t="shared" si="234"/>
        <v>0</v>
      </c>
      <c r="Z727">
        <f t="shared" si="235"/>
        <v>0</v>
      </c>
      <c r="AA727">
        <f>IF($D727="",0,IF($F727&lt;2,0,IF($E727="Win",('Guide &amp; Settings'!$C$42/(($F727-1)*COUNTIFS($A$4:$A$1510,$A727,$E$4:$E$1510,"Win")))*SUMIFS($Z$4:$Z$1510,$A$4:$A$1510,$A727,$E$4:$E$1510,"Loss"),-('Guide &amp; Settings'!$C$42/($F727-1))*$Z727)))</f>
        <v>0</v>
      </c>
      <c r="AB727" s="126">
        <f t="shared" si="236"/>
        <v>0</v>
      </c>
      <c r="AC727" s="126" t="str">
        <f>IF($D727="","",IF($AD727=0,0,IF(COUNTIFS($D$4:$D727,$D727,$B$4:$B727,$B727)&gt;1,0,IF($B727&lt;'Guide &amp; Settings'!$C$50,0,IF(($B727-$AD727)/7-'Guide &amp; Settings'!$C$48&gt;=0,(INT(($B727-$AD727)/7-'Guide &amp; Settings'!$C$48)+1)*'Guide &amp; Settings'!$C$49,0)))))</f>
        <v/>
      </c>
      <c r="AD727" s="142">
        <f t="shared" si="237"/>
        <v>0</v>
      </c>
      <c r="AE727">
        <f t="shared" si="238"/>
        <v>0</v>
      </c>
      <c r="AF727">
        <f t="shared" si="239"/>
        <v>0</v>
      </c>
    </row>
    <row r="728" spans="1:32" x14ac:dyDescent="0.2">
      <c r="A728" s="117"/>
      <c r="B728" s="118"/>
      <c r="C728" s="119"/>
      <c r="D728" s="119"/>
      <c r="E728" s="117"/>
      <c r="F728" s="120">
        <f t="shared" si="220"/>
        <v>0</v>
      </c>
      <c r="G728" s="121" t="str">
        <f t="shared" si="221"/>
        <v/>
      </c>
      <c r="H728" s="122">
        <f>IF($D728="",0,IFERROR(LOOKUP(2,1/(($D$3:D727=$D728)*($A$3:A727&lt;$A728)),$N$3:N727),'Guide &amp; Settings'!$C$41))</f>
        <v>0</v>
      </c>
      <c r="I728" s="123">
        <f t="shared" si="222"/>
        <v>0</v>
      </c>
      <c r="J728" s="124">
        <f>IF($D728="",0,IF($F728&lt;2,0,IF($E728="Win",('Guide &amp; Settings'!$C$42/(($F728-1)*COUNTIFS($A$4:$A$1510,$A728,$E$4:$E$1510,"Win")))*SUMIFS($X$4:$X$1510,$A$4:$A$1510,$A728,$E$4:$E$1510,"Loss"),-('Guide &amp; Settings'!$C$42/($F728-1))*$X728)))</f>
        <v>0</v>
      </c>
      <c r="K728" s="124">
        <f>IF($D728="",0,'Guide &amp; Settings'!$C$43*(IF($E728="Win",1,0)-$I728))</f>
        <v>0</v>
      </c>
      <c r="L728" s="125">
        <f>IF($D728="",0,'Guide &amp; Settings'!$C$44*IF($F728&gt;=3,$F728,0))</f>
        <v>0</v>
      </c>
      <c r="M728" s="124">
        <f t="shared" si="223"/>
        <v>0</v>
      </c>
      <c r="N728" s="122">
        <f t="shared" si="224"/>
        <v>0</v>
      </c>
      <c r="O728" s="121" t="str">
        <f t="shared" si="225"/>
        <v/>
      </c>
      <c r="P728">
        <f t="shared" si="226"/>
        <v>0</v>
      </c>
      <c r="Q728">
        <f t="shared" si="227"/>
        <v>0</v>
      </c>
      <c r="R728">
        <f t="shared" si="228"/>
        <v>0</v>
      </c>
      <c r="S728">
        <f t="shared" si="229"/>
        <v>0</v>
      </c>
      <c r="T728" s="89">
        <f t="shared" si="230"/>
        <v>0</v>
      </c>
      <c r="U728" s="126">
        <f>IF($D728="",0,IFERROR(LOOKUP(2,1/(($D$3:D727=$D728)*($C$3:C727=$C728)*($A$3:A727&lt;$A728)),$AB$3:AB727),1000))</f>
        <v>0</v>
      </c>
      <c r="V728" s="126">
        <f t="shared" si="231"/>
        <v>0</v>
      </c>
      <c r="W728">
        <f t="shared" si="232"/>
        <v>0</v>
      </c>
      <c r="X728">
        <f t="shared" si="233"/>
        <v>0</v>
      </c>
      <c r="Y728">
        <f t="shared" si="234"/>
        <v>0</v>
      </c>
      <c r="Z728">
        <f t="shared" si="235"/>
        <v>0</v>
      </c>
      <c r="AA728">
        <f>IF($D728="",0,IF($F728&lt;2,0,IF($E728="Win",('Guide &amp; Settings'!$C$42/(($F728-1)*COUNTIFS($A$4:$A$1510,$A728,$E$4:$E$1510,"Win")))*SUMIFS($Z$4:$Z$1510,$A$4:$A$1510,$A728,$E$4:$E$1510,"Loss"),-('Guide &amp; Settings'!$C$42/($F728-1))*$Z728)))</f>
        <v>0</v>
      </c>
      <c r="AB728" s="126">
        <f t="shared" si="236"/>
        <v>0</v>
      </c>
      <c r="AC728" s="126" t="str">
        <f>IF($D728="","",IF($AD728=0,0,IF(COUNTIFS($D$4:$D728,$D728,$B$4:$B728,$B728)&gt;1,0,IF($B728&lt;'Guide &amp; Settings'!$C$50,0,IF(($B728-$AD728)/7-'Guide &amp; Settings'!$C$48&gt;=0,(INT(($B728-$AD728)/7-'Guide &amp; Settings'!$C$48)+1)*'Guide &amp; Settings'!$C$49,0)))))</f>
        <v/>
      </c>
      <c r="AD728" s="142">
        <f t="shared" si="237"/>
        <v>0</v>
      </c>
      <c r="AE728">
        <f t="shared" si="238"/>
        <v>0</v>
      </c>
      <c r="AF728">
        <f t="shared" si="239"/>
        <v>0</v>
      </c>
    </row>
    <row r="729" spans="1:32" x14ac:dyDescent="0.2">
      <c r="A729" s="117"/>
      <c r="B729" s="118"/>
      <c r="C729" s="119"/>
      <c r="D729" s="119"/>
      <c r="E729" s="117"/>
      <c r="F729" s="120">
        <f t="shared" si="220"/>
        <v>0</v>
      </c>
      <c r="G729" s="121" t="str">
        <f t="shared" si="221"/>
        <v/>
      </c>
      <c r="H729" s="122">
        <f>IF($D729="",0,IFERROR(LOOKUP(2,1/(($D$3:D728=$D729)*($A$3:A728&lt;$A729)),$N$3:N728),'Guide &amp; Settings'!$C$41))</f>
        <v>0</v>
      </c>
      <c r="I729" s="123">
        <f t="shared" si="222"/>
        <v>0</v>
      </c>
      <c r="J729" s="124">
        <f>IF($D729="",0,IF($F729&lt;2,0,IF($E729="Win",('Guide &amp; Settings'!$C$42/(($F729-1)*COUNTIFS($A$4:$A$1510,$A729,$E$4:$E$1510,"Win")))*SUMIFS($X$4:$X$1510,$A$4:$A$1510,$A729,$E$4:$E$1510,"Loss"),-('Guide &amp; Settings'!$C$42/($F729-1))*$X729)))</f>
        <v>0</v>
      </c>
      <c r="K729" s="124">
        <f>IF($D729="",0,'Guide &amp; Settings'!$C$43*(IF($E729="Win",1,0)-$I729))</f>
        <v>0</v>
      </c>
      <c r="L729" s="125">
        <f>IF($D729="",0,'Guide &amp; Settings'!$C$44*IF($F729&gt;=3,$F729,0))</f>
        <v>0</v>
      </c>
      <c r="M729" s="124">
        <f t="shared" si="223"/>
        <v>0</v>
      </c>
      <c r="N729" s="122">
        <f t="shared" si="224"/>
        <v>0</v>
      </c>
      <c r="O729" s="121" t="str">
        <f t="shared" si="225"/>
        <v/>
      </c>
      <c r="P729">
        <f t="shared" si="226"/>
        <v>0</v>
      </c>
      <c r="Q729">
        <f t="shared" si="227"/>
        <v>0</v>
      </c>
      <c r="R729">
        <f t="shared" si="228"/>
        <v>0</v>
      </c>
      <c r="S729">
        <f t="shared" si="229"/>
        <v>0</v>
      </c>
      <c r="T729" s="89">
        <f t="shared" si="230"/>
        <v>0</v>
      </c>
      <c r="U729" s="126">
        <f>IF($D729="",0,IFERROR(LOOKUP(2,1/(($D$3:D728=$D729)*($C$3:C728=$C729)*($A$3:A728&lt;$A729)),$AB$3:AB728),1000))</f>
        <v>0</v>
      </c>
      <c r="V729" s="126">
        <f t="shared" si="231"/>
        <v>0</v>
      </c>
      <c r="W729">
        <f t="shared" si="232"/>
        <v>0</v>
      </c>
      <c r="X729">
        <f t="shared" si="233"/>
        <v>0</v>
      </c>
      <c r="Y729">
        <f t="shared" si="234"/>
        <v>0</v>
      </c>
      <c r="Z729">
        <f t="shared" si="235"/>
        <v>0</v>
      </c>
      <c r="AA729">
        <f>IF($D729="",0,IF($F729&lt;2,0,IF($E729="Win",('Guide &amp; Settings'!$C$42/(($F729-1)*COUNTIFS($A$4:$A$1510,$A729,$E$4:$E$1510,"Win")))*SUMIFS($Z$4:$Z$1510,$A$4:$A$1510,$A729,$E$4:$E$1510,"Loss"),-('Guide &amp; Settings'!$C$42/($F729-1))*$Z729)))</f>
        <v>0</v>
      </c>
      <c r="AB729" s="126">
        <f t="shared" si="236"/>
        <v>0</v>
      </c>
      <c r="AC729" s="126" t="str">
        <f>IF($D729="","",IF($AD729=0,0,IF(COUNTIFS($D$4:$D729,$D729,$B$4:$B729,$B729)&gt;1,0,IF($B729&lt;'Guide &amp; Settings'!$C$50,0,IF(($B729-$AD729)/7-'Guide &amp; Settings'!$C$48&gt;=0,(INT(($B729-$AD729)/7-'Guide &amp; Settings'!$C$48)+1)*'Guide &amp; Settings'!$C$49,0)))))</f>
        <v/>
      </c>
      <c r="AD729" s="142">
        <f t="shared" si="237"/>
        <v>0</v>
      </c>
      <c r="AE729">
        <f t="shared" si="238"/>
        <v>0</v>
      </c>
      <c r="AF729">
        <f t="shared" si="239"/>
        <v>0</v>
      </c>
    </row>
    <row r="730" spans="1:32" x14ac:dyDescent="0.2">
      <c r="A730" s="117"/>
      <c r="B730" s="118"/>
      <c r="C730" s="119"/>
      <c r="D730" s="119"/>
      <c r="E730" s="117"/>
      <c r="F730" s="120">
        <f t="shared" si="220"/>
        <v>0</v>
      </c>
      <c r="G730" s="121" t="str">
        <f t="shared" si="221"/>
        <v/>
      </c>
      <c r="H730" s="122">
        <f>IF($D730="",0,IFERROR(LOOKUP(2,1/(($D$3:D729=$D730)*($A$3:A729&lt;$A730)),$N$3:N729),'Guide &amp; Settings'!$C$41))</f>
        <v>0</v>
      </c>
      <c r="I730" s="123">
        <f t="shared" si="222"/>
        <v>0</v>
      </c>
      <c r="J730" s="124">
        <f>IF($D730="",0,IF($F730&lt;2,0,IF($E730="Win",('Guide &amp; Settings'!$C$42/(($F730-1)*COUNTIFS($A$4:$A$1510,$A730,$E$4:$E$1510,"Win")))*SUMIFS($X$4:$X$1510,$A$4:$A$1510,$A730,$E$4:$E$1510,"Loss"),-('Guide &amp; Settings'!$C$42/($F730-1))*$X730)))</f>
        <v>0</v>
      </c>
      <c r="K730" s="124">
        <f>IF($D730="",0,'Guide &amp; Settings'!$C$43*(IF($E730="Win",1,0)-$I730))</f>
        <v>0</v>
      </c>
      <c r="L730" s="125">
        <f>IF($D730="",0,'Guide &amp; Settings'!$C$44*IF($F730&gt;=3,$F730,0))</f>
        <v>0</v>
      </c>
      <c r="M730" s="124">
        <f t="shared" si="223"/>
        <v>0</v>
      </c>
      <c r="N730" s="122">
        <f t="shared" si="224"/>
        <v>0</v>
      </c>
      <c r="O730" s="121" t="str">
        <f t="shared" si="225"/>
        <v/>
      </c>
      <c r="P730">
        <f t="shared" si="226"/>
        <v>0</v>
      </c>
      <c r="Q730">
        <f t="shared" si="227"/>
        <v>0</v>
      </c>
      <c r="R730">
        <f t="shared" si="228"/>
        <v>0</v>
      </c>
      <c r="S730">
        <f t="shared" si="229"/>
        <v>0</v>
      </c>
      <c r="T730" s="89">
        <f t="shared" si="230"/>
        <v>0</v>
      </c>
      <c r="U730" s="126">
        <f>IF($D730="",0,IFERROR(LOOKUP(2,1/(($D$3:D729=$D730)*($C$3:C729=$C730)*($A$3:A729&lt;$A730)),$AB$3:AB729),1000))</f>
        <v>0</v>
      </c>
      <c r="V730" s="126">
        <f t="shared" si="231"/>
        <v>0</v>
      </c>
      <c r="W730">
        <f t="shared" si="232"/>
        <v>0</v>
      </c>
      <c r="X730">
        <f t="shared" si="233"/>
        <v>0</v>
      </c>
      <c r="Y730">
        <f t="shared" si="234"/>
        <v>0</v>
      </c>
      <c r="Z730">
        <f t="shared" si="235"/>
        <v>0</v>
      </c>
      <c r="AA730">
        <f>IF($D730="",0,IF($F730&lt;2,0,IF($E730="Win",('Guide &amp; Settings'!$C$42/(($F730-1)*COUNTIFS($A$4:$A$1510,$A730,$E$4:$E$1510,"Win")))*SUMIFS($Z$4:$Z$1510,$A$4:$A$1510,$A730,$E$4:$E$1510,"Loss"),-('Guide &amp; Settings'!$C$42/($F730-1))*$Z730)))</f>
        <v>0</v>
      </c>
      <c r="AB730" s="126">
        <f t="shared" si="236"/>
        <v>0</v>
      </c>
      <c r="AC730" s="126" t="str">
        <f>IF($D730="","",IF($AD730=0,0,IF(COUNTIFS($D$4:$D730,$D730,$B$4:$B730,$B730)&gt;1,0,IF($B730&lt;'Guide &amp; Settings'!$C$50,0,IF(($B730-$AD730)/7-'Guide &amp; Settings'!$C$48&gt;=0,(INT(($B730-$AD730)/7-'Guide &amp; Settings'!$C$48)+1)*'Guide &amp; Settings'!$C$49,0)))))</f>
        <v/>
      </c>
      <c r="AD730" s="142">
        <f t="shared" si="237"/>
        <v>0</v>
      </c>
      <c r="AE730">
        <f t="shared" si="238"/>
        <v>0</v>
      </c>
      <c r="AF730">
        <f t="shared" si="239"/>
        <v>0</v>
      </c>
    </row>
    <row r="731" spans="1:32" x14ac:dyDescent="0.2">
      <c r="A731" s="117"/>
      <c r="B731" s="118"/>
      <c r="C731" s="119"/>
      <c r="D731" s="119"/>
      <c r="E731" s="117"/>
      <c r="F731" s="120">
        <f t="shared" si="220"/>
        <v>0</v>
      </c>
      <c r="G731" s="121" t="str">
        <f t="shared" si="221"/>
        <v/>
      </c>
      <c r="H731" s="122">
        <f>IF($D731="",0,IFERROR(LOOKUP(2,1/(($D$3:D730=$D731)*($A$3:A730&lt;$A731)),$N$3:N730),'Guide &amp; Settings'!$C$41))</f>
        <v>0</v>
      </c>
      <c r="I731" s="123">
        <f t="shared" si="222"/>
        <v>0</v>
      </c>
      <c r="J731" s="124">
        <f>IF($D731="",0,IF($F731&lt;2,0,IF($E731="Win",('Guide &amp; Settings'!$C$42/(($F731-1)*COUNTIFS($A$4:$A$1510,$A731,$E$4:$E$1510,"Win")))*SUMIFS($X$4:$X$1510,$A$4:$A$1510,$A731,$E$4:$E$1510,"Loss"),-('Guide &amp; Settings'!$C$42/($F731-1))*$X731)))</f>
        <v>0</v>
      </c>
      <c r="K731" s="124">
        <f>IF($D731="",0,'Guide &amp; Settings'!$C$43*(IF($E731="Win",1,0)-$I731))</f>
        <v>0</v>
      </c>
      <c r="L731" s="125">
        <f>IF($D731="",0,'Guide &amp; Settings'!$C$44*IF($F731&gt;=3,$F731,0))</f>
        <v>0</v>
      </c>
      <c r="M731" s="124">
        <f t="shared" si="223"/>
        <v>0</v>
      </c>
      <c r="N731" s="122">
        <f t="shared" si="224"/>
        <v>0</v>
      </c>
      <c r="O731" s="121" t="str">
        <f t="shared" si="225"/>
        <v/>
      </c>
      <c r="P731">
        <f t="shared" si="226"/>
        <v>0</v>
      </c>
      <c r="Q731">
        <f t="shared" si="227"/>
        <v>0</v>
      </c>
      <c r="R731">
        <f t="shared" si="228"/>
        <v>0</v>
      </c>
      <c r="S731">
        <f t="shared" si="229"/>
        <v>0</v>
      </c>
      <c r="T731" s="89">
        <f t="shared" si="230"/>
        <v>0</v>
      </c>
      <c r="U731" s="126">
        <f>IF($D731="",0,IFERROR(LOOKUP(2,1/(($D$3:D730=$D731)*($C$3:C730=$C731)*($A$3:A730&lt;$A731)),$AB$3:AB730),1000))</f>
        <v>0</v>
      </c>
      <c r="V731" s="126">
        <f t="shared" si="231"/>
        <v>0</v>
      </c>
      <c r="W731">
        <f t="shared" si="232"/>
        <v>0</v>
      </c>
      <c r="X731">
        <f t="shared" si="233"/>
        <v>0</v>
      </c>
      <c r="Y731">
        <f t="shared" si="234"/>
        <v>0</v>
      </c>
      <c r="Z731">
        <f t="shared" si="235"/>
        <v>0</v>
      </c>
      <c r="AA731">
        <f>IF($D731="",0,IF($F731&lt;2,0,IF($E731="Win",('Guide &amp; Settings'!$C$42/(($F731-1)*COUNTIFS($A$4:$A$1510,$A731,$E$4:$E$1510,"Win")))*SUMIFS($Z$4:$Z$1510,$A$4:$A$1510,$A731,$E$4:$E$1510,"Loss"),-('Guide &amp; Settings'!$C$42/($F731-1))*$Z731)))</f>
        <v>0</v>
      </c>
      <c r="AB731" s="126">
        <f t="shared" si="236"/>
        <v>0</v>
      </c>
      <c r="AC731" s="126" t="str">
        <f>IF($D731="","",IF($AD731=0,0,IF(COUNTIFS($D$4:$D731,$D731,$B$4:$B731,$B731)&gt;1,0,IF($B731&lt;'Guide &amp; Settings'!$C$50,0,IF(($B731-$AD731)/7-'Guide &amp; Settings'!$C$48&gt;=0,(INT(($B731-$AD731)/7-'Guide &amp; Settings'!$C$48)+1)*'Guide &amp; Settings'!$C$49,0)))))</f>
        <v/>
      </c>
      <c r="AD731" s="142">
        <f t="shared" si="237"/>
        <v>0</v>
      </c>
      <c r="AE731">
        <f t="shared" si="238"/>
        <v>0</v>
      </c>
      <c r="AF731">
        <f t="shared" si="239"/>
        <v>0</v>
      </c>
    </row>
    <row r="732" spans="1:32" x14ac:dyDescent="0.2">
      <c r="A732" s="117"/>
      <c r="B732" s="118"/>
      <c r="C732" s="119"/>
      <c r="D732" s="119"/>
      <c r="E732" s="117"/>
      <c r="F732" s="120">
        <f t="shared" si="220"/>
        <v>0</v>
      </c>
      <c r="G732" s="121" t="str">
        <f t="shared" si="221"/>
        <v/>
      </c>
      <c r="H732" s="122">
        <f>IF($D732="",0,IFERROR(LOOKUP(2,1/(($D$3:D731=$D732)*($A$3:A731&lt;$A732)),$N$3:N731),'Guide &amp; Settings'!$C$41))</f>
        <v>0</v>
      </c>
      <c r="I732" s="123">
        <f t="shared" si="222"/>
        <v>0</v>
      </c>
      <c r="J732" s="124">
        <f>IF($D732="",0,IF($F732&lt;2,0,IF($E732="Win",('Guide &amp; Settings'!$C$42/(($F732-1)*COUNTIFS($A$4:$A$1510,$A732,$E$4:$E$1510,"Win")))*SUMIFS($X$4:$X$1510,$A$4:$A$1510,$A732,$E$4:$E$1510,"Loss"),-('Guide &amp; Settings'!$C$42/($F732-1))*$X732)))</f>
        <v>0</v>
      </c>
      <c r="K732" s="124">
        <f>IF($D732="",0,'Guide &amp; Settings'!$C$43*(IF($E732="Win",1,0)-$I732))</f>
        <v>0</v>
      </c>
      <c r="L732" s="125">
        <f>IF($D732="",0,'Guide &amp; Settings'!$C$44*IF($F732&gt;=3,$F732,0))</f>
        <v>0</v>
      </c>
      <c r="M732" s="124">
        <f t="shared" si="223"/>
        <v>0</v>
      </c>
      <c r="N732" s="122">
        <f t="shared" si="224"/>
        <v>0</v>
      </c>
      <c r="O732" s="121" t="str">
        <f t="shared" si="225"/>
        <v/>
      </c>
      <c r="P732">
        <f t="shared" si="226"/>
        <v>0</v>
      </c>
      <c r="Q732">
        <f t="shared" si="227"/>
        <v>0</v>
      </c>
      <c r="R732">
        <f t="shared" si="228"/>
        <v>0</v>
      </c>
      <c r="S732">
        <f t="shared" si="229"/>
        <v>0</v>
      </c>
      <c r="T732" s="89">
        <f t="shared" si="230"/>
        <v>0</v>
      </c>
      <c r="U732" s="126">
        <f>IF($D732="",0,IFERROR(LOOKUP(2,1/(($D$3:D731=$D732)*($C$3:C731=$C732)*($A$3:A731&lt;$A732)),$AB$3:AB731),1000))</f>
        <v>0</v>
      </c>
      <c r="V732" s="126">
        <f t="shared" si="231"/>
        <v>0</v>
      </c>
      <c r="W732">
        <f t="shared" si="232"/>
        <v>0</v>
      </c>
      <c r="X732">
        <f t="shared" si="233"/>
        <v>0</v>
      </c>
      <c r="Y732">
        <f t="shared" si="234"/>
        <v>0</v>
      </c>
      <c r="Z732">
        <f t="shared" si="235"/>
        <v>0</v>
      </c>
      <c r="AA732">
        <f>IF($D732="",0,IF($F732&lt;2,0,IF($E732="Win",('Guide &amp; Settings'!$C$42/(($F732-1)*COUNTIFS($A$4:$A$1510,$A732,$E$4:$E$1510,"Win")))*SUMIFS($Z$4:$Z$1510,$A$4:$A$1510,$A732,$E$4:$E$1510,"Loss"),-('Guide &amp; Settings'!$C$42/($F732-1))*$Z732)))</f>
        <v>0</v>
      </c>
      <c r="AB732" s="126">
        <f t="shared" si="236"/>
        <v>0</v>
      </c>
      <c r="AC732" s="126" t="str">
        <f>IF($D732="","",IF($AD732=0,0,IF(COUNTIFS($D$4:$D732,$D732,$B$4:$B732,$B732)&gt;1,0,IF($B732&lt;'Guide &amp; Settings'!$C$50,0,IF(($B732-$AD732)/7-'Guide &amp; Settings'!$C$48&gt;=0,(INT(($B732-$AD732)/7-'Guide &amp; Settings'!$C$48)+1)*'Guide &amp; Settings'!$C$49,0)))))</f>
        <v/>
      </c>
      <c r="AD732" s="142">
        <f t="shared" si="237"/>
        <v>0</v>
      </c>
      <c r="AE732">
        <f t="shared" si="238"/>
        <v>0</v>
      </c>
      <c r="AF732">
        <f t="shared" si="239"/>
        <v>0</v>
      </c>
    </row>
    <row r="733" spans="1:32" x14ac:dyDescent="0.2">
      <c r="A733" s="117"/>
      <c r="B733" s="118"/>
      <c r="C733" s="119"/>
      <c r="D733" s="119"/>
      <c r="E733" s="117"/>
      <c r="F733" s="120">
        <f t="shared" si="220"/>
        <v>0</v>
      </c>
      <c r="G733" s="121" t="str">
        <f t="shared" si="221"/>
        <v/>
      </c>
      <c r="H733" s="122">
        <f>IF($D733="",0,IFERROR(LOOKUP(2,1/(($D$3:D732=$D733)*($A$3:A732&lt;$A733)),$N$3:N732),'Guide &amp; Settings'!$C$41))</f>
        <v>0</v>
      </c>
      <c r="I733" s="123">
        <f t="shared" si="222"/>
        <v>0</v>
      </c>
      <c r="J733" s="124">
        <f>IF($D733="",0,IF($F733&lt;2,0,IF($E733="Win",('Guide &amp; Settings'!$C$42/(($F733-1)*COUNTIFS($A$4:$A$1510,$A733,$E$4:$E$1510,"Win")))*SUMIFS($X$4:$X$1510,$A$4:$A$1510,$A733,$E$4:$E$1510,"Loss"),-('Guide &amp; Settings'!$C$42/($F733-1))*$X733)))</f>
        <v>0</v>
      </c>
      <c r="K733" s="124">
        <f>IF($D733="",0,'Guide &amp; Settings'!$C$43*(IF($E733="Win",1,0)-$I733))</f>
        <v>0</v>
      </c>
      <c r="L733" s="125">
        <f>IF($D733="",0,'Guide &amp; Settings'!$C$44*IF($F733&gt;=3,$F733,0))</f>
        <v>0</v>
      </c>
      <c r="M733" s="124">
        <f t="shared" si="223"/>
        <v>0</v>
      </c>
      <c r="N733" s="122">
        <f t="shared" si="224"/>
        <v>0</v>
      </c>
      <c r="O733" s="121" t="str">
        <f t="shared" si="225"/>
        <v/>
      </c>
      <c r="P733">
        <f t="shared" si="226"/>
        <v>0</v>
      </c>
      <c r="Q733">
        <f t="shared" si="227"/>
        <v>0</v>
      </c>
      <c r="R733">
        <f t="shared" si="228"/>
        <v>0</v>
      </c>
      <c r="S733">
        <f t="shared" si="229"/>
        <v>0</v>
      </c>
      <c r="T733" s="89">
        <f t="shared" si="230"/>
        <v>0</v>
      </c>
      <c r="U733" s="126">
        <f>IF($D733="",0,IFERROR(LOOKUP(2,1/(($D$3:D732=$D733)*($C$3:C732=$C733)*($A$3:A732&lt;$A733)),$AB$3:AB732),1000))</f>
        <v>0</v>
      </c>
      <c r="V733" s="126">
        <f t="shared" si="231"/>
        <v>0</v>
      </c>
      <c r="W733">
        <f t="shared" si="232"/>
        <v>0</v>
      </c>
      <c r="X733">
        <f t="shared" si="233"/>
        <v>0</v>
      </c>
      <c r="Y733">
        <f t="shared" si="234"/>
        <v>0</v>
      </c>
      <c r="Z733">
        <f t="shared" si="235"/>
        <v>0</v>
      </c>
      <c r="AA733">
        <f>IF($D733="",0,IF($F733&lt;2,0,IF($E733="Win",('Guide &amp; Settings'!$C$42/(($F733-1)*COUNTIFS($A$4:$A$1510,$A733,$E$4:$E$1510,"Win")))*SUMIFS($Z$4:$Z$1510,$A$4:$A$1510,$A733,$E$4:$E$1510,"Loss"),-('Guide &amp; Settings'!$C$42/($F733-1))*$Z733)))</f>
        <v>0</v>
      </c>
      <c r="AB733" s="126">
        <f t="shared" si="236"/>
        <v>0</v>
      </c>
      <c r="AC733" s="126" t="str">
        <f>IF($D733="","",IF($AD733=0,0,IF(COUNTIFS($D$4:$D733,$D733,$B$4:$B733,$B733)&gt;1,0,IF($B733&lt;'Guide &amp; Settings'!$C$50,0,IF(($B733-$AD733)/7-'Guide &amp; Settings'!$C$48&gt;=0,(INT(($B733-$AD733)/7-'Guide &amp; Settings'!$C$48)+1)*'Guide &amp; Settings'!$C$49,0)))))</f>
        <v/>
      </c>
      <c r="AD733" s="142">
        <f t="shared" si="237"/>
        <v>0</v>
      </c>
      <c r="AE733">
        <f t="shared" si="238"/>
        <v>0</v>
      </c>
      <c r="AF733">
        <f t="shared" si="239"/>
        <v>0</v>
      </c>
    </row>
    <row r="734" spans="1:32" x14ac:dyDescent="0.2">
      <c r="A734" s="117"/>
      <c r="B734" s="118"/>
      <c r="C734" s="119"/>
      <c r="D734" s="119"/>
      <c r="E734" s="117"/>
      <c r="F734" s="120">
        <f t="shared" si="220"/>
        <v>0</v>
      </c>
      <c r="G734" s="121" t="str">
        <f t="shared" si="221"/>
        <v/>
      </c>
      <c r="H734" s="122">
        <f>IF($D734="",0,IFERROR(LOOKUP(2,1/(($D$3:D733=$D734)*($A$3:A733&lt;$A734)),$N$3:N733),'Guide &amp; Settings'!$C$41))</f>
        <v>0</v>
      </c>
      <c r="I734" s="123">
        <f t="shared" si="222"/>
        <v>0</v>
      </c>
      <c r="J734" s="124">
        <f>IF($D734="",0,IF($F734&lt;2,0,IF($E734="Win",('Guide &amp; Settings'!$C$42/(($F734-1)*COUNTIFS($A$4:$A$1510,$A734,$E$4:$E$1510,"Win")))*SUMIFS($X$4:$X$1510,$A$4:$A$1510,$A734,$E$4:$E$1510,"Loss"),-('Guide &amp; Settings'!$C$42/($F734-1))*$X734)))</f>
        <v>0</v>
      </c>
      <c r="K734" s="124">
        <f>IF($D734="",0,'Guide &amp; Settings'!$C$43*(IF($E734="Win",1,0)-$I734))</f>
        <v>0</v>
      </c>
      <c r="L734" s="125">
        <f>IF($D734="",0,'Guide &amp; Settings'!$C$44*IF($F734&gt;=3,$F734,0))</f>
        <v>0</v>
      </c>
      <c r="M734" s="124">
        <f t="shared" si="223"/>
        <v>0</v>
      </c>
      <c r="N734" s="122">
        <f t="shared" si="224"/>
        <v>0</v>
      </c>
      <c r="O734" s="121" t="str">
        <f t="shared" si="225"/>
        <v/>
      </c>
      <c r="P734">
        <f t="shared" si="226"/>
        <v>0</v>
      </c>
      <c r="Q734">
        <f t="shared" si="227"/>
        <v>0</v>
      </c>
      <c r="R734">
        <f t="shared" si="228"/>
        <v>0</v>
      </c>
      <c r="S734">
        <f t="shared" si="229"/>
        <v>0</v>
      </c>
      <c r="T734" s="89">
        <f t="shared" si="230"/>
        <v>0</v>
      </c>
      <c r="U734" s="126">
        <f>IF($D734="",0,IFERROR(LOOKUP(2,1/(($D$3:D733=$D734)*($C$3:C733=$C734)*($A$3:A733&lt;$A734)),$AB$3:AB733),1000))</f>
        <v>0</v>
      </c>
      <c r="V734" s="126">
        <f t="shared" si="231"/>
        <v>0</v>
      </c>
      <c r="W734">
        <f t="shared" si="232"/>
        <v>0</v>
      </c>
      <c r="X734">
        <f t="shared" si="233"/>
        <v>0</v>
      </c>
      <c r="Y734">
        <f t="shared" si="234"/>
        <v>0</v>
      </c>
      <c r="Z734">
        <f t="shared" si="235"/>
        <v>0</v>
      </c>
      <c r="AA734">
        <f>IF($D734="",0,IF($F734&lt;2,0,IF($E734="Win",('Guide &amp; Settings'!$C$42/(($F734-1)*COUNTIFS($A$4:$A$1510,$A734,$E$4:$E$1510,"Win")))*SUMIFS($Z$4:$Z$1510,$A$4:$A$1510,$A734,$E$4:$E$1510,"Loss"),-('Guide &amp; Settings'!$C$42/($F734-1))*$Z734)))</f>
        <v>0</v>
      </c>
      <c r="AB734" s="126">
        <f t="shared" si="236"/>
        <v>0</v>
      </c>
      <c r="AC734" s="126" t="str">
        <f>IF($D734="","",IF($AD734=0,0,IF(COUNTIFS($D$4:$D734,$D734,$B$4:$B734,$B734)&gt;1,0,IF($B734&lt;'Guide &amp; Settings'!$C$50,0,IF(($B734-$AD734)/7-'Guide &amp; Settings'!$C$48&gt;=0,(INT(($B734-$AD734)/7-'Guide &amp; Settings'!$C$48)+1)*'Guide &amp; Settings'!$C$49,0)))))</f>
        <v/>
      </c>
      <c r="AD734" s="142">
        <f t="shared" si="237"/>
        <v>0</v>
      </c>
      <c r="AE734">
        <f t="shared" si="238"/>
        <v>0</v>
      </c>
      <c r="AF734">
        <f t="shared" si="239"/>
        <v>0</v>
      </c>
    </row>
    <row r="735" spans="1:32" x14ac:dyDescent="0.2">
      <c r="A735" s="117"/>
      <c r="B735" s="118"/>
      <c r="C735" s="119"/>
      <c r="D735" s="119"/>
      <c r="E735" s="117"/>
      <c r="F735" s="120">
        <f t="shared" si="220"/>
        <v>0</v>
      </c>
      <c r="G735" s="121" t="str">
        <f t="shared" si="221"/>
        <v/>
      </c>
      <c r="H735" s="122">
        <f>IF($D735="",0,IFERROR(LOOKUP(2,1/(($D$3:D734=$D735)*($A$3:A734&lt;$A735)),$N$3:N734),'Guide &amp; Settings'!$C$41))</f>
        <v>0</v>
      </c>
      <c r="I735" s="123">
        <f t="shared" si="222"/>
        <v>0</v>
      </c>
      <c r="J735" s="124">
        <f>IF($D735="",0,IF($F735&lt;2,0,IF($E735="Win",('Guide &amp; Settings'!$C$42/(($F735-1)*COUNTIFS($A$4:$A$1510,$A735,$E$4:$E$1510,"Win")))*SUMIFS($X$4:$X$1510,$A$4:$A$1510,$A735,$E$4:$E$1510,"Loss"),-('Guide &amp; Settings'!$C$42/($F735-1))*$X735)))</f>
        <v>0</v>
      </c>
      <c r="K735" s="124">
        <f>IF($D735="",0,'Guide &amp; Settings'!$C$43*(IF($E735="Win",1,0)-$I735))</f>
        <v>0</v>
      </c>
      <c r="L735" s="125">
        <f>IF($D735="",0,'Guide &amp; Settings'!$C$44*IF($F735&gt;=3,$F735,0))</f>
        <v>0</v>
      </c>
      <c r="M735" s="124">
        <f t="shared" si="223"/>
        <v>0</v>
      </c>
      <c r="N735" s="122">
        <f t="shared" si="224"/>
        <v>0</v>
      </c>
      <c r="O735" s="121" t="str">
        <f t="shared" si="225"/>
        <v/>
      </c>
      <c r="P735">
        <f t="shared" si="226"/>
        <v>0</v>
      </c>
      <c r="Q735">
        <f t="shared" si="227"/>
        <v>0</v>
      </c>
      <c r="R735">
        <f t="shared" si="228"/>
        <v>0</v>
      </c>
      <c r="S735">
        <f t="shared" si="229"/>
        <v>0</v>
      </c>
      <c r="T735" s="89">
        <f t="shared" si="230"/>
        <v>0</v>
      </c>
      <c r="U735" s="126">
        <f>IF($D735="",0,IFERROR(LOOKUP(2,1/(($D$3:D734=$D735)*($C$3:C734=$C735)*($A$3:A734&lt;$A735)),$AB$3:AB734),1000))</f>
        <v>0</v>
      </c>
      <c r="V735" s="126">
        <f t="shared" si="231"/>
        <v>0</v>
      </c>
      <c r="W735">
        <f t="shared" si="232"/>
        <v>0</v>
      </c>
      <c r="X735">
        <f t="shared" si="233"/>
        <v>0</v>
      </c>
      <c r="Y735">
        <f t="shared" si="234"/>
        <v>0</v>
      </c>
      <c r="Z735">
        <f t="shared" si="235"/>
        <v>0</v>
      </c>
      <c r="AA735">
        <f>IF($D735="",0,IF($F735&lt;2,0,IF($E735="Win",('Guide &amp; Settings'!$C$42/(($F735-1)*COUNTIFS($A$4:$A$1510,$A735,$E$4:$E$1510,"Win")))*SUMIFS($Z$4:$Z$1510,$A$4:$A$1510,$A735,$E$4:$E$1510,"Loss"),-('Guide &amp; Settings'!$C$42/($F735-1))*$Z735)))</f>
        <v>0</v>
      </c>
      <c r="AB735" s="126">
        <f t="shared" si="236"/>
        <v>0</v>
      </c>
      <c r="AC735" s="126" t="str">
        <f>IF($D735="","",IF($AD735=0,0,IF(COUNTIFS($D$4:$D735,$D735,$B$4:$B735,$B735)&gt;1,0,IF($B735&lt;'Guide &amp; Settings'!$C$50,0,IF(($B735-$AD735)/7-'Guide &amp; Settings'!$C$48&gt;=0,(INT(($B735-$AD735)/7-'Guide &amp; Settings'!$C$48)+1)*'Guide &amp; Settings'!$C$49,0)))))</f>
        <v/>
      </c>
      <c r="AD735" s="142">
        <f t="shared" si="237"/>
        <v>0</v>
      </c>
      <c r="AE735">
        <f t="shared" si="238"/>
        <v>0</v>
      </c>
      <c r="AF735">
        <f t="shared" si="239"/>
        <v>0</v>
      </c>
    </row>
    <row r="736" spans="1:32" x14ac:dyDescent="0.2">
      <c r="A736" s="117"/>
      <c r="B736" s="118"/>
      <c r="C736" s="119"/>
      <c r="D736" s="119"/>
      <c r="E736" s="117"/>
      <c r="F736" s="120">
        <f t="shared" si="220"/>
        <v>0</v>
      </c>
      <c r="G736" s="121" t="str">
        <f t="shared" si="221"/>
        <v/>
      </c>
      <c r="H736" s="122">
        <f>IF($D736="",0,IFERROR(LOOKUP(2,1/(($D$3:D735=$D736)*($A$3:A735&lt;$A736)),$N$3:N735),'Guide &amp; Settings'!$C$41))</f>
        <v>0</v>
      </c>
      <c r="I736" s="123">
        <f t="shared" si="222"/>
        <v>0</v>
      </c>
      <c r="J736" s="124">
        <f>IF($D736="",0,IF($F736&lt;2,0,IF($E736="Win",('Guide &amp; Settings'!$C$42/(($F736-1)*COUNTIFS($A$4:$A$1510,$A736,$E$4:$E$1510,"Win")))*SUMIFS($X$4:$X$1510,$A$4:$A$1510,$A736,$E$4:$E$1510,"Loss"),-('Guide &amp; Settings'!$C$42/($F736-1))*$X736)))</f>
        <v>0</v>
      </c>
      <c r="K736" s="124">
        <f>IF($D736="",0,'Guide &amp; Settings'!$C$43*(IF($E736="Win",1,0)-$I736))</f>
        <v>0</v>
      </c>
      <c r="L736" s="125">
        <f>IF($D736="",0,'Guide &amp; Settings'!$C$44*IF($F736&gt;=3,$F736,0))</f>
        <v>0</v>
      </c>
      <c r="M736" s="124">
        <f t="shared" si="223"/>
        <v>0</v>
      </c>
      <c r="N736" s="122">
        <f t="shared" si="224"/>
        <v>0</v>
      </c>
      <c r="O736" s="121" t="str">
        <f t="shared" si="225"/>
        <v/>
      </c>
      <c r="P736">
        <f t="shared" si="226"/>
        <v>0</v>
      </c>
      <c r="Q736">
        <f t="shared" si="227"/>
        <v>0</v>
      </c>
      <c r="R736">
        <f t="shared" si="228"/>
        <v>0</v>
      </c>
      <c r="S736">
        <f t="shared" si="229"/>
        <v>0</v>
      </c>
      <c r="T736" s="89">
        <f t="shared" si="230"/>
        <v>0</v>
      </c>
      <c r="U736" s="126">
        <f>IF($D736="",0,IFERROR(LOOKUP(2,1/(($D$3:D735=$D736)*($C$3:C735=$C736)*($A$3:A735&lt;$A736)),$AB$3:AB735),1000))</f>
        <v>0</v>
      </c>
      <c r="V736" s="126">
        <f t="shared" si="231"/>
        <v>0</v>
      </c>
      <c r="W736">
        <f t="shared" si="232"/>
        <v>0</v>
      </c>
      <c r="X736">
        <f t="shared" si="233"/>
        <v>0</v>
      </c>
      <c r="Y736">
        <f t="shared" si="234"/>
        <v>0</v>
      </c>
      <c r="Z736">
        <f t="shared" si="235"/>
        <v>0</v>
      </c>
      <c r="AA736">
        <f>IF($D736="",0,IF($F736&lt;2,0,IF($E736="Win",('Guide &amp; Settings'!$C$42/(($F736-1)*COUNTIFS($A$4:$A$1510,$A736,$E$4:$E$1510,"Win")))*SUMIFS($Z$4:$Z$1510,$A$4:$A$1510,$A736,$E$4:$E$1510,"Loss"),-('Guide &amp; Settings'!$C$42/($F736-1))*$Z736)))</f>
        <v>0</v>
      </c>
      <c r="AB736" s="126">
        <f t="shared" si="236"/>
        <v>0</v>
      </c>
      <c r="AC736" s="126" t="str">
        <f>IF($D736="","",IF($AD736=0,0,IF(COUNTIFS($D$4:$D736,$D736,$B$4:$B736,$B736)&gt;1,0,IF($B736&lt;'Guide &amp; Settings'!$C$50,0,IF(($B736-$AD736)/7-'Guide &amp; Settings'!$C$48&gt;=0,(INT(($B736-$AD736)/7-'Guide &amp; Settings'!$C$48)+1)*'Guide &amp; Settings'!$C$49,0)))))</f>
        <v/>
      </c>
      <c r="AD736" s="142">
        <f t="shared" si="237"/>
        <v>0</v>
      </c>
      <c r="AE736">
        <f t="shared" si="238"/>
        <v>0</v>
      </c>
      <c r="AF736">
        <f t="shared" si="239"/>
        <v>0</v>
      </c>
    </row>
    <row r="737" spans="1:32" x14ac:dyDescent="0.2">
      <c r="A737" s="117"/>
      <c r="B737" s="118"/>
      <c r="C737" s="119"/>
      <c r="D737" s="119"/>
      <c r="E737" s="117"/>
      <c r="F737" s="120">
        <f t="shared" si="220"/>
        <v>0</v>
      </c>
      <c r="G737" s="121" t="str">
        <f t="shared" si="221"/>
        <v/>
      </c>
      <c r="H737" s="122">
        <f>IF($D737="",0,IFERROR(LOOKUP(2,1/(($D$3:D736=$D737)*($A$3:A736&lt;$A737)),$N$3:N736),'Guide &amp; Settings'!$C$41))</f>
        <v>0</v>
      </c>
      <c r="I737" s="123">
        <f t="shared" si="222"/>
        <v>0</v>
      </c>
      <c r="J737" s="124">
        <f>IF($D737="",0,IF($F737&lt;2,0,IF($E737="Win",('Guide &amp; Settings'!$C$42/(($F737-1)*COUNTIFS($A$4:$A$1510,$A737,$E$4:$E$1510,"Win")))*SUMIFS($X$4:$X$1510,$A$4:$A$1510,$A737,$E$4:$E$1510,"Loss"),-('Guide &amp; Settings'!$C$42/($F737-1))*$X737)))</f>
        <v>0</v>
      </c>
      <c r="K737" s="124">
        <f>IF($D737="",0,'Guide &amp; Settings'!$C$43*(IF($E737="Win",1,0)-$I737))</f>
        <v>0</v>
      </c>
      <c r="L737" s="125">
        <f>IF($D737="",0,'Guide &amp; Settings'!$C$44*IF($F737&gt;=3,$F737,0))</f>
        <v>0</v>
      </c>
      <c r="M737" s="124">
        <f t="shared" si="223"/>
        <v>0</v>
      </c>
      <c r="N737" s="122">
        <f t="shared" si="224"/>
        <v>0</v>
      </c>
      <c r="O737" s="121" t="str">
        <f t="shared" si="225"/>
        <v/>
      </c>
      <c r="P737">
        <f t="shared" si="226"/>
        <v>0</v>
      </c>
      <c r="Q737">
        <f t="shared" si="227"/>
        <v>0</v>
      </c>
      <c r="R737">
        <f t="shared" si="228"/>
        <v>0</v>
      </c>
      <c r="S737">
        <f t="shared" si="229"/>
        <v>0</v>
      </c>
      <c r="T737" s="89">
        <f t="shared" si="230"/>
        <v>0</v>
      </c>
      <c r="U737" s="126">
        <f>IF($D737="",0,IFERROR(LOOKUP(2,1/(($D$3:D736=$D737)*($C$3:C736=$C737)*($A$3:A736&lt;$A737)),$AB$3:AB736),1000))</f>
        <v>0</v>
      </c>
      <c r="V737" s="126">
        <f t="shared" si="231"/>
        <v>0</v>
      </c>
      <c r="W737">
        <f t="shared" si="232"/>
        <v>0</v>
      </c>
      <c r="X737">
        <f t="shared" si="233"/>
        <v>0</v>
      </c>
      <c r="Y737">
        <f t="shared" si="234"/>
        <v>0</v>
      </c>
      <c r="Z737">
        <f t="shared" si="235"/>
        <v>0</v>
      </c>
      <c r="AA737">
        <f>IF($D737="",0,IF($F737&lt;2,0,IF($E737="Win",('Guide &amp; Settings'!$C$42/(($F737-1)*COUNTIFS($A$4:$A$1510,$A737,$E$4:$E$1510,"Win")))*SUMIFS($Z$4:$Z$1510,$A$4:$A$1510,$A737,$E$4:$E$1510,"Loss"),-('Guide &amp; Settings'!$C$42/($F737-1))*$Z737)))</f>
        <v>0</v>
      </c>
      <c r="AB737" s="126">
        <f t="shared" si="236"/>
        <v>0</v>
      </c>
      <c r="AC737" s="126" t="str">
        <f>IF($D737="","",IF($AD737=0,0,IF(COUNTIFS($D$4:$D737,$D737,$B$4:$B737,$B737)&gt;1,0,IF($B737&lt;'Guide &amp; Settings'!$C$50,0,IF(($B737-$AD737)/7-'Guide &amp; Settings'!$C$48&gt;=0,(INT(($B737-$AD737)/7-'Guide &amp; Settings'!$C$48)+1)*'Guide &amp; Settings'!$C$49,0)))))</f>
        <v/>
      </c>
      <c r="AD737" s="142">
        <f t="shared" si="237"/>
        <v>0</v>
      </c>
      <c r="AE737">
        <f t="shared" si="238"/>
        <v>0</v>
      </c>
      <c r="AF737">
        <f t="shared" si="239"/>
        <v>0</v>
      </c>
    </row>
    <row r="738" spans="1:32" x14ac:dyDescent="0.2">
      <c r="A738" s="117"/>
      <c r="B738" s="118"/>
      <c r="C738" s="119"/>
      <c r="D738" s="119"/>
      <c r="E738" s="117"/>
      <c r="F738" s="120">
        <f t="shared" si="220"/>
        <v>0</v>
      </c>
      <c r="G738" s="121" t="str">
        <f t="shared" si="221"/>
        <v/>
      </c>
      <c r="H738" s="122">
        <f>IF($D738="",0,IFERROR(LOOKUP(2,1/(($D$3:D737=$D738)*($A$3:A737&lt;$A738)),$N$3:N737),'Guide &amp; Settings'!$C$41))</f>
        <v>0</v>
      </c>
      <c r="I738" s="123">
        <f t="shared" si="222"/>
        <v>0</v>
      </c>
      <c r="J738" s="124">
        <f>IF($D738="",0,IF($F738&lt;2,0,IF($E738="Win",('Guide &amp; Settings'!$C$42/(($F738-1)*COUNTIFS($A$4:$A$1510,$A738,$E$4:$E$1510,"Win")))*SUMIFS($X$4:$X$1510,$A$4:$A$1510,$A738,$E$4:$E$1510,"Loss"),-('Guide &amp; Settings'!$C$42/($F738-1))*$X738)))</f>
        <v>0</v>
      </c>
      <c r="K738" s="124">
        <f>IF($D738="",0,'Guide &amp; Settings'!$C$43*(IF($E738="Win",1,0)-$I738))</f>
        <v>0</v>
      </c>
      <c r="L738" s="125">
        <f>IF($D738="",0,'Guide &amp; Settings'!$C$44*IF($F738&gt;=3,$F738,0))</f>
        <v>0</v>
      </c>
      <c r="M738" s="124">
        <f t="shared" si="223"/>
        <v>0</v>
      </c>
      <c r="N738" s="122">
        <f t="shared" si="224"/>
        <v>0</v>
      </c>
      <c r="O738" s="121" t="str">
        <f t="shared" si="225"/>
        <v/>
      </c>
      <c r="P738">
        <f t="shared" si="226"/>
        <v>0</v>
      </c>
      <c r="Q738">
        <f t="shared" si="227"/>
        <v>0</v>
      </c>
      <c r="R738">
        <f t="shared" si="228"/>
        <v>0</v>
      </c>
      <c r="S738">
        <f t="shared" si="229"/>
        <v>0</v>
      </c>
      <c r="T738" s="89">
        <f t="shared" si="230"/>
        <v>0</v>
      </c>
      <c r="U738" s="126">
        <f>IF($D738="",0,IFERROR(LOOKUP(2,1/(($D$3:D737=$D738)*($C$3:C737=$C738)*($A$3:A737&lt;$A738)),$AB$3:AB737),1000))</f>
        <v>0</v>
      </c>
      <c r="V738" s="126">
        <f t="shared" si="231"/>
        <v>0</v>
      </c>
      <c r="W738">
        <f t="shared" si="232"/>
        <v>0</v>
      </c>
      <c r="X738">
        <f t="shared" si="233"/>
        <v>0</v>
      </c>
      <c r="Y738">
        <f t="shared" si="234"/>
        <v>0</v>
      </c>
      <c r="Z738">
        <f t="shared" si="235"/>
        <v>0</v>
      </c>
      <c r="AA738">
        <f>IF($D738="",0,IF($F738&lt;2,0,IF($E738="Win",('Guide &amp; Settings'!$C$42/(($F738-1)*COUNTIFS($A$4:$A$1510,$A738,$E$4:$E$1510,"Win")))*SUMIFS($Z$4:$Z$1510,$A$4:$A$1510,$A738,$E$4:$E$1510,"Loss"),-('Guide &amp; Settings'!$C$42/($F738-1))*$Z738)))</f>
        <v>0</v>
      </c>
      <c r="AB738" s="126">
        <f t="shared" si="236"/>
        <v>0</v>
      </c>
      <c r="AC738" s="126" t="str">
        <f>IF($D738="","",IF($AD738=0,0,IF(COUNTIFS($D$4:$D738,$D738,$B$4:$B738,$B738)&gt;1,0,IF($B738&lt;'Guide &amp; Settings'!$C$50,0,IF(($B738-$AD738)/7-'Guide &amp; Settings'!$C$48&gt;=0,(INT(($B738-$AD738)/7-'Guide &amp; Settings'!$C$48)+1)*'Guide &amp; Settings'!$C$49,0)))))</f>
        <v/>
      </c>
      <c r="AD738" s="142">
        <f t="shared" si="237"/>
        <v>0</v>
      </c>
      <c r="AE738">
        <f t="shared" si="238"/>
        <v>0</v>
      </c>
      <c r="AF738">
        <f t="shared" si="239"/>
        <v>0</v>
      </c>
    </row>
    <row r="739" spans="1:32" x14ac:dyDescent="0.2">
      <c r="A739" s="117"/>
      <c r="B739" s="118"/>
      <c r="C739" s="119"/>
      <c r="D739" s="119"/>
      <c r="E739" s="117"/>
      <c r="F739" s="120">
        <f t="shared" si="220"/>
        <v>0</v>
      </c>
      <c r="G739" s="121" t="str">
        <f t="shared" si="221"/>
        <v/>
      </c>
      <c r="H739" s="122">
        <f>IF($D739="",0,IFERROR(LOOKUP(2,1/(($D$3:D738=$D739)*($A$3:A738&lt;$A739)),$N$3:N738),'Guide &amp; Settings'!$C$41))</f>
        <v>0</v>
      </c>
      <c r="I739" s="123">
        <f t="shared" si="222"/>
        <v>0</v>
      </c>
      <c r="J739" s="124">
        <f>IF($D739="",0,IF($F739&lt;2,0,IF($E739="Win",('Guide &amp; Settings'!$C$42/(($F739-1)*COUNTIFS($A$4:$A$1510,$A739,$E$4:$E$1510,"Win")))*SUMIFS($X$4:$X$1510,$A$4:$A$1510,$A739,$E$4:$E$1510,"Loss"),-('Guide &amp; Settings'!$C$42/($F739-1))*$X739)))</f>
        <v>0</v>
      </c>
      <c r="K739" s="124">
        <f>IF($D739="",0,'Guide &amp; Settings'!$C$43*(IF($E739="Win",1,0)-$I739))</f>
        <v>0</v>
      </c>
      <c r="L739" s="125">
        <f>IF($D739="",0,'Guide &amp; Settings'!$C$44*IF($F739&gt;=3,$F739,0))</f>
        <v>0</v>
      </c>
      <c r="M739" s="124">
        <f t="shared" si="223"/>
        <v>0</v>
      </c>
      <c r="N739" s="122">
        <f t="shared" si="224"/>
        <v>0</v>
      </c>
      <c r="O739" s="121" t="str">
        <f t="shared" si="225"/>
        <v/>
      </c>
      <c r="P739">
        <f t="shared" si="226"/>
        <v>0</v>
      </c>
      <c r="Q739">
        <f t="shared" si="227"/>
        <v>0</v>
      </c>
      <c r="R739">
        <f t="shared" si="228"/>
        <v>0</v>
      </c>
      <c r="S739">
        <f t="shared" si="229"/>
        <v>0</v>
      </c>
      <c r="T739" s="89">
        <f t="shared" si="230"/>
        <v>0</v>
      </c>
      <c r="U739" s="126">
        <f>IF($D739="",0,IFERROR(LOOKUP(2,1/(($D$3:D738=$D739)*($C$3:C738=$C739)*($A$3:A738&lt;$A739)),$AB$3:AB738),1000))</f>
        <v>0</v>
      </c>
      <c r="V739" s="126">
        <f t="shared" si="231"/>
        <v>0</v>
      </c>
      <c r="W739">
        <f t="shared" si="232"/>
        <v>0</v>
      </c>
      <c r="X739">
        <f t="shared" si="233"/>
        <v>0</v>
      </c>
      <c r="Y739">
        <f t="shared" si="234"/>
        <v>0</v>
      </c>
      <c r="Z739">
        <f t="shared" si="235"/>
        <v>0</v>
      </c>
      <c r="AA739">
        <f>IF($D739="",0,IF($F739&lt;2,0,IF($E739="Win",('Guide &amp; Settings'!$C$42/(($F739-1)*COUNTIFS($A$4:$A$1510,$A739,$E$4:$E$1510,"Win")))*SUMIFS($Z$4:$Z$1510,$A$4:$A$1510,$A739,$E$4:$E$1510,"Loss"),-('Guide &amp; Settings'!$C$42/($F739-1))*$Z739)))</f>
        <v>0</v>
      </c>
      <c r="AB739" s="126">
        <f t="shared" si="236"/>
        <v>0</v>
      </c>
      <c r="AC739" s="126" t="str">
        <f>IF($D739="","",IF($AD739=0,0,IF(COUNTIFS($D$4:$D739,$D739,$B$4:$B739,$B739)&gt;1,0,IF($B739&lt;'Guide &amp; Settings'!$C$50,0,IF(($B739-$AD739)/7-'Guide &amp; Settings'!$C$48&gt;=0,(INT(($B739-$AD739)/7-'Guide &amp; Settings'!$C$48)+1)*'Guide &amp; Settings'!$C$49,0)))))</f>
        <v/>
      </c>
      <c r="AD739" s="142">
        <f t="shared" si="237"/>
        <v>0</v>
      </c>
      <c r="AE739">
        <f t="shared" si="238"/>
        <v>0</v>
      </c>
      <c r="AF739">
        <f t="shared" si="239"/>
        <v>0</v>
      </c>
    </row>
    <row r="740" spans="1:32" x14ac:dyDescent="0.2">
      <c r="A740" s="117"/>
      <c r="B740" s="118"/>
      <c r="C740" s="119"/>
      <c r="D740" s="119"/>
      <c r="E740" s="117"/>
      <c r="F740" s="120">
        <f t="shared" si="220"/>
        <v>0</v>
      </c>
      <c r="G740" s="121" t="str">
        <f t="shared" si="221"/>
        <v/>
      </c>
      <c r="H740" s="122">
        <f>IF($D740="",0,IFERROR(LOOKUP(2,1/(($D$3:D739=$D740)*($A$3:A739&lt;$A740)),$N$3:N739),'Guide &amp; Settings'!$C$41))</f>
        <v>0</v>
      </c>
      <c r="I740" s="123">
        <f t="shared" si="222"/>
        <v>0</v>
      </c>
      <c r="J740" s="124">
        <f>IF($D740="",0,IF($F740&lt;2,0,IF($E740="Win",('Guide &amp; Settings'!$C$42/(($F740-1)*COUNTIFS($A$4:$A$1510,$A740,$E$4:$E$1510,"Win")))*SUMIFS($X$4:$X$1510,$A$4:$A$1510,$A740,$E$4:$E$1510,"Loss"),-('Guide &amp; Settings'!$C$42/($F740-1))*$X740)))</f>
        <v>0</v>
      </c>
      <c r="K740" s="124">
        <f>IF($D740="",0,'Guide &amp; Settings'!$C$43*(IF($E740="Win",1,0)-$I740))</f>
        <v>0</v>
      </c>
      <c r="L740" s="125">
        <f>IF($D740="",0,'Guide &amp; Settings'!$C$44*IF($F740&gt;=3,$F740,0))</f>
        <v>0</v>
      </c>
      <c r="M740" s="124">
        <f t="shared" si="223"/>
        <v>0</v>
      </c>
      <c r="N740" s="122">
        <f t="shared" si="224"/>
        <v>0</v>
      </c>
      <c r="O740" s="121" t="str">
        <f t="shared" si="225"/>
        <v/>
      </c>
      <c r="P740">
        <f t="shared" si="226"/>
        <v>0</v>
      </c>
      <c r="Q740">
        <f t="shared" si="227"/>
        <v>0</v>
      </c>
      <c r="R740">
        <f t="shared" si="228"/>
        <v>0</v>
      </c>
      <c r="S740">
        <f t="shared" si="229"/>
        <v>0</v>
      </c>
      <c r="T740" s="89">
        <f t="shared" si="230"/>
        <v>0</v>
      </c>
      <c r="U740" s="126">
        <f>IF($D740="",0,IFERROR(LOOKUP(2,1/(($D$3:D739=$D740)*($C$3:C739=$C740)*($A$3:A739&lt;$A740)),$AB$3:AB739),1000))</f>
        <v>0</v>
      </c>
      <c r="V740" s="126">
        <f t="shared" si="231"/>
        <v>0</v>
      </c>
      <c r="W740">
        <f t="shared" si="232"/>
        <v>0</v>
      </c>
      <c r="X740">
        <f t="shared" si="233"/>
        <v>0</v>
      </c>
      <c r="Y740">
        <f t="shared" si="234"/>
        <v>0</v>
      </c>
      <c r="Z740">
        <f t="shared" si="235"/>
        <v>0</v>
      </c>
      <c r="AA740">
        <f>IF($D740="",0,IF($F740&lt;2,0,IF($E740="Win",('Guide &amp; Settings'!$C$42/(($F740-1)*COUNTIFS($A$4:$A$1510,$A740,$E$4:$E$1510,"Win")))*SUMIFS($Z$4:$Z$1510,$A$4:$A$1510,$A740,$E$4:$E$1510,"Loss"),-('Guide &amp; Settings'!$C$42/($F740-1))*$Z740)))</f>
        <v>0</v>
      </c>
      <c r="AB740" s="126">
        <f t="shared" si="236"/>
        <v>0</v>
      </c>
      <c r="AC740" s="126" t="str">
        <f>IF($D740="","",IF($AD740=0,0,IF(COUNTIFS($D$4:$D740,$D740,$B$4:$B740,$B740)&gt;1,0,IF($B740&lt;'Guide &amp; Settings'!$C$50,0,IF(($B740-$AD740)/7-'Guide &amp; Settings'!$C$48&gt;=0,(INT(($B740-$AD740)/7-'Guide &amp; Settings'!$C$48)+1)*'Guide &amp; Settings'!$C$49,0)))))</f>
        <v/>
      </c>
      <c r="AD740" s="142">
        <f t="shared" si="237"/>
        <v>0</v>
      </c>
      <c r="AE740">
        <f t="shared" si="238"/>
        <v>0</v>
      </c>
      <c r="AF740">
        <f t="shared" si="239"/>
        <v>0</v>
      </c>
    </row>
    <row r="741" spans="1:32" x14ac:dyDescent="0.2">
      <c r="A741" s="117"/>
      <c r="B741" s="118"/>
      <c r="C741" s="119"/>
      <c r="D741" s="119"/>
      <c r="E741" s="117"/>
      <c r="F741" s="120">
        <f t="shared" si="220"/>
        <v>0</v>
      </c>
      <c r="G741" s="121" t="str">
        <f t="shared" si="221"/>
        <v/>
      </c>
      <c r="H741" s="122">
        <f>IF($D741="",0,IFERROR(LOOKUP(2,1/(($D$3:D740=$D741)*($A$3:A740&lt;$A741)),$N$3:N740),'Guide &amp; Settings'!$C$41))</f>
        <v>0</v>
      </c>
      <c r="I741" s="123">
        <f t="shared" si="222"/>
        <v>0</v>
      </c>
      <c r="J741" s="124">
        <f>IF($D741="",0,IF($F741&lt;2,0,IF($E741="Win",('Guide &amp; Settings'!$C$42/(($F741-1)*COUNTIFS($A$4:$A$1510,$A741,$E$4:$E$1510,"Win")))*SUMIFS($X$4:$X$1510,$A$4:$A$1510,$A741,$E$4:$E$1510,"Loss"),-('Guide &amp; Settings'!$C$42/($F741-1))*$X741)))</f>
        <v>0</v>
      </c>
      <c r="K741" s="124">
        <f>IF($D741="",0,'Guide &amp; Settings'!$C$43*(IF($E741="Win",1,0)-$I741))</f>
        <v>0</v>
      </c>
      <c r="L741" s="125">
        <f>IF($D741="",0,'Guide &amp; Settings'!$C$44*IF($F741&gt;=3,$F741,0))</f>
        <v>0</v>
      </c>
      <c r="M741" s="124">
        <f t="shared" si="223"/>
        <v>0</v>
      </c>
      <c r="N741" s="122">
        <f t="shared" si="224"/>
        <v>0</v>
      </c>
      <c r="O741" s="121" t="str">
        <f t="shared" si="225"/>
        <v/>
      </c>
      <c r="P741">
        <f t="shared" si="226"/>
        <v>0</v>
      </c>
      <c r="Q741">
        <f t="shared" si="227"/>
        <v>0</v>
      </c>
      <c r="R741">
        <f t="shared" si="228"/>
        <v>0</v>
      </c>
      <c r="S741">
        <f t="shared" si="229"/>
        <v>0</v>
      </c>
      <c r="T741" s="89">
        <f t="shared" si="230"/>
        <v>0</v>
      </c>
      <c r="U741" s="126">
        <f>IF($D741="",0,IFERROR(LOOKUP(2,1/(($D$3:D740=$D741)*($C$3:C740=$C741)*($A$3:A740&lt;$A741)),$AB$3:AB740),1000))</f>
        <v>0</v>
      </c>
      <c r="V741" s="126">
        <f t="shared" si="231"/>
        <v>0</v>
      </c>
      <c r="W741">
        <f t="shared" si="232"/>
        <v>0</v>
      </c>
      <c r="X741">
        <f t="shared" si="233"/>
        <v>0</v>
      </c>
      <c r="Y741">
        <f t="shared" si="234"/>
        <v>0</v>
      </c>
      <c r="Z741">
        <f t="shared" si="235"/>
        <v>0</v>
      </c>
      <c r="AA741">
        <f>IF($D741="",0,IF($F741&lt;2,0,IF($E741="Win",('Guide &amp; Settings'!$C$42/(($F741-1)*COUNTIFS($A$4:$A$1510,$A741,$E$4:$E$1510,"Win")))*SUMIFS($Z$4:$Z$1510,$A$4:$A$1510,$A741,$E$4:$E$1510,"Loss"),-('Guide &amp; Settings'!$C$42/($F741-1))*$Z741)))</f>
        <v>0</v>
      </c>
      <c r="AB741" s="126">
        <f t="shared" si="236"/>
        <v>0</v>
      </c>
      <c r="AC741" s="126" t="str">
        <f>IF($D741="","",IF($AD741=0,0,IF(COUNTIFS($D$4:$D741,$D741,$B$4:$B741,$B741)&gt;1,0,IF($B741&lt;'Guide &amp; Settings'!$C$50,0,IF(($B741-$AD741)/7-'Guide &amp; Settings'!$C$48&gt;=0,(INT(($B741-$AD741)/7-'Guide &amp; Settings'!$C$48)+1)*'Guide &amp; Settings'!$C$49,0)))))</f>
        <v/>
      </c>
      <c r="AD741" s="142">
        <f t="shared" si="237"/>
        <v>0</v>
      </c>
      <c r="AE741">
        <f t="shared" si="238"/>
        <v>0</v>
      </c>
      <c r="AF741">
        <f t="shared" si="239"/>
        <v>0</v>
      </c>
    </row>
    <row r="742" spans="1:32" x14ac:dyDescent="0.2">
      <c r="A742" s="117"/>
      <c r="B742" s="118"/>
      <c r="C742" s="119"/>
      <c r="D742" s="119"/>
      <c r="E742" s="117"/>
      <c r="F742" s="120">
        <f t="shared" si="220"/>
        <v>0</v>
      </c>
      <c r="G742" s="121" t="str">
        <f t="shared" si="221"/>
        <v/>
      </c>
      <c r="H742" s="122">
        <f>IF($D742="",0,IFERROR(LOOKUP(2,1/(($D$3:D741=$D742)*($A$3:A741&lt;$A742)),$N$3:N741),'Guide &amp; Settings'!$C$41))</f>
        <v>0</v>
      </c>
      <c r="I742" s="123">
        <f t="shared" si="222"/>
        <v>0</v>
      </c>
      <c r="J742" s="124">
        <f>IF($D742="",0,IF($F742&lt;2,0,IF($E742="Win",('Guide &amp; Settings'!$C$42/(($F742-1)*COUNTIFS($A$4:$A$1510,$A742,$E$4:$E$1510,"Win")))*SUMIFS($X$4:$X$1510,$A$4:$A$1510,$A742,$E$4:$E$1510,"Loss"),-('Guide &amp; Settings'!$C$42/($F742-1))*$X742)))</f>
        <v>0</v>
      </c>
      <c r="K742" s="124">
        <f>IF($D742="",0,'Guide &amp; Settings'!$C$43*(IF($E742="Win",1,0)-$I742))</f>
        <v>0</v>
      </c>
      <c r="L742" s="125">
        <f>IF($D742="",0,'Guide &amp; Settings'!$C$44*IF($F742&gt;=3,$F742,0))</f>
        <v>0</v>
      </c>
      <c r="M742" s="124">
        <f t="shared" si="223"/>
        <v>0</v>
      </c>
      <c r="N742" s="122">
        <f t="shared" si="224"/>
        <v>0</v>
      </c>
      <c r="O742" s="121" t="str">
        <f t="shared" si="225"/>
        <v/>
      </c>
      <c r="P742">
        <f t="shared" si="226"/>
        <v>0</v>
      </c>
      <c r="Q742">
        <f t="shared" si="227"/>
        <v>0</v>
      </c>
      <c r="R742">
        <f t="shared" si="228"/>
        <v>0</v>
      </c>
      <c r="S742">
        <f t="shared" si="229"/>
        <v>0</v>
      </c>
      <c r="T742" s="89">
        <f t="shared" si="230"/>
        <v>0</v>
      </c>
      <c r="U742" s="126">
        <f>IF($D742="",0,IFERROR(LOOKUP(2,1/(($D$3:D741=$D742)*($C$3:C741=$C742)*($A$3:A741&lt;$A742)),$AB$3:AB741),1000))</f>
        <v>0</v>
      </c>
      <c r="V742" s="126">
        <f t="shared" si="231"/>
        <v>0</v>
      </c>
      <c r="W742">
        <f t="shared" si="232"/>
        <v>0</v>
      </c>
      <c r="X742">
        <f t="shared" si="233"/>
        <v>0</v>
      </c>
      <c r="Y742">
        <f t="shared" si="234"/>
        <v>0</v>
      </c>
      <c r="Z742">
        <f t="shared" si="235"/>
        <v>0</v>
      </c>
      <c r="AA742">
        <f>IF($D742="",0,IF($F742&lt;2,0,IF($E742="Win",('Guide &amp; Settings'!$C$42/(($F742-1)*COUNTIFS($A$4:$A$1510,$A742,$E$4:$E$1510,"Win")))*SUMIFS($Z$4:$Z$1510,$A$4:$A$1510,$A742,$E$4:$E$1510,"Loss"),-('Guide &amp; Settings'!$C$42/($F742-1))*$Z742)))</f>
        <v>0</v>
      </c>
      <c r="AB742" s="126">
        <f t="shared" si="236"/>
        <v>0</v>
      </c>
      <c r="AC742" s="126" t="str">
        <f>IF($D742="","",IF($AD742=0,0,IF(COUNTIFS($D$4:$D742,$D742,$B$4:$B742,$B742)&gt;1,0,IF($B742&lt;'Guide &amp; Settings'!$C$50,0,IF(($B742-$AD742)/7-'Guide &amp; Settings'!$C$48&gt;=0,(INT(($B742-$AD742)/7-'Guide &amp; Settings'!$C$48)+1)*'Guide &amp; Settings'!$C$49,0)))))</f>
        <v/>
      </c>
      <c r="AD742" s="142">
        <f t="shared" si="237"/>
        <v>0</v>
      </c>
      <c r="AE742">
        <f t="shared" si="238"/>
        <v>0</v>
      </c>
      <c r="AF742">
        <f t="shared" si="239"/>
        <v>0</v>
      </c>
    </row>
    <row r="743" spans="1:32" x14ac:dyDescent="0.2">
      <c r="A743" s="117"/>
      <c r="B743" s="118"/>
      <c r="C743" s="119"/>
      <c r="D743" s="119"/>
      <c r="E743" s="117"/>
      <c r="F743" s="120">
        <f t="shared" si="220"/>
        <v>0</v>
      </c>
      <c r="G743" s="121" t="str">
        <f t="shared" si="221"/>
        <v/>
      </c>
      <c r="H743" s="122">
        <f>IF($D743="",0,IFERROR(LOOKUP(2,1/(($D$3:D742=$D743)*($A$3:A742&lt;$A743)),$N$3:N742),'Guide &amp; Settings'!$C$41))</f>
        <v>0</v>
      </c>
      <c r="I743" s="123">
        <f t="shared" si="222"/>
        <v>0</v>
      </c>
      <c r="J743" s="124">
        <f>IF($D743="",0,IF($F743&lt;2,0,IF($E743="Win",('Guide &amp; Settings'!$C$42/(($F743-1)*COUNTIFS($A$4:$A$1510,$A743,$E$4:$E$1510,"Win")))*SUMIFS($X$4:$X$1510,$A$4:$A$1510,$A743,$E$4:$E$1510,"Loss"),-('Guide &amp; Settings'!$C$42/($F743-1))*$X743)))</f>
        <v>0</v>
      </c>
      <c r="K743" s="124">
        <f>IF($D743="",0,'Guide &amp; Settings'!$C$43*(IF($E743="Win",1,0)-$I743))</f>
        <v>0</v>
      </c>
      <c r="L743" s="125">
        <f>IF($D743="",0,'Guide &amp; Settings'!$C$44*IF($F743&gt;=3,$F743,0))</f>
        <v>0</v>
      </c>
      <c r="M743" s="124">
        <f t="shared" si="223"/>
        <v>0</v>
      </c>
      <c r="N743" s="122">
        <f t="shared" si="224"/>
        <v>0</v>
      </c>
      <c r="O743" s="121" t="str">
        <f t="shared" si="225"/>
        <v/>
      </c>
      <c r="P743">
        <f t="shared" si="226"/>
        <v>0</v>
      </c>
      <c r="Q743">
        <f t="shared" si="227"/>
        <v>0</v>
      </c>
      <c r="R743">
        <f t="shared" si="228"/>
        <v>0</v>
      </c>
      <c r="S743">
        <f t="shared" si="229"/>
        <v>0</v>
      </c>
      <c r="T743" s="89">
        <f t="shared" si="230"/>
        <v>0</v>
      </c>
      <c r="U743" s="126">
        <f>IF($D743="",0,IFERROR(LOOKUP(2,1/(($D$3:D742=$D743)*($C$3:C742=$C743)*($A$3:A742&lt;$A743)),$AB$3:AB742),1000))</f>
        <v>0</v>
      </c>
      <c r="V743" s="126">
        <f t="shared" si="231"/>
        <v>0</v>
      </c>
      <c r="W743">
        <f t="shared" si="232"/>
        <v>0</v>
      </c>
      <c r="X743">
        <f t="shared" si="233"/>
        <v>0</v>
      </c>
      <c r="Y743">
        <f t="shared" si="234"/>
        <v>0</v>
      </c>
      <c r="Z743">
        <f t="shared" si="235"/>
        <v>0</v>
      </c>
      <c r="AA743">
        <f>IF($D743="",0,IF($F743&lt;2,0,IF($E743="Win",('Guide &amp; Settings'!$C$42/(($F743-1)*COUNTIFS($A$4:$A$1510,$A743,$E$4:$E$1510,"Win")))*SUMIFS($Z$4:$Z$1510,$A$4:$A$1510,$A743,$E$4:$E$1510,"Loss"),-('Guide &amp; Settings'!$C$42/($F743-1))*$Z743)))</f>
        <v>0</v>
      </c>
      <c r="AB743" s="126">
        <f t="shared" si="236"/>
        <v>0</v>
      </c>
      <c r="AC743" s="126" t="str">
        <f>IF($D743="","",IF($AD743=0,0,IF(COUNTIFS($D$4:$D743,$D743,$B$4:$B743,$B743)&gt;1,0,IF($B743&lt;'Guide &amp; Settings'!$C$50,0,IF(($B743-$AD743)/7-'Guide &amp; Settings'!$C$48&gt;=0,(INT(($B743-$AD743)/7-'Guide &amp; Settings'!$C$48)+1)*'Guide &amp; Settings'!$C$49,0)))))</f>
        <v/>
      </c>
      <c r="AD743" s="142">
        <f t="shared" si="237"/>
        <v>0</v>
      </c>
      <c r="AE743">
        <f t="shared" si="238"/>
        <v>0</v>
      </c>
      <c r="AF743">
        <f t="shared" si="239"/>
        <v>0</v>
      </c>
    </row>
    <row r="744" spans="1:32" x14ac:dyDescent="0.2">
      <c r="A744" s="117"/>
      <c r="B744" s="118"/>
      <c r="C744" s="119"/>
      <c r="D744" s="119"/>
      <c r="E744" s="117"/>
      <c r="F744" s="120">
        <f t="shared" si="220"/>
        <v>0</v>
      </c>
      <c r="G744" s="121" t="str">
        <f t="shared" si="221"/>
        <v/>
      </c>
      <c r="H744" s="122">
        <f>IF($D744="",0,IFERROR(LOOKUP(2,1/(($D$3:D743=$D744)*($A$3:A743&lt;$A744)),$N$3:N743),'Guide &amp; Settings'!$C$41))</f>
        <v>0</v>
      </c>
      <c r="I744" s="123">
        <f t="shared" si="222"/>
        <v>0</v>
      </c>
      <c r="J744" s="124">
        <f>IF($D744="",0,IF($F744&lt;2,0,IF($E744="Win",('Guide &amp; Settings'!$C$42/(($F744-1)*COUNTIFS($A$4:$A$1510,$A744,$E$4:$E$1510,"Win")))*SUMIFS($X$4:$X$1510,$A$4:$A$1510,$A744,$E$4:$E$1510,"Loss"),-('Guide &amp; Settings'!$C$42/($F744-1))*$X744)))</f>
        <v>0</v>
      </c>
      <c r="K744" s="124">
        <f>IF($D744="",0,'Guide &amp; Settings'!$C$43*(IF($E744="Win",1,0)-$I744))</f>
        <v>0</v>
      </c>
      <c r="L744" s="125">
        <f>IF($D744="",0,'Guide &amp; Settings'!$C$44*IF($F744&gt;=3,$F744,0))</f>
        <v>0</v>
      </c>
      <c r="M744" s="124">
        <f t="shared" si="223"/>
        <v>0</v>
      </c>
      <c r="N744" s="122">
        <f t="shared" si="224"/>
        <v>0</v>
      </c>
      <c r="O744" s="121" t="str">
        <f t="shared" si="225"/>
        <v/>
      </c>
      <c r="P744">
        <f t="shared" si="226"/>
        <v>0</v>
      </c>
      <c r="Q744">
        <f t="shared" si="227"/>
        <v>0</v>
      </c>
      <c r="R744">
        <f t="shared" si="228"/>
        <v>0</v>
      </c>
      <c r="S744">
        <f t="shared" si="229"/>
        <v>0</v>
      </c>
      <c r="T744" s="89">
        <f t="shared" si="230"/>
        <v>0</v>
      </c>
      <c r="U744" s="126">
        <f>IF($D744="",0,IFERROR(LOOKUP(2,1/(($D$3:D743=$D744)*($C$3:C743=$C744)*($A$3:A743&lt;$A744)),$AB$3:AB743),1000))</f>
        <v>0</v>
      </c>
      <c r="V744" s="126">
        <f t="shared" si="231"/>
        <v>0</v>
      </c>
      <c r="W744">
        <f t="shared" si="232"/>
        <v>0</v>
      </c>
      <c r="X744">
        <f t="shared" si="233"/>
        <v>0</v>
      </c>
      <c r="Y744">
        <f t="shared" si="234"/>
        <v>0</v>
      </c>
      <c r="Z744">
        <f t="shared" si="235"/>
        <v>0</v>
      </c>
      <c r="AA744">
        <f>IF($D744="",0,IF($F744&lt;2,0,IF($E744="Win",('Guide &amp; Settings'!$C$42/(($F744-1)*COUNTIFS($A$4:$A$1510,$A744,$E$4:$E$1510,"Win")))*SUMIFS($Z$4:$Z$1510,$A$4:$A$1510,$A744,$E$4:$E$1510,"Loss"),-('Guide &amp; Settings'!$C$42/($F744-1))*$Z744)))</f>
        <v>0</v>
      </c>
      <c r="AB744" s="126">
        <f t="shared" si="236"/>
        <v>0</v>
      </c>
      <c r="AC744" s="126" t="str">
        <f>IF($D744="","",IF($AD744=0,0,IF(COUNTIFS($D$4:$D744,$D744,$B$4:$B744,$B744)&gt;1,0,IF($B744&lt;'Guide &amp; Settings'!$C$50,0,IF(($B744-$AD744)/7-'Guide &amp; Settings'!$C$48&gt;=0,(INT(($B744-$AD744)/7-'Guide &amp; Settings'!$C$48)+1)*'Guide &amp; Settings'!$C$49,0)))))</f>
        <v/>
      </c>
      <c r="AD744" s="142">
        <f t="shared" si="237"/>
        <v>0</v>
      </c>
      <c r="AE744">
        <f t="shared" si="238"/>
        <v>0</v>
      </c>
      <c r="AF744">
        <f t="shared" si="239"/>
        <v>0</v>
      </c>
    </row>
    <row r="745" spans="1:32" x14ac:dyDescent="0.2">
      <c r="A745" s="117"/>
      <c r="B745" s="118"/>
      <c r="C745" s="119"/>
      <c r="D745" s="119"/>
      <c r="E745" s="117"/>
      <c r="F745" s="120">
        <f t="shared" si="220"/>
        <v>0</v>
      </c>
      <c r="G745" s="121" t="str">
        <f t="shared" si="221"/>
        <v/>
      </c>
      <c r="H745" s="122">
        <f>IF($D745="",0,IFERROR(LOOKUP(2,1/(($D$3:D744=$D745)*($A$3:A744&lt;$A745)),$N$3:N744),'Guide &amp; Settings'!$C$41))</f>
        <v>0</v>
      </c>
      <c r="I745" s="123">
        <f t="shared" si="222"/>
        <v>0</v>
      </c>
      <c r="J745" s="124">
        <f>IF($D745="",0,IF($F745&lt;2,0,IF($E745="Win",('Guide &amp; Settings'!$C$42/(($F745-1)*COUNTIFS($A$4:$A$1510,$A745,$E$4:$E$1510,"Win")))*SUMIFS($X$4:$X$1510,$A$4:$A$1510,$A745,$E$4:$E$1510,"Loss"),-('Guide &amp; Settings'!$C$42/($F745-1))*$X745)))</f>
        <v>0</v>
      </c>
      <c r="K745" s="124">
        <f>IF($D745="",0,'Guide &amp; Settings'!$C$43*(IF($E745="Win",1,0)-$I745))</f>
        <v>0</v>
      </c>
      <c r="L745" s="125">
        <f>IF($D745="",0,'Guide &amp; Settings'!$C$44*IF($F745&gt;=3,$F745,0))</f>
        <v>0</v>
      </c>
      <c r="M745" s="124">
        <f t="shared" si="223"/>
        <v>0</v>
      </c>
      <c r="N745" s="122">
        <f t="shared" si="224"/>
        <v>0</v>
      </c>
      <c r="O745" s="121" t="str">
        <f t="shared" si="225"/>
        <v/>
      </c>
      <c r="P745">
        <f t="shared" si="226"/>
        <v>0</v>
      </c>
      <c r="Q745">
        <f t="shared" si="227"/>
        <v>0</v>
      </c>
      <c r="R745">
        <f t="shared" si="228"/>
        <v>0</v>
      </c>
      <c r="S745">
        <f t="shared" si="229"/>
        <v>0</v>
      </c>
      <c r="T745" s="89">
        <f t="shared" si="230"/>
        <v>0</v>
      </c>
      <c r="U745" s="126">
        <f>IF($D745="",0,IFERROR(LOOKUP(2,1/(($D$3:D744=$D745)*($C$3:C744=$C745)*($A$3:A744&lt;$A745)),$AB$3:AB744),1000))</f>
        <v>0</v>
      </c>
      <c r="V745" s="126">
        <f t="shared" si="231"/>
        <v>0</v>
      </c>
      <c r="W745">
        <f t="shared" si="232"/>
        <v>0</v>
      </c>
      <c r="X745">
        <f t="shared" si="233"/>
        <v>0</v>
      </c>
      <c r="Y745">
        <f t="shared" si="234"/>
        <v>0</v>
      </c>
      <c r="Z745">
        <f t="shared" si="235"/>
        <v>0</v>
      </c>
      <c r="AA745">
        <f>IF($D745="",0,IF($F745&lt;2,0,IF($E745="Win",('Guide &amp; Settings'!$C$42/(($F745-1)*COUNTIFS($A$4:$A$1510,$A745,$E$4:$E$1510,"Win")))*SUMIFS($Z$4:$Z$1510,$A$4:$A$1510,$A745,$E$4:$E$1510,"Loss"),-('Guide &amp; Settings'!$C$42/($F745-1))*$Z745)))</f>
        <v>0</v>
      </c>
      <c r="AB745" s="126">
        <f t="shared" si="236"/>
        <v>0</v>
      </c>
      <c r="AC745" s="126" t="str">
        <f>IF($D745="","",IF($AD745=0,0,IF(COUNTIFS($D$4:$D745,$D745,$B$4:$B745,$B745)&gt;1,0,IF($B745&lt;'Guide &amp; Settings'!$C$50,0,IF(($B745-$AD745)/7-'Guide &amp; Settings'!$C$48&gt;=0,(INT(($B745-$AD745)/7-'Guide &amp; Settings'!$C$48)+1)*'Guide &amp; Settings'!$C$49,0)))))</f>
        <v/>
      </c>
      <c r="AD745" s="142">
        <f t="shared" si="237"/>
        <v>0</v>
      </c>
      <c r="AE745">
        <f t="shared" si="238"/>
        <v>0</v>
      </c>
      <c r="AF745">
        <f t="shared" si="239"/>
        <v>0</v>
      </c>
    </row>
    <row r="746" spans="1:32" x14ac:dyDescent="0.2">
      <c r="A746" s="117"/>
      <c r="B746" s="118"/>
      <c r="C746" s="119"/>
      <c r="D746" s="119"/>
      <c r="E746" s="117"/>
      <c r="F746" s="120">
        <f t="shared" si="220"/>
        <v>0</v>
      </c>
      <c r="G746" s="121" t="str">
        <f t="shared" si="221"/>
        <v/>
      </c>
      <c r="H746" s="122">
        <f>IF($D746="",0,IFERROR(LOOKUP(2,1/(($D$3:D745=$D746)*($A$3:A745&lt;$A746)),$N$3:N745),'Guide &amp; Settings'!$C$41))</f>
        <v>0</v>
      </c>
      <c r="I746" s="123">
        <f t="shared" si="222"/>
        <v>0</v>
      </c>
      <c r="J746" s="124">
        <f>IF($D746="",0,IF($F746&lt;2,0,IF($E746="Win",('Guide &amp; Settings'!$C$42/(($F746-1)*COUNTIFS($A$4:$A$1510,$A746,$E$4:$E$1510,"Win")))*SUMIFS($X$4:$X$1510,$A$4:$A$1510,$A746,$E$4:$E$1510,"Loss"),-('Guide &amp; Settings'!$C$42/($F746-1))*$X746)))</f>
        <v>0</v>
      </c>
      <c r="K746" s="124">
        <f>IF($D746="",0,'Guide &amp; Settings'!$C$43*(IF($E746="Win",1,0)-$I746))</f>
        <v>0</v>
      </c>
      <c r="L746" s="125">
        <f>IF($D746="",0,'Guide &amp; Settings'!$C$44*IF($F746&gt;=3,$F746,0))</f>
        <v>0</v>
      </c>
      <c r="M746" s="124">
        <f t="shared" si="223"/>
        <v>0</v>
      </c>
      <c r="N746" s="122">
        <f t="shared" si="224"/>
        <v>0</v>
      </c>
      <c r="O746" s="121" t="str">
        <f t="shared" si="225"/>
        <v/>
      </c>
      <c r="P746">
        <f t="shared" si="226"/>
        <v>0</v>
      </c>
      <c r="Q746">
        <f t="shared" si="227"/>
        <v>0</v>
      </c>
      <c r="R746">
        <f t="shared" si="228"/>
        <v>0</v>
      </c>
      <c r="S746">
        <f t="shared" si="229"/>
        <v>0</v>
      </c>
      <c r="T746" s="89">
        <f t="shared" si="230"/>
        <v>0</v>
      </c>
      <c r="U746" s="126">
        <f>IF($D746="",0,IFERROR(LOOKUP(2,1/(($D$3:D745=$D746)*($C$3:C745=$C746)*($A$3:A745&lt;$A746)),$AB$3:AB745),1000))</f>
        <v>0</v>
      </c>
      <c r="V746" s="126">
        <f t="shared" si="231"/>
        <v>0</v>
      </c>
      <c r="W746">
        <f t="shared" si="232"/>
        <v>0</v>
      </c>
      <c r="X746">
        <f t="shared" si="233"/>
        <v>0</v>
      </c>
      <c r="Y746">
        <f t="shared" si="234"/>
        <v>0</v>
      </c>
      <c r="Z746">
        <f t="shared" si="235"/>
        <v>0</v>
      </c>
      <c r="AA746">
        <f>IF($D746="",0,IF($F746&lt;2,0,IF($E746="Win",('Guide &amp; Settings'!$C$42/(($F746-1)*COUNTIFS($A$4:$A$1510,$A746,$E$4:$E$1510,"Win")))*SUMIFS($Z$4:$Z$1510,$A$4:$A$1510,$A746,$E$4:$E$1510,"Loss"),-('Guide &amp; Settings'!$C$42/($F746-1))*$Z746)))</f>
        <v>0</v>
      </c>
      <c r="AB746" s="126">
        <f t="shared" si="236"/>
        <v>0</v>
      </c>
      <c r="AC746" s="126" t="str">
        <f>IF($D746="","",IF($AD746=0,0,IF(COUNTIFS($D$4:$D746,$D746,$B$4:$B746,$B746)&gt;1,0,IF($B746&lt;'Guide &amp; Settings'!$C$50,0,IF(($B746-$AD746)/7-'Guide &amp; Settings'!$C$48&gt;=0,(INT(($B746-$AD746)/7-'Guide &amp; Settings'!$C$48)+1)*'Guide &amp; Settings'!$C$49,0)))))</f>
        <v/>
      </c>
      <c r="AD746" s="142">
        <f t="shared" si="237"/>
        <v>0</v>
      </c>
      <c r="AE746">
        <f t="shared" si="238"/>
        <v>0</v>
      </c>
      <c r="AF746">
        <f t="shared" si="239"/>
        <v>0</v>
      </c>
    </row>
    <row r="747" spans="1:32" x14ac:dyDescent="0.2">
      <c r="A747" s="117"/>
      <c r="B747" s="118"/>
      <c r="C747" s="119"/>
      <c r="D747" s="119"/>
      <c r="E747" s="117"/>
      <c r="F747" s="120">
        <f t="shared" si="220"/>
        <v>0</v>
      </c>
      <c r="G747" s="121" t="str">
        <f t="shared" si="221"/>
        <v/>
      </c>
      <c r="H747" s="122">
        <f>IF($D747="",0,IFERROR(LOOKUP(2,1/(($D$3:D746=$D747)*($A$3:A746&lt;$A747)),$N$3:N746),'Guide &amp; Settings'!$C$41))</f>
        <v>0</v>
      </c>
      <c r="I747" s="123">
        <f t="shared" si="222"/>
        <v>0</v>
      </c>
      <c r="J747" s="124">
        <f>IF($D747="",0,IF($F747&lt;2,0,IF($E747="Win",('Guide &amp; Settings'!$C$42/(($F747-1)*COUNTIFS($A$4:$A$1510,$A747,$E$4:$E$1510,"Win")))*SUMIFS($X$4:$X$1510,$A$4:$A$1510,$A747,$E$4:$E$1510,"Loss"),-('Guide &amp; Settings'!$C$42/($F747-1))*$X747)))</f>
        <v>0</v>
      </c>
      <c r="K747" s="124">
        <f>IF($D747="",0,'Guide &amp; Settings'!$C$43*(IF($E747="Win",1,0)-$I747))</f>
        <v>0</v>
      </c>
      <c r="L747" s="125">
        <f>IF($D747="",0,'Guide &amp; Settings'!$C$44*IF($F747&gt;=3,$F747,0))</f>
        <v>0</v>
      </c>
      <c r="M747" s="124">
        <f t="shared" si="223"/>
        <v>0</v>
      </c>
      <c r="N747" s="122">
        <f t="shared" si="224"/>
        <v>0</v>
      </c>
      <c r="O747" s="121" t="str">
        <f t="shared" si="225"/>
        <v/>
      </c>
      <c r="P747">
        <f t="shared" si="226"/>
        <v>0</v>
      </c>
      <c r="Q747">
        <f t="shared" si="227"/>
        <v>0</v>
      </c>
      <c r="R747">
        <f t="shared" si="228"/>
        <v>0</v>
      </c>
      <c r="S747">
        <f t="shared" si="229"/>
        <v>0</v>
      </c>
      <c r="T747" s="89">
        <f t="shared" si="230"/>
        <v>0</v>
      </c>
      <c r="U747" s="126">
        <f>IF($D747="",0,IFERROR(LOOKUP(2,1/(($D$3:D746=$D747)*($C$3:C746=$C747)*($A$3:A746&lt;$A747)),$AB$3:AB746),1000))</f>
        <v>0</v>
      </c>
      <c r="V747" s="126">
        <f t="shared" si="231"/>
        <v>0</v>
      </c>
      <c r="W747">
        <f t="shared" si="232"/>
        <v>0</v>
      </c>
      <c r="X747">
        <f t="shared" si="233"/>
        <v>0</v>
      </c>
      <c r="Y747">
        <f t="shared" si="234"/>
        <v>0</v>
      </c>
      <c r="Z747">
        <f t="shared" si="235"/>
        <v>0</v>
      </c>
      <c r="AA747">
        <f>IF($D747="",0,IF($F747&lt;2,0,IF($E747="Win",('Guide &amp; Settings'!$C$42/(($F747-1)*COUNTIFS($A$4:$A$1510,$A747,$E$4:$E$1510,"Win")))*SUMIFS($Z$4:$Z$1510,$A$4:$A$1510,$A747,$E$4:$E$1510,"Loss"),-('Guide &amp; Settings'!$C$42/($F747-1))*$Z747)))</f>
        <v>0</v>
      </c>
      <c r="AB747" s="126">
        <f t="shared" si="236"/>
        <v>0</v>
      </c>
      <c r="AC747" s="126" t="str">
        <f>IF($D747="","",IF($AD747=0,0,IF(COUNTIFS($D$4:$D747,$D747,$B$4:$B747,$B747)&gt;1,0,IF($B747&lt;'Guide &amp; Settings'!$C$50,0,IF(($B747-$AD747)/7-'Guide &amp; Settings'!$C$48&gt;=0,(INT(($B747-$AD747)/7-'Guide &amp; Settings'!$C$48)+1)*'Guide &amp; Settings'!$C$49,0)))))</f>
        <v/>
      </c>
      <c r="AD747" s="142">
        <f t="shared" si="237"/>
        <v>0</v>
      </c>
      <c r="AE747">
        <f t="shared" si="238"/>
        <v>0</v>
      </c>
      <c r="AF747">
        <f t="shared" si="239"/>
        <v>0</v>
      </c>
    </row>
    <row r="748" spans="1:32" x14ac:dyDescent="0.2">
      <c r="A748" s="117"/>
      <c r="B748" s="118"/>
      <c r="C748" s="119"/>
      <c r="D748" s="119"/>
      <c r="E748" s="117"/>
      <c r="F748" s="120">
        <f t="shared" si="220"/>
        <v>0</v>
      </c>
      <c r="G748" s="121" t="str">
        <f t="shared" si="221"/>
        <v/>
      </c>
      <c r="H748" s="122">
        <f>IF($D748="",0,IFERROR(LOOKUP(2,1/(($D$3:D747=$D748)*($A$3:A747&lt;$A748)),$N$3:N747),'Guide &amp; Settings'!$C$41))</f>
        <v>0</v>
      </c>
      <c r="I748" s="123">
        <f t="shared" si="222"/>
        <v>0</v>
      </c>
      <c r="J748" s="124">
        <f>IF($D748="",0,IF($F748&lt;2,0,IF($E748="Win",('Guide &amp; Settings'!$C$42/(($F748-1)*COUNTIFS($A$4:$A$1510,$A748,$E$4:$E$1510,"Win")))*SUMIFS($X$4:$X$1510,$A$4:$A$1510,$A748,$E$4:$E$1510,"Loss"),-('Guide &amp; Settings'!$C$42/($F748-1))*$X748)))</f>
        <v>0</v>
      </c>
      <c r="K748" s="124">
        <f>IF($D748="",0,'Guide &amp; Settings'!$C$43*(IF($E748="Win",1,0)-$I748))</f>
        <v>0</v>
      </c>
      <c r="L748" s="125">
        <f>IF($D748="",0,'Guide &amp; Settings'!$C$44*IF($F748&gt;=3,$F748,0))</f>
        <v>0</v>
      </c>
      <c r="M748" s="124">
        <f t="shared" si="223"/>
        <v>0</v>
      </c>
      <c r="N748" s="122">
        <f t="shared" si="224"/>
        <v>0</v>
      </c>
      <c r="O748" s="121" t="str">
        <f t="shared" si="225"/>
        <v/>
      </c>
      <c r="P748">
        <f t="shared" si="226"/>
        <v>0</v>
      </c>
      <c r="Q748">
        <f t="shared" si="227"/>
        <v>0</v>
      </c>
      <c r="R748">
        <f t="shared" si="228"/>
        <v>0</v>
      </c>
      <c r="S748">
        <f t="shared" si="229"/>
        <v>0</v>
      </c>
      <c r="T748" s="89">
        <f t="shared" si="230"/>
        <v>0</v>
      </c>
      <c r="U748" s="126">
        <f>IF($D748="",0,IFERROR(LOOKUP(2,1/(($D$3:D747=$D748)*($C$3:C747=$C748)*($A$3:A747&lt;$A748)),$AB$3:AB747),1000))</f>
        <v>0</v>
      </c>
      <c r="V748" s="126">
        <f t="shared" si="231"/>
        <v>0</v>
      </c>
      <c r="W748">
        <f t="shared" si="232"/>
        <v>0</v>
      </c>
      <c r="X748">
        <f t="shared" si="233"/>
        <v>0</v>
      </c>
      <c r="Y748">
        <f t="shared" si="234"/>
        <v>0</v>
      </c>
      <c r="Z748">
        <f t="shared" si="235"/>
        <v>0</v>
      </c>
      <c r="AA748">
        <f>IF($D748="",0,IF($F748&lt;2,0,IF($E748="Win",('Guide &amp; Settings'!$C$42/(($F748-1)*COUNTIFS($A$4:$A$1510,$A748,$E$4:$E$1510,"Win")))*SUMIFS($Z$4:$Z$1510,$A$4:$A$1510,$A748,$E$4:$E$1510,"Loss"),-('Guide &amp; Settings'!$C$42/($F748-1))*$Z748)))</f>
        <v>0</v>
      </c>
      <c r="AB748" s="126">
        <f t="shared" si="236"/>
        <v>0</v>
      </c>
      <c r="AC748" s="126" t="str">
        <f>IF($D748="","",IF($AD748=0,0,IF(COUNTIFS($D$4:$D748,$D748,$B$4:$B748,$B748)&gt;1,0,IF($B748&lt;'Guide &amp; Settings'!$C$50,0,IF(($B748-$AD748)/7-'Guide &amp; Settings'!$C$48&gt;=0,(INT(($B748-$AD748)/7-'Guide &amp; Settings'!$C$48)+1)*'Guide &amp; Settings'!$C$49,0)))))</f>
        <v/>
      </c>
      <c r="AD748" s="142">
        <f t="shared" si="237"/>
        <v>0</v>
      </c>
      <c r="AE748">
        <f t="shared" si="238"/>
        <v>0</v>
      </c>
      <c r="AF748">
        <f t="shared" si="239"/>
        <v>0</v>
      </c>
    </row>
    <row r="749" spans="1:32" x14ac:dyDescent="0.2">
      <c r="A749" s="117"/>
      <c r="B749" s="118"/>
      <c r="C749" s="119"/>
      <c r="D749" s="119"/>
      <c r="E749" s="117"/>
      <c r="F749" s="120">
        <f t="shared" si="220"/>
        <v>0</v>
      </c>
      <c r="G749" s="121" t="str">
        <f t="shared" si="221"/>
        <v/>
      </c>
      <c r="H749" s="122">
        <f>IF($D749="",0,IFERROR(LOOKUP(2,1/(($D$3:D748=$D749)*($A$3:A748&lt;$A749)),$N$3:N748),'Guide &amp; Settings'!$C$41))</f>
        <v>0</v>
      </c>
      <c r="I749" s="123">
        <f t="shared" si="222"/>
        <v>0</v>
      </c>
      <c r="J749" s="124">
        <f>IF($D749="",0,IF($F749&lt;2,0,IF($E749="Win",('Guide &amp; Settings'!$C$42/(($F749-1)*COUNTIFS($A$4:$A$1510,$A749,$E$4:$E$1510,"Win")))*SUMIFS($X$4:$X$1510,$A$4:$A$1510,$A749,$E$4:$E$1510,"Loss"),-('Guide &amp; Settings'!$C$42/($F749-1))*$X749)))</f>
        <v>0</v>
      </c>
      <c r="K749" s="124">
        <f>IF($D749="",0,'Guide &amp; Settings'!$C$43*(IF($E749="Win",1,0)-$I749))</f>
        <v>0</v>
      </c>
      <c r="L749" s="125">
        <f>IF($D749="",0,'Guide &amp; Settings'!$C$44*IF($F749&gt;=3,$F749,0))</f>
        <v>0</v>
      </c>
      <c r="M749" s="124">
        <f t="shared" si="223"/>
        <v>0</v>
      </c>
      <c r="N749" s="122">
        <f t="shared" si="224"/>
        <v>0</v>
      </c>
      <c r="O749" s="121" t="str">
        <f t="shared" si="225"/>
        <v/>
      </c>
      <c r="P749">
        <f t="shared" si="226"/>
        <v>0</v>
      </c>
      <c r="Q749">
        <f t="shared" si="227"/>
        <v>0</v>
      </c>
      <c r="R749">
        <f t="shared" si="228"/>
        <v>0</v>
      </c>
      <c r="S749">
        <f t="shared" si="229"/>
        <v>0</v>
      </c>
      <c r="T749" s="89">
        <f t="shared" si="230"/>
        <v>0</v>
      </c>
      <c r="U749" s="126">
        <f>IF($D749="",0,IFERROR(LOOKUP(2,1/(($D$3:D748=$D749)*($C$3:C748=$C749)*($A$3:A748&lt;$A749)),$AB$3:AB748),1000))</f>
        <v>0</v>
      </c>
      <c r="V749" s="126">
        <f t="shared" si="231"/>
        <v>0</v>
      </c>
      <c r="W749">
        <f t="shared" si="232"/>
        <v>0</v>
      </c>
      <c r="X749">
        <f t="shared" si="233"/>
        <v>0</v>
      </c>
      <c r="Y749">
        <f t="shared" si="234"/>
        <v>0</v>
      </c>
      <c r="Z749">
        <f t="shared" si="235"/>
        <v>0</v>
      </c>
      <c r="AA749">
        <f>IF($D749="",0,IF($F749&lt;2,0,IF($E749="Win",('Guide &amp; Settings'!$C$42/(($F749-1)*COUNTIFS($A$4:$A$1510,$A749,$E$4:$E$1510,"Win")))*SUMIFS($Z$4:$Z$1510,$A$4:$A$1510,$A749,$E$4:$E$1510,"Loss"),-('Guide &amp; Settings'!$C$42/($F749-1))*$Z749)))</f>
        <v>0</v>
      </c>
      <c r="AB749" s="126">
        <f t="shared" si="236"/>
        <v>0</v>
      </c>
      <c r="AC749" s="126" t="str">
        <f>IF($D749="","",IF($AD749=0,0,IF(COUNTIFS($D$4:$D749,$D749,$B$4:$B749,$B749)&gt;1,0,IF($B749&lt;'Guide &amp; Settings'!$C$50,0,IF(($B749-$AD749)/7-'Guide &amp; Settings'!$C$48&gt;=0,(INT(($B749-$AD749)/7-'Guide &amp; Settings'!$C$48)+1)*'Guide &amp; Settings'!$C$49,0)))))</f>
        <v/>
      </c>
      <c r="AD749" s="142">
        <f t="shared" si="237"/>
        <v>0</v>
      </c>
      <c r="AE749">
        <f t="shared" si="238"/>
        <v>0</v>
      </c>
      <c r="AF749">
        <f t="shared" si="239"/>
        <v>0</v>
      </c>
    </row>
    <row r="750" spans="1:32" x14ac:dyDescent="0.2">
      <c r="A750" s="117"/>
      <c r="B750" s="118"/>
      <c r="C750" s="119"/>
      <c r="D750" s="119"/>
      <c r="E750" s="117"/>
      <c r="F750" s="120">
        <f t="shared" si="220"/>
        <v>0</v>
      </c>
      <c r="G750" s="121" t="str">
        <f t="shared" si="221"/>
        <v/>
      </c>
      <c r="H750" s="122">
        <f>IF($D750="",0,IFERROR(LOOKUP(2,1/(($D$3:D749=$D750)*($A$3:A749&lt;$A750)),$N$3:N749),'Guide &amp; Settings'!$C$41))</f>
        <v>0</v>
      </c>
      <c r="I750" s="123">
        <f t="shared" si="222"/>
        <v>0</v>
      </c>
      <c r="J750" s="124">
        <f>IF($D750="",0,IF($F750&lt;2,0,IF($E750="Win",('Guide &amp; Settings'!$C$42/(($F750-1)*COUNTIFS($A$4:$A$1510,$A750,$E$4:$E$1510,"Win")))*SUMIFS($X$4:$X$1510,$A$4:$A$1510,$A750,$E$4:$E$1510,"Loss"),-('Guide &amp; Settings'!$C$42/($F750-1))*$X750)))</f>
        <v>0</v>
      </c>
      <c r="K750" s="124">
        <f>IF($D750="",0,'Guide &amp; Settings'!$C$43*(IF($E750="Win",1,0)-$I750))</f>
        <v>0</v>
      </c>
      <c r="L750" s="125">
        <f>IF($D750="",0,'Guide &amp; Settings'!$C$44*IF($F750&gt;=3,$F750,0))</f>
        <v>0</v>
      </c>
      <c r="M750" s="124">
        <f t="shared" si="223"/>
        <v>0</v>
      </c>
      <c r="N750" s="122">
        <f t="shared" si="224"/>
        <v>0</v>
      </c>
      <c r="O750" s="121" t="str">
        <f t="shared" si="225"/>
        <v/>
      </c>
      <c r="P750">
        <f t="shared" si="226"/>
        <v>0</v>
      </c>
      <c r="Q750">
        <f t="shared" si="227"/>
        <v>0</v>
      </c>
      <c r="R750">
        <f t="shared" si="228"/>
        <v>0</v>
      </c>
      <c r="S750">
        <f t="shared" si="229"/>
        <v>0</v>
      </c>
      <c r="T750" s="89">
        <f t="shared" si="230"/>
        <v>0</v>
      </c>
      <c r="U750" s="126">
        <f>IF($D750="",0,IFERROR(LOOKUP(2,1/(($D$3:D749=$D750)*($C$3:C749=$C750)*($A$3:A749&lt;$A750)),$AB$3:AB749),1000))</f>
        <v>0</v>
      </c>
      <c r="V750" s="126">
        <f t="shared" si="231"/>
        <v>0</v>
      </c>
      <c r="W750">
        <f t="shared" si="232"/>
        <v>0</v>
      </c>
      <c r="X750">
        <f t="shared" si="233"/>
        <v>0</v>
      </c>
      <c r="Y750">
        <f t="shared" si="234"/>
        <v>0</v>
      </c>
      <c r="Z750">
        <f t="shared" si="235"/>
        <v>0</v>
      </c>
      <c r="AA750">
        <f>IF($D750="",0,IF($F750&lt;2,0,IF($E750="Win",('Guide &amp; Settings'!$C$42/(($F750-1)*COUNTIFS($A$4:$A$1510,$A750,$E$4:$E$1510,"Win")))*SUMIFS($Z$4:$Z$1510,$A$4:$A$1510,$A750,$E$4:$E$1510,"Loss"),-('Guide &amp; Settings'!$C$42/($F750-1))*$Z750)))</f>
        <v>0</v>
      </c>
      <c r="AB750" s="126">
        <f t="shared" si="236"/>
        <v>0</v>
      </c>
      <c r="AC750" s="126" t="str">
        <f>IF($D750="","",IF($AD750=0,0,IF(COUNTIFS($D$4:$D750,$D750,$B$4:$B750,$B750)&gt;1,0,IF($B750&lt;'Guide &amp; Settings'!$C$50,0,IF(($B750-$AD750)/7-'Guide &amp; Settings'!$C$48&gt;=0,(INT(($B750-$AD750)/7-'Guide &amp; Settings'!$C$48)+1)*'Guide &amp; Settings'!$C$49,0)))))</f>
        <v/>
      </c>
      <c r="AD750" s="142">
        <f t="shared" si="237"/>
        <v>0</v>
      </c>
      <c r="AE750">
        <f t="shared" si="238"/>
        <v>0</v>
      </c>
      <c r="AF750">
        <f t="shared" si="239"/>
        <v>0</v>
      </c>
    </row>
    <row r="751" spans="1:32" x14ac:dyDescent="0.2">
      <c r="A751" s="117"/>
      <c r="B751" s="118"/>
      <c r="C751" s="119"/>
      <c r="D751" s="119"/>
      <c r="E751" s="117"/>
      <c r="F751" s="120">
        <f t="shared" si="220"/>
        <v>0</v>
      </c>
      <c r="G751" s="121" t="str">
        <f t="shared" si="221"/>
        <v/>
      </c>
      <c r="H751" s="122">
        <f>IF($D751="",0,IFERROR(LOOKUP(2,1/(($D$3:D750=$D751)*($A$3:A750&lt;$A751)),$N$3:N750),'Guide &amp; Settings'!$C$41))</f>
        <v>0</v>
      </c>
      <c r="I751" s="123">
        <f t="shared" si="222"/>
        <v>0</v>
      </c>
      <c r="J751" s="124">
        <f>IF($D751="",0,IF($F751&lt;2,0,IF($E751="Win",('Guide &amp; Settings'!$C$42/(($F751-1)*COUNTIFS($A$4:$A$1510,$A751,$E$4:$E$1510,"Win")))*SUMIFS($X$4:$X$1510,$A$4:$A$1510,$A751,$E$4:$E$1510,"Loss"),-('Guide &amp; Settings'!$C$42/($F751-1))*$X751)))</f>
        <v>0</v>
      </c>
      <c r="K751" s="124">
        <f>IF($D751="",0,'Guide &amp; Settings'!$C$43*(IF($E751="Win",1,0)-$I751))</f>
        <v>0</v>
      </c>
      <c r="L751" s="125">
        <f>IF($D751="",0,'Guide &amp; Settings'!$C$44*IF($F751&gt;=3,$F751,0))</f>
        <v>0</v>
      </c>
      <c r="M751" s="124">
        <f t="shared" si="223"/>
        <v>0</v>
      </c>
      <c r="N751" s="122">
        <f t="shared" si="224"/>
        <v>0</v>
      </c>
      <c r="O751" s="121" t="str">
        <f t="shared" si="225"/>
        <v/>
      </c>
      <c r="P751">
        <f t="shared" si="226"/>
        <v>0</v>
      </c>
      <c r="Q751">
        <f t="shared" si="227"/>
        <v>0</v>
      </c>
      <c r="R751">
        <f t="shared" si="228"/>
        <v>0</v>
      </c>
      <c r="S751">
        <f t="shared" si="229"/>
        <v>0</v>
      </c>
      <c r="T751" s="89">
        <f t="shared" si="230"/>
        <v>0</v>
      </c>
      <c r="U751" s="126">
        <f>IF($D751="",0,IFERROR(LOOKUP(2,1/(($D$3:D750=$D751)*($C$3:C750=$C751)*($A$3:A750&lt;$A751)),$AB$3:AB750),1000))</f>
        <v>0</v>
      </c>
      <c r="V751" s="126">
        <f t="shared" si="231"/>
        <v>0</v>
      </c>
      <c r="W751">
        <f t="shared" si="232"/>
        <v>0</v>
      </c>
      <c r="X751">
        <f t="shared" si="233"/>
        <v>0</v>
      </c>
      <c r="Y751">
        <f t="shared" si="234"/>
        <v>0</v>
      </c>
      <c r="Z751">
        <f t="shared" si="235"/>
        <v>0</v>
      </c>
      <c r="AA751">
        <f>IF($D751="",0,IF($F751&lt;2,0,IF($E751="Win",('Guide &amp; Settings'!$C$42/(($F751-1)*COUNTIFS($A$4:$A$1510,$A751,$E$4:$E$1510,"Win")))*SUMIFS($Z$4:$Z$1510,$A$4:$A$1510,$A751,$E$4:$E$1510,"Loss"),-('Guide &amp; Settings'!$C$42/($F751-1))*$Z751)))</f>
        <v>0</v>
      </c>
      <c r="AB751" s="126">
        <f t="shared" si="236"/>
        <v>0</v>
      </c>
      <c r="AC751" s="126" t="str">
        <f>IF($D751="","",IF($AD751=0,0,IF(COUNTIFS($D$4:$D751,$D751,$B$4:$B751,$B751)&gt;1,0,IF($B751&lt;'Guide &amp; Settings'!$C$50,0,IF(($B751-$AD751)/7-'Guide &amp; Settings'!$C$48&gt;=0,(INT(($B751-$AD751)/7-'Guide &amp; Settings'!$C$48)+1)*'Guide &amp; Settings'!$C$49,0)))))</f>
        <v/>
      </c>
      <c r="AD751" s="142">
        <f t="shared" si="237"/>
        <v>0</v>
      </c>
      <c r="AE751">
        <f t="shared" si="238"/>
        <v>0</v>
      </c>
      <c r="AF751">
        <f t="shared" si="239"/>
        <v>0</v>
      </c>
    </row>
    <row r="752" spans="1:32" x14ac:dyDescent="0.2">
      <c r="A752" s="117"/>
      <c r="B752" s="118"/>
      <c r="C752" s="119"/>
      <c r="D752" s="119"/>
      <c r="E752" s="117"/>
      <c r="F752" s="120">
        <f t="shared" si="220"/>
        <v>0</v>
      </c>
      <c r="G752" s="121" t="str">
        <f t="shared" si="221"/>
        <v/>
      </c>
      <c r="H752" s="122">
        <f>IF($D752="",0,IFERROR(LOOKUP(2,1/(($D$3:D751=$D752)*($A$3:A751&lt;$A752)),$N$3:N751),'Guide &amp; Settings'!$C$41))</f>
        <v>0</v>
      </c>
      <c r="I752" s="123">
        <f t="shared" si="222"/>
        <v>0</v>
      </c>
      <c r="J752" s="124">
        <f>IF($D752="",0,IF($F752&lt;2,0,IF($E752="Win",('Guide &amp; Settings'!$C$42/(($F752-1)*COUNTIFS($A$4:$A$1510,$A752,$E$4:$E$1510,"Win")))*SUMIFS($X$4:$X$1510,$A$4:$A$1510,$A752,$E$4:$E$1510,"Loss"),-('Guide &amp; Settings'!$C$42/($F752-1))*$X752)))</f>
        <v>0</v>
      </c>
      <c r="K752" s="124">
        <f>IF($D752="",0,'Guide &amp; Settings'!$C$43*(IF($E752="Win",1,0)-$I752))</f>
        <v>0</v>
      </c>
      <c r="L752" s="125">
        <f>IF($D752="",0,'Guide &amp; Settings'!$C$44*IF($F752&gt;=3,$F752,0))</f>
        <v>0</v>
      </c>
      <c r="M752" s="124">
        <f t="shared" si="223"/>
        <v>0</v>
      </c>
      <c r="N752" s="122">
        <f t="shared" si="224"/>
        <v>0</v>
      </c>
      <c r="O752" s="121" t="str">
        <f t="shared" si="225"/>
        <v/>
      </c>
      <c r="P752">
        <f t="shared" si="226"/>
        <v>0</v>
      </c>
      <c r="Q752">
        <f t="shared" si="227"/>
        <v>0</v>
      </c>
      <c r="R752">
        <f t="shared" si="228"/>
        <v>0</v>
      </c>
      <c r="S752">
        <f t="shared" si="229"/>
        <v>0</v>
      </c>
      <c r="T752" s="89">
        <f t="shared" si="230"/>
        <v>0</v>
      </c>
      <c r="U752" s="126">
        <f>IF($D752="",0,IFERROR(LOOKUP(2,1/(($D$3:D751=$D752)*($C$3:C751=$C752)*($A$3:A751&lt;$A752)),$AB$3:AB751),1000))</f>
        <v>0</v>
      </c>
      <c r="V752" s="126">
        <f t="shared" si="231"/>
        <v>0</v>
      </c>
      <c r="W752">
        <f t="shared" si="232"/>
        <v>0</v>
      </c>
      <c r="X752">
        <f t="shared" si="233"/>
        <v>0</v>
      </c>
      <c r="Y752">
        <f t="shared" si="234"/>
        <v>0</v>
      </c>
      <c r="Z752">
        <f t="shared" si="235"/>
        <v>0</v>
      </c>
      <c r="AA752">
        <f>IF($D752="",0,IF($F752&lt;2,0,IF($E752="Win",('Guide &amp; Settings'!$C$42/(($F752-1)*COUNTIFS($A$4:$A$1510,$A752,$E$4:$E$1510,"Win")))*SUMIFS($Z$4:$Z$1510,$A$4:$A$1510,$A752,$E$4:$E$1510,"Loss"),-('Guide &amp; Settings'!$C$42/($F752-1))*$Z752)))</f>
        <v>0</v>
      </c>
      <c r="AB752" s="126">
        <f t="shared" si="236"/>
        <v>0</v>
      </c>
      <c r="AC752" s="126" t="str">
        <f>IF($D752="","",IF($AD752=0,0,IF(COUNTIFS($D$4:$D752,$D752,$B$4:$B752,$B752)&gt;1,0,IF($B752&lt;'Guide &amp; Settings'!$C$50,0,IF(($B752-$AD752)/7-'Guide &amp; Settings'!$C$48&gt;=0,(INT(($B752-$AD752)/7-'Guide &amp; Settings'!$C$48)+1)*'Guide &amp; Settings'!$C$49,0)))))</f>
        <v/>
      </c>
      <c r="AD752" s="142">
        <f t="shared" si="237"/>
        <v>0</v>
      </c>
      <c r="AE752">
        <f t="shared" si="238"/>
        <v>0</v>
      </c>
      <c r="AF752">
        <f t="shared" si="239"/>
        <v>0</v>
      </c>
    </row>
    <row r="753" spans="1:32" x14ac:dyDescent="0.2">
      <c r="A753" s="117"/>
      <c r="B753" s="118"/>
      <c r="C753" s="119"/>
      <c r="D753" s="119"/>
      <c r="E753" s="117"/>
      <c r="F753" s="120">
        <f t="shared" si="220"/>
        <v>0</v>
      </c>
      <c r="G753" s="121" t="str">
        <f t="shared" si="221"/>
        <v/>
      </c>
      <c r="H753" s="122">
        <f>IF($D753="",0,IFERROR(LOOKUP(2,1/(($D$3:D752=$D753)*($A$3:A752&lt;$A753)),$N$3:N752),'Guide &amp; Settings'!$C$41))</f>
        <v>0</v>
      </c>
      <c r="I753" s="123">
        <f t="shared" si="222"/>
        <v>0</v>
      </c>
      <c r="J753" s="124">
        <f>IF($D753="",0,IF($F753&lt;2,0,IF($E753="Win",('Guide &amp; Settings'!$C$42/(($F753-1)*COUNTIFS($A$4:$A$1510,$A753,$E$4:$E$1510,"Win")))*SUMIFS($X$4:$X$1510,$A$4:$A$1510,$A753,$E$4:$E$1510,"Loss"),-('Guide &amp; Settings'!$C$42/($F753-1))*$X753)))</f>
        <v>0</v>
      </c>
      <c r="K753" s="124">
        <f>IF($D753="",0,'Guide &amp; Settings'!$C$43*(IF($E753="Win",1,0)-$I753))</f>
        <v>0</v>
      </c>
      <c r="L753" s="125">
        <f>IF($D753="",0,'Guide &amp; Settings'!$C$44*IF($F753&gt;=3,$F753,0))</f>
        <v>0</v>
      </c>
      <c r="M753" s="124">
        <f t="shared" si="223"/>
        <v>0</v>
      </c>
      <c r="N753" s="122">
        <f t="shared" si="224"/>
        <v>0</v>
      </c>
      <c r="O753" s="121" t="str">
        <f t="shared" si="225"/>
        <v/>
      </c>
      <c r="P753">
        <f t="shared" si="226"/>
        <v>0</v>
      </c>
      <c r="Q753">
        <f t="shared" si="227"/>
        <v>0</v>
      </c>
      <c r="R753">
        <f t="shared" si="228"/>
        <v>0</v>
      </c>
      <c r="S753">
        <f t="shared" si="229"/>
        <v>0</v>
      </c>
      <c r="T753" s="89">
        <f t="shared" si="230"/>
        <v>0</v>
      </c>
      <c r="U753" s="126">
        <f>IF($D753="",0,IFERROR(LOOKUP(2,1/(($D$3:D752=$D753)*($C$3:C752=$C753)*($A$3:A752&lt;$A753)),$AB$3:AB752),1000))</f>
        <v>0</v>
      </c>
      <c r="V753" s="126">
        <f t="shared" si="231"/>
        <v>0</v>
      </c>
      <c r="W753">
        <f t="shared" si="232"/>
        <v>0</v>
      </c>
      <c r="X753">
        <f t="shared" si="233"/>
        <v>0</v>
      </c>
      <c r="Y753">
        <f t="shared" si="234"/>
        <v>0</v>
      </c>
      <c r="Z753">
        <f t="shared" si="235"/>
        <v>0</v>
      </c>
      <c r="AA753">
        <f>IF($D753="",0,IF($F753&lt;2,0,IF($E753="Win",('Guide &amp; Settings'!$C$42/(($F753-1)*COUNTIFS($A$4:$A$1510,$A753,$E$4:$E$1510,"Win")))*SUMIFS($Z$4:$Z$1510,$A$4:$A$1510,$A753,$E$4:$E$1510,"Loss"),-('Guide &amp; Settings'!$C$42/($F753-1))*$Z753)))</f>
        <v>0</v>
      </c>
      <c r="AB753" s="126">
        <f t="shared" si="236"/>
        <v>0</v>
      </c>
      <c r="AC753" s="126" t="str">
        <f>IF($D753="","",IF($AD753=0,0,IF(COUNTIFS($D$4:$D753,$D753,$B$4:$B753,$B753)&gt;1,0,IF($B753&lt;'Guide &amp; Settings'!$C$50,0,IF(($B753-$AD753)/7-'Guide &amp; Settings'!$C$48&gt;=0,(INT(($B753-$AD753)/7-'Guide &amp; Settings'!$C$48)+1)*'Guide &amp; Settings'!$C$49,0)))))</f>
        <v/>
      </c>
      <c r="AD753" s="142">
        <f t="shared" si="237"/>
        <v>0</v>
      </c>
      <c r="AE753">
        <f t="shared" si="238"/>
        <v>0</v>
      </c>
      <c r="AF753">
        <f t="shared" si="239"/>
        <v>0</v>
      </c>
    </row>
    <row r="754" spans="1:32" x14ac:dyDescent="0.2">
      <c r="A754" s="117"/>
      <c r="B754" s="118"/>
      <c r="C754" s="119"/>
      <c r="D754" s="119"/>
      <c r="E754" s="117"/>
      <c r="F754" s="120">
        <f t="shared" si="220"/>
        <v>0</v>
      </c>
      <c r="G754" s="121" t="str">
        <f t="shared" si="221"/>
        <v/>
      </c>
      <c r="H754" s="122">
        <f>IF($D754="",0,IFERROR(LOOKUP(2,1/(($D$3:D753=$D754)*($A$3:A753&lt;$A754)),$N$3:N753),'Guide &amp; Settings'!$C$41))</f>
        <v>0</v>
      </c>
      <c r="I754" s="123">
        <f t="shared" si="222"/>
        <v>0</v>
      </c>
      <c r="J754" s="124">
        <f>IF($D754="",0,IF($F754&lt;2,0,IF($E754="Win",('Guide &amp; Settings'!$C$42/(($F754-1)*COUNTIFS($A$4:$A$1510,$A754,$E$4:$E$1510,"Win")))*SUMIFS($X$4:$X$1510,$A$4:$A$1510,$A754,$E$4:$E$1510,"Loss"),-('Guide &amp; Settings'!$C$42/($F754-1))*$X754)))</f>
        <v>0</v>
      </c>
      <c r="K754" s="124">
        <f>IF($D754="",0,'Guide &amp; Settings'!$C$43*(IF($E754="Win",1,0)-$I754))</f>
        <v>0</v>
      </c>
      <c r="L754" s="125">
        <f>IF($D754="",0,'Guide &amp; Settings'!$C$44*IF($F754&gt;=3,$F754,0))</f>
        <v>0</v>
      </c>
      <c r="M754" s="124">
        <f t="shared" si="223"/>
        <v>0</v>
      </c>
      <c r="N754" s="122">
        <f t="shared" si="224"/>
        <v>0</v>
      </c>
      <c r="O754" s="121" t="str">
        <f t="shared" si="225"/>
        <v/>
      </c>
      <c r="P754">
        <f t="shared" si="226"/>
        <v>0</v>
      </c>
      <c r="Q754">
        <f t="shared" si="227"/>
        <v>0</v>
      </c>
      <c r="R754">
        <f t="shared" si="228"/>
        <v>0</v>
      </c>
      <c r="S754">
        <f t="shared" si="229"/>
        <v>0</v>
      </c>
      <c r="T754" s="89">
        <f t="shared" si="230"/>
        <v>0</v>
      </c>
      <c r="U754" s="126">
        <f>IF($D754="",0,IFERROR(LOOKUP(2,1/(($D$3:D753=$D754)*($C$3:C753=$C754)*($A$3:A753&lt;$A754)),$AB$3:AB753),1000))</f>
        <v>0</v>
      </c>
      <c r="V754" s="126">
        <f t="shared" si="231"/>
        <v>0</v>
      </c>
      <c r="W754">
        <f t="shared" si="232"/>
        <v>0</v>
      </c>
      <c r="X754">
        <f t="shared" si="233"/>
        <v>0</v>
      </c>
      <c r="Y754">
        <f t="shared" si="234"/>
        <v>0</v>
      </c>
      <c r="Z754">
        <f t="shared" si="235"/>
        <v>0</v>
      </c>
      <c r="AA754">
        <f>IF($D754="",0,IF($F754&lt;2,0,IF($E754="Win",('Guide &amp; Settings'!$C$42/(($F754-1)*COUNTIFS($A$4:$A$1510,$A754,$E$4:$E$1510,"Win")))*SUMIFS($Z$4:$Z$1510,$A$4:$A$1510,$A754,$E$4:$E$1510,"Loss"),-('Guide &amp; Settings'!$C$42/($F754-1))*$Z754)))</f>
        <v>0</v>
      </c>
      <c r="AB754" s="126">
        <f t="shared" si="236"/>
        <v>0</v>
      </c>
      <c r="AC754" s="126" t="str">
        <f>IF($D754="","",IF($AD754=0,0,IF(COUNTIFS($D$4:$D754,$D754,$B$4:$B754,$B754)&gt;1,0,IF($B754&lt;'Guide &amp; Settings'!$C$50,0,IF(($B754-$AD754)/7-'Guide &amp; Settings'!$C$48&gt;=0,(INT(($B754-$AD754)/7-'Guide &amp; Settings'!$C$48)+1)*'Guide &amp; Settings'!$C$49,0)))))</f>
        <v/>
      </c>
      <c r="AD754" s="142">
        <f t="shared" si="237"/>
        <v>0</v>
      </c>
      <c r="AE754">
        <f t="shared" si="238"/>
        <v>0</v>
      </c>
      <c r="AF754">
        <f t="shared" si="239"/>
        <v>0</v>
      </c>
    </row>
    <row r="755" spans="1:32" x14ac:dyDescent="0.2">
      <c r="A755" s="117"/>
      <c r="B755" s="118"/>
      <c r="C755" s="119"/>
      <c r="D755" s="119"/>
      <c r="E755" s="117"/>
      <c r="F755" s="120">
        <f t="shared" si="220"/>
        <v>0</v>
      </c>
      <c r="G755" s="121" t="str">
        <f t="shared" si="221"/>
        <v/>
      </c>
      <c r="H755" s="122">
        <f>IF($D755="",0,IFERROR(LOOKUP(2,1/(($D$3:D754=$D755)*($A$3:A754&lt;$A755)),$N$3:N754),'Guide &amp; Settings'!$C$41))</f>
        <v>0</v>
      </c>
      <c r="I755" s="123">
        <f t="shared" si="222"/>
        <v>0</v>
      </c>
      <c r="J755" s="124">
        <f>IF($D755="",0,IF($F755&lt;2,0,IF($E755="Win",('Guide &amp; Settings'!$C$42/(($F755-1)*COUNTIFS($A$4:$A$1510,$A755,$E$4:$E$1510,"Win")))*SUMIFS($X$4:$X$1510,$A$4:$A$1510,$A755,$E$4:$E$1510,"Loss"),-('Guide &amp; Settings'!$C$42/($F755-1))*$X755)))</f>
        <v>0</v>
      </c>
      <c r="K755" s="124">
        <f>IF($D755="",0,'Guide &amp; Settings'!$C$43*(IF($E755="Win",1,0)-$I755))</f>
        <v>0</v>
      </c>
      <c r="L755" s="125">
        <f>IF($D755="",0,'Guide &amp; Settings'!$C$44*IF($F755&gt;=3,$F755,0))</f>
        <v>0</v>
      </c>
      <c r="M755" s="124">
        <f t="shared" si="223"/>
        <v>0</v>
      </c>
      <c r="N755" s="122">
        <f t="shared" si="224"/>
        <v>0</v>
      </c>
      <c r="O755" s="121" t="str">
        <f t="shared" si="225"/>
        <v/>
      </c>
      <c r="P755">
        <f t="shared" si="226"/>
        <v>0</v>
      </c>
      <c r="Q755">
        <f t="shared" si="227"/>
        <v>0</v>
      </c>
      <c r="R755">
        <f t="shared" si="228"/>
        <v>0</v>
      </c>
      <c r="S755">
        <f t="shared" si="229"/>
        <v>0</v>
      </c>
      <c r="T755" s="89">
        <f t="shared" si="230"/>
        <v>0</v>
      </c>
      <c r="U755" s="126">
        <f>IF($D755="",0,IFERROR(LOOKUP(2,1/(($D$3:D754=$D755)*($C$3:C754=$C755)*($A$3:A754&lt;$A755)),$AB$3:AB754),1000))</f>
        <v>0</v>
      </c>
      <c r="V755" s="126">
        <f t="shared" si="231"/>
        <v>0</v>
      </c>
      <c r="W755">
        <f t="shared" si="232"/>
        <v>0</v>
      </c>
      <c r="X755">
        <f t="shared" si="233"/>
        <v>0</v>
      </c>
      <c r="Y755">
        <f t="shared" si="234"/>
        <v>0</v>
      </c>
      <c r="Z755">
        <f t="shared" si="235"/>
        <v>0</v>
      </c>
      <c r="AA755">
        <f>IF($D755="",0,IF($F755&lt;2,0,IF($E755="Win",('Guide &amp; Settings'!$C$42/(($F755-1)*COUNTIFS($A$4:$A$1510,$A755,$E$4:$E$1510,"Win")))*SUMIFS($Z$4:$Z$1510,$A$4:$A$1510,$A755,$E$4:$E$1510,"Loss"),-('Guide &amp; Settings'!$C$42/($F755-1))*$Z755)))</f>
        <v>0</v>
      </c>
      <c r="AB755" s="126">
        <f t="shared" si="236"/>
        <v>0</v>
      </c>
      <c r="AC755" s="126" t="str">
        <f>IF($D755="","",IF($AD755=0,0,IF(COUNTIFS($D$4:$D755,$D755,$B$4:$B755,$B755)&gt;1,0,IF($B755&lt;'Guide &amp; Settings'!$C$50,0,IF(($B755-$AD755)/7-'Guide &amp; Settings'!$C$48&gt;=0,(INT(($B755-$AD755)/7-'Guide &amp; Settings'!$C$48)+1)*'Guide &amp; Settings'!$C$49,0)))))</f>
        <v/>
      </c>
      <c r="AD755" s="142">
        <f t="shared" si="237"/>
        <v>0</v>
      </c>
      <c r="AE755">
        <f t="shared" si="238"/>
        <v>0</v>
      </c>
      <c r="AF755">
        <f t="shared" si="239"/>
        <v>0</v>
      </c>
    </row>
    <row r="756" spans="1:32" x14ac:dyDescent="0.2">
      <c r="A756" s="117"/>
      <c r="B756" s="118"/>
      <c r="C756" s="119"/>
      <c r="D756" s="119"/>
      <c r="E756" s="117"/>
      <c r="F756" s="120">
        <f t="shared" si="220"/>
        <v>0</v>
      </c>
      <c r="G756" s="121" t="str">
        <f t="shared" si="221"/>
        <v/>
      </c>
      <c r="H756" s="122">
        <f>IF($D756="",0,IFERROR(LOOKUP(2,1/(($D$3:D755=$D756)*($A$3:A755&lt;$A756)),$N$3:N755),'Guide &amp; Settings'!$C$41))</f>
        <v>0</v>
      </c>
      <c r="I756" s="123">
        <f t="shared" si="222"/>
        <v>0</v>
      </c>
      <c r="J756" s="124">
        <f>IF($D756="",0,IF($F756&lt;2,0,IF($E756="Win",('Guide &amp; Settings'!$C$42/(($F756-1)*COUNTIFS($A$4:$A$1510,$A756,$E$4:$E$1510,"Win")))*SUMIFS($X$4:$X$1510,$A$4:$A$1510,$A756,$E$4:$E$1510,"Loss"),-('Guide &amp; Settings'!$C$42/($F756-1))*$X756)))</f>
        <v>0</v>
      </c>
      <c r="K756" s="124">
        <f>IF($D756="",0,'Guide &amp; Settings'!$C$43*(IF($E756="Win",1,0)-$I756))</f>
        <v>0</v>
      </c>
      <c r="L756" s="125">
        <f>IF($D756="",0,'Guide &amp; Settings'!$C$44*IF($F756&gt;=3,$F756,0))</f>
        <v>0</v>
      </c>
      <c r="M756" s="124">
        <f t="shared" si="223"/>
        <v>0</v>
      </c>
      <c r="N756" s="122">
        <f t="shared" si="224"/>
        <v>0</v>
      </c>
      <c r="O756" s="121" t="str">
        <f t="shared" si="225"/>
        <v/>
      </c>
      <c r="P756">
        <f t="shared" si="226"/>
        <v>0</v>
      </c>
      <c r="Q756">
        <f t="shared" si="227"/>
        <v>0</v>
      </c>
      <c r="R756">
        <f t="shared" si="228"/>
        <v>0</v>
      </c>
      <c r="S756">
        <f t="shared" si="229"/>
        <v>0</v>
      </c>
      <c r="T756" s="89">
        <f t="shared" si="230"/>
        <v>0</v>
      </c>
      <c r="U756" s="126">
        <f>IF($D756="",0,IFERROR(LOOKUP(2,1/(($D$3:D755=$D756)*($C$3:C755=$C756)*($A$3:A755&lt;$A756)),$AB$3:AB755),1000))</f>
        <v>0</v>
      </c>
      <c r="V756" s="126">
        <f t="shared" si="231"/>
        <v>0</v>
      </c>
      <c r="W756">
        <f t="shared" si="232"/>
        <v>0</v>
      </c>
      <c r="X756">
        <f t="shared" si="233"/>
        <v>0</v>
      </c>
      <c r="Y756">
        <f t="shared" si="234"/>
        <v>0</v>
      </c>
      <c r="Z756">
        <f t="shared" si="235"/>
        <v>0</v>
      </c>
      <c r="AA756">
        <f>IF($D756="",0,IF($F756&lt;2,0,IF($E756="Win",('Guide &amp; Settings'!$C$42/(($F756-1)*COUNTIFS($A$4:$A$1510,$A756,$E$4:$E$1510,"Win")))*SUMIFS($Z$4:$Z$1510,$A$4:$A$1510,$A756,$E$4:$E$1510,"Loss"),-('Guide &amp; Settings'!$C$42/($F756-1))*$Z756)))</f>
        <v>0</v>
      </c>
      <c r="AB756" s="126">
        <f t="shared" si="236"/>
        <v>0</v>
      </c>
      <c r="AC756" s="126" t="str">
        <f>IF($D756="","",IF($AD756=0,0,IF(COUNTIFS($D$4:$D756,$D756,$B$4:$B756,$B756)&gt;1,0,IF($B756&lt;'Guide &amp; Settings'!$C$50,0,IF(($B756-$AD756)/7-'Guide &amp; Settings'!$C$48&gt;=0,(INT(($B756-$AD756)/7-'Guide &amp; Settings'!$C$48)+1)*'Guide &amp; Settings'!$C$49,0)))))</f>
        <v/>
      </c>
      <c r="AD756" s="142">
        <f t="shared" si="237"/>
        <v>0</v>
      </c>
      <c r="AE756">
        <f t="shared" si="238"/>
        <v>0</v>
      </c>
      <c r="AF756">
        <f t="shared" si="239"/>
        <v>0</v>
      </c>
    </row>
    <row r="757" spans="1:32" x14ac:dyDescent="0.2">
      <c r="A757" s="117"/>
      <c r="B757" s="118"/>
      <c r="C757" s="119"/>
      <c r="D757" s="119"/>
      <c r="E757" s="117"/>
      <c r="F757" s="120">
        <f t="shared" si="220"/>
        <v>0</v>
      </c>
      <c r="G757" s="121" t="str">
        <f t="shared" si="221"/>
        <v/>
      </c>
      <c r="H757" s="122">
        <f>IF($D757="",0,IFERROR(LOOKUP(2,1/(($D$3:D756=$D757)*($A$3:A756&lt;$A757)),$N$3:N756),'Guide &amp; Settings'!$C$41))</f>
        <v>0</v>
      </c>
      <c r="I757" s="123">
        <f t="shared" si="222"/>
        <v>0</v>
      </c>
      <c r="J757" s="124">
        <f>IF($D757="",0,IF($F757&lt;2,0,IF($E757="Win",('Guide &amp; Settings'!$C$42/(($F757-1)*COUNTIFS($A$4:$A$1510,$A757,$E$4:$E$1510,"Win")))*SUMIFS($X$4:$X$1510,$A$4:$A$1510,$A757,$E$4:$E$1510,"Loss"),-('Guide &amp; Settings'!$C$42/($F757-1))*$X757)))</f>
        <v>0</v>
      </c>
      <c r="K757" s="124">
        <f>IF($D757="",0,'Guide &amp; Settings'!$C$43*(IF($E757="Win",1,0)-$I757))</f>
        <v>0</v>
      </c>
      <c r="L757" s="125">
        <f>IF($D757="",0,'Guide &amp; Settings'!$C$44*IF($F757&gt;=3,$F757,0))</f>
        <v>0</v>
      </c>
      <c r="M757" s="124">
        <f t="shared" si="223"/>
        <v>0</v>
      </c>
      <c r="N757" s="122">
        <f t="shared" si="224"/>
        <v>0</v>
      </c>
      <c r="O757" s="121" t="str">
        <f t="shared" si="225"/>
        <v/>
      </c>
      <c r="P757">
        <f t="shared" si="226"/>
        <v>0</v>
      </c>
      <c r="Q757">
        <f t="shared" si="227"/>
        <v>0</v>
      </c>
      <c r="R757">
        <f t="shared" si="228"/>
        <v>0</v>
      </c>
      <c r="S757">
        <f t="shared" si="229"/>
        <v>0</v>
      </c>
      <c r="T757" s="89">
        <f t="shared" si="230"/>
        <v>0</v>
      </c>
      <c r="U757" s="126">
        <f>IF($D757="",0,IFERROR(LOOKUP(2,1/(($D$3:D756=$D757)*($C$3:C756=$C757)*($A$3:A756&lt;$A757)),$AB$3:AB756),1000))</f>
        <v>0</v>
      </c>
      <c r="V757" s="126">
        <f t="shared" si="231"/>
        <v>0</v>
      </c>
      <c r="W757">
        <f t="shared" si="232"/>
        <v>0</v>
      </c>
      <c r="X757">
        <f t="shared" si="233"/>
        <v>0</v>
      </c>
      <c r="Y757">
        <f t="shared" si="234"/>
        <v>0</v>
      </c>
      <c r="Z757">
        <f t="shared" si="235"/>
        <v>0</v>
      </c>
      <c r="AA757">
        <f>IF($D757="",0,IF($F757&lt;2,0,IF($E757="Win",('Guide &amp; Settings'!$C$42/(($F757-1)*COUNTIFS($A$4:$A$1510,$A757,$E$4:$E$1510,"Win")))*SUMIFS($Z$4:$Z$1510,$A$4:$A$1510,$A757,$E$4:$E$1510,"Loss"),-('Guide &amp; Settings'!$C$42/($F757-1))*$Z757)))</f>
        <v>0</v>
      </c>
      <c r="AB757" s="126">
        <f t="shared" si="236"/>
        <v>0</v>
      </c>
      <c r="AC757" s="126" t="str">
        <f>IF($D757="","",IF($AD757=0,0,IF(COUNTIFS($D$4:$D757,$D757,$B$4:$B757,$B757)&gt;1,0,IF($B757&lt;'Guide &amp; Settings'!$C$50,0,IF(($B757-$AD757)/7-'Guide &amp; Settings'!$C$48&gt;=0,(INT(($B757-$AD757)/7-'Guide &amp; Settings'!$C$48)+1)*'Guide &amp; Settings'!$C$49,0)))))</f>
        <v/>
      </c>
      <c r="AD757" s="142">
        <f t="shared" si="237"/>
        <v>0</v>
      </c>
      <c r="AE757">
        <f t="shared" si="238"/>
        <v>0</v>
      </c>
      <c r="AF757">
        <f t="shared" si="239"/>
        <v>0</v>
      </c>
    </row>
    <row r="758" spans="1:32" x14ac:dyDescent="0.2">
      <c r="A758" s="117"/>
      <c r="B758" s="118"/>
      <c r="C758" s="119"/>
      <c r="D758" s="119"/>
      <c r="E758" s="117"/>
      <c r="F758" s="120">
        <f t="shared" si="220"/>
        <v>0</v>
      </c>
      <c r="G758" s="121" t="str">
        <f t="shared" si="221"/>
        <v/>
      </c>
      <c r="H758" s="122">
        <f>IF($D758="",0,IFERROR(LOOKUP(2,1/(($D$3:D757=$D758)*($A$3:A757&lt;$A758)),$N$3:N757),'Guide &amp; Settings'!$C$41))</f>
        <v>0</v>
      </c>
      <c r="I758" s="123">
        <f t="shared" si="222"/>
        <v>0</v>
      </c>
      <c r="J758" s="124">
        <f>IF($D758="",0,IF($F758&lt;2,0,IF($E758="Win",('Guide &amp; Settings'!$C$42/(($F758-1)*COUNTIFS($A$4:$A$1510,$A758,$E$4:$E$1510,"Win")))*SUMIFS($X$4:$X$1510,$A$4:$A$1510,$A758,$E$4:$E$1510,"Loss"),-('Guide &amp; Settings'!$C$42/($F758-1))*$X758)))</f>
        <v>0</v>
      </c>
      <c r="K758" s="124">
        <f>IF($D758="",0,'Guide &amp; Settings'!$C$43*(IF($E758="Win",1,0)-$I758))</f>
        <v>0</v>
      </c>
      <c r="L758" s="125">
        <f>IF($D758="",0,'Guide &amp; Settings'!$C$44*IF($F758&gt;=3,$F758,0))</f>
        <v>0</v>
      </c>
      <c r="M758" s="124">
        <f t="shared" si="223"/>
        <v>0</v>
      </c>
      <c r="N758" s="122">
        <f t="shared" si="224"/>
        <v>0</v>
      </c>
      <c r="O758" s="121" t="str">
        <f t="shared" si="225"/>
        <v/>
      </c>
      <c r="P758">
        <f t="shared" si="226"/>
        <v>0</v>
      </c>
      <c r="Q758">
        <f t="shared" si="227"/>
        <v>0</v>
      </c>
      <c r="R758">
        <f t="shared" si="228"/>
        <v>0</v>
      </c>
      <c r="S758">
        <f t="shared" si="229"/>
        <v>0</v>
      </c>
      <c r="T758" s="89">
        <f t="shared" si="230"/>
        <v>0</v>
      </c>
      <c r="U758" s="126">
        <f>IF($D758="",0,IFERROR(LOOKUP(2,1/(($D$3:D757=$D758)*($C$3:C757=$C758)*($A$3:A757&lt;$A758)),$AB$3:AB757),1000))</f>
        <v>0</v>
      </c>
      <c r="V758" s="126">
        <f t="shared" si="231"/>
        <v>0</v>
      </c>
      <c r="W758">
        <f t="shared" si="232"/>
        <v>0</v>
      </c>
      <c r="X758">
        <f t="shared" si="233"/>
        <v>0</v>
      </c>
      <c r="Y758">
        <f t="shared" si="234"/>
        <v>0</v>
      </c>
      <c r="Z758">
        <f t="shared" si="235"/>
        <v>0</v>
      </c>
      <c r="AA758">
        <f>IF($D758="",0,IF($F758&lt;2,0,IF($E758="Win",('Guide &amp; Settings'!$C$42/(($F758-1)*COUNTIFS($A$4:$A$1510,$A758,$E$4:$E$1510,"Win")))*SUMIFS($Z$4:$Z$1510,$A$4:$A$1510,$A758,$E$4:$E$1510,"Loss"),-('Guide &amp; Settings'!$C$42/($F758-1))*$Z758)))</f>
        <v>0</v>
      </c>
      <c r="AB758" s="126">
        <f t="shared" si="236"/>
        <v>0</v>
      </c>
      <c r="AC758" s="126" t="str">
        <f>IF($D758="","",IF($AD758=0,0,IF(COUNTIFS($D$4:$D758,$D758,$B$4:$B758,$B758)&gt;1,0,IF($B758&lt;'Guide &amp; Settings'!$C$50,0,IF(($B758-$AD758)/7-'Guide &amp; Settings'!$C$48&gt;=0,(INT(($B758-$AD758)/7-'Guide &amp; Settings'!$C$48)+1)*'Guide &amp; Settings'!$C$49,0)))))</f>
        <v/>
      </c>
      <c r="AD758" s="142">
        <f t="shared" si="237"/>
        <v>0</v>
      </c>
      <c r="AE758">
        <f t="shared" si="238"/>
        <v>0</v>
      </c>
      <c r="AF758">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42">
        <f t="shared" si="237"/>
        <v>0</v>
      </c>
      <c r="AE759">
        <f t="shared" si="238"/>
        <v>0</v>
      </c>
      <c r="AF759">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42">
        <f t="shared" si="237"/>
        <v>0</v>
      </c>
      <c r="AE760">
        <f t="shared" si="238"/>
        <v>0</v>
      </c>
      <c r="AF760">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42">
        <f t="shared" si="237"/>
        <v>0</v>
      </c>
      <c r="AE761">
        <f t="shared" si="238"/>
        <v>0</v>
      </c>
      <c r="AF761">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42">
        <f t="shared" si="237"/>
        <v>0</v>
      </c>
      <c r="AE762">
        <f t="shared" si="238"/>
        <v>0</v>
      </c>
      <c r="AF762">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42">
        <f t="shared" si="237"/>
        <v>0</v>
      </c>
      <c r="AE763">
        <f t="shared" si="238"/>
        <v>0</v>
      </c>
      <c r="AF763">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42">
        <f t="shared" si="237"/>
        <v>0</v>
      </c>
      <c r="AE764">
        <f t="shared" si="238"/>
        <v>0</v>
      </c>
      <c r="AF764">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42">
        <f t="shared" si="237"/>
        <v>0</v>
      </c>
      <c r="AE765">
        <f t="shared" si="238"/>
        <v>0</v>
      </c>
      <c r="AF765">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42">
        <f t="shared" si="237"/>
        <v>0</v>
      </c>
      <c r="AE766">
        <f t="shared" si="238"/>
        <v>0</v>
      </c>
      <c r="AF766">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42">
        <f t="shared" si="237"/>
        <v>0</v>
      </c>
      <c r="AE767">
        <f t="shared" si="238"/>
        <v>0</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4"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4" t="s">
        <v>377</v>
      </c>
      <c r="I3" s="146"/>
      <c r="J3" s="146"/>
      <c r="K3" s="146"/>
      <c r="L3" s="146"/>
      <c r="M3" s="146"/>
      <c r="N3" s="146"/>
      <c r="O3" s="146"/>
      <c r="P3" s="146"/>
      <c r="Q3" s="146"/>
      <c r="R3" s="146"/>
    </row>
    <row r="5" spans="1:18" ht="15" customHeight="1" x14ac:dyDescent="0.2">
      <c r="A5" s="162"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2"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46286</v>
      </c>
    </row>
    <row r="4" spans="1:41" ht="15" customHeight="1" x14ac:dyDescent="0.2">
      <c r="A4" t="s">
        <v>416</v>
      </c>
      <c r="B4" s="138">
        <f>MAX('Match Log'!$B$4:$B$1510)</f>
        <v>46293</v>
      </c>
      <c r="C4" t="s">
        <v>417</v>
      </c>
      <c r="D4" s="138">
        <f ca="1">MAX($B$4,TODAY())</f>
        <v>46293</v>
      </c>
    </row>
    <row r="5" spans="1:41" x14ac:dyDescent="0.2">
      <c r="B5" s="137">
        <f ca="1">TODAY()-7</f>
        <v>46286</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1217.5573388632245</v>
      </c>
      <c r="C7">
        <f>IFERROR(INDEX(Engine!$C$2:$C$15,MATCH($A7,Engine!$A$2:$A$15,0)),"")</f>
        <v>1130.2079514002733</v>
      </c>
      <c r="D7">
        <f t="shared" ref="D7:D20" si="0">RANK($B7,$B$7:$B$20)</f>
        <v>3</v>
      </c>
      <c r="E7">
        <f t="shared" ref="E7:E20" si="1">MAX($B$7:$B$20)-$B7</f>
        <v>15.939681841992524</v>
      </c>
      <c r="F7" t="str">
        <f>IFERROR(LOOKUP(2,1/('Match Log'!$D$4:$D$1510=$A7),'Match Log'!$E$4:$E$1510),"")</f>
        <v>Loss</v>
      </c>
      <c r="G7">
        <f>IF($F7="",0,SUMPRODUCT(('Match Log'!$D$4:$D$1510=$A7)*(ROW('Match Log'!$A$4:$A$1510)&gt;SUMPRODUCT(MAX(('Match Log'!$D$4:$D$1510=$A7)*('Match Log'!$E$4:$E$1510&lt;&gt;$F7)*ROW('Match Log'!$A$4:$A$1510))))))</f>
        <v>5</v>
      </c>
      <c r="H7" t="str">
        <f t="shared" ref="H7:H20" si="2">IF($G7=0,"",LEFT($F7,1)&amp;$G7)</f>
        <v>L5</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LLLLL</v>
      </c>
      <c r="J7">
        <f t="shared" ref="J7:J20" ca="1" si="3">$AL7-$AM7+$AN7-$AO7+ROW()/10000000</f>
        <v>1244.4221860966829</v>
      </c>
      <c r="K7">
        <f t="shared" ref="K7:K20" ca="1" si="4">RANK($J7,$J$7:$J$20)</f>
        <v>1</v>
      </c>
      <c r="L7">
        <f t="shared" ref="L7:L20" ca="1" si="5">$K7-RANK($AI7,$AI$7:$AI$20)</f>
        <v>-2</v>
      </c>
      <c r="M7">
        <f t="shared" ref="M7:M20" si="6">SUMPRODUCT(($D$25:$D$724=$A7)*($G$25:$G$724&gt;0.25)*($D$25:$D$724&lt;&gt;""))</f>
        <v>7</v>
      </c>
      <c r="N7">
        <f t="shared" ref="N7:N20" si="7">LEN($I7)-LEN(SUBSTITUTE($I7,"W",""))</f>
        <v>0</v>
      </c>
      <c r="O7">
        <f t="shared" ref="O7:O20" si="8">IF($F7="Win",$G7,0)</f>
        <v>0</v>
      </c>
      <c r="P7">
        <f>IFERROR(SUMPRODUCT(MAX(('Match Log'!$D$4:$D$1510=$A7)*'Match Log'!$B$4:$B$1510)),0)</f>
        <v>46290</v>
      </c>
      <c r="Q7">
        <f t="shared" ref="Q7:Q20" ca="1" si="9">IF($P7=0,"",($D$4-$P7)/7)</f>
        <v>0.42857142857142855</v>
      </c>
      <c r="R7">
        <f ca="1">IF($P7=0,0,IF($Q7&gt;='Guide &amp; Settings'!$C$48,(INT($Q7-'Guide &amp; Settings'!$C$48)+1)*'Guide &amp; Settings'!$C$49,0))</f>
        <v>0</v>
      </c>
      <c r="S7">
        <f ca="1">$B7-$R7-$U7+SUMIF('Poker Stake Ledger'!$C$18:$C$137,$A7,'Poker Stake Ledger'!$K$18:$K$137)</f>
        <v>1196.4573388632245</v>
      </c>
      <c r="T7" t="str">
        <f ca="1">IF($P7=0,"No games",IF($Q7&gt;='Guide &amp; Settings'!$C$48,"Inactive",IF($Q7&gt;='Guide &amp; Settings'!$C$47,"At risk","Active")))</f>
        <v>Active</v>
      </c>
      <c r="U7">
        <f>SUMIF('Match Log'!$D$4:$D$1510,$A7,'Match Log'!$AC$4:$AC$1510)</f>
        <v>10</v>
      </c>
      <c r="V7">
        <f t="shared" ref="V7:V20" si="10">IF($F7="Loss",$G7,0)</f>
        <v>5</v>
      </c>
      <c r="W7">
        <f t="shared" ref="W7:W20" ca="1" si="11">MAX(0,MIN(100,50+($S7-1000)/4))</f>
        <v>99.114334715806137</v>
      </c>
      <c r="X7">
        <f ca="1">IFERROR(INDEX(Dashboard!$G$5:$G$18,MATCH($A7,Dashboard!$B$5:$B$18,0))*100,0)</f>
        <v>47.191011235955052</v>
      </c>
      <c r="Y7">
        <f ca="1">MIN(100,IFERROR(INDEX(Dashboard!$K$5:$K$18,MATCH($A7,Dashboard!$B$5:$B$18,0)),0)/5*50+$AC7/4*50)</f>
        <v>100</v>
      </c>
      <c r="Z7">
        <f t="shared" ref="Z7:Z20" si="12">IFERROR($N7/LEN($I7)*100,0)</f>
        <v>0</v>
      </c>
      <c r="AA7">
        <f t="shared" ref="AA7:AA20" si="13">IF($C7="",0,MAX(0,MIN(100,50+($C7-1000)/4)))</f>
        <v>82.551987850068315</v>
      </c>
      <c r="AB7">
        <f t="shared" ref="AB7:AB20" ca="1" si="14">0.35*$W7+0.2*$X7+0.2*$Y7+0.15*$Z7+0.1*$AA7</f>
        <v>72.383418182729983</v>
      </c>
      <c r="AC7">
        <f>IFERROR(SUMPRODUCT((INDEX('Sport Records'!$B$8:$O$32,0,MATCH($A7,'Sport Records'!$B$7:$O$7,0))&gt;=2)*(INDEX('Sport Records'!$B$62:$O$86,0,MATCH($A7,'Sport Records'!$B$61:$O$61,0))&gt;=0.5)),0)</f>
        <v>4</v>
      </c>
      <c r="AD7">
        <f ca="1">IFERROR(INDEX(Dashboard!$D$5:$D$18,MATCH($A7,Dashboard!$B$5:$B$18,0)),0)</f>
        <v>89</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5</v>
      </c>
      <c r="AH7">
        <f ca="1">COUNTIFS('Match Log'!$D$4:$D$1510,$A7,'Match Log'!$B$4:$B$1510,"&gt;="&amp;$B$5,'Match Log'!$E$4:$E$1510,"Win")</f>
        <v>0</v>
      </c>
      <c r="AI7">
        <f t="shared" ref="AI7:AI20" ca="1" si="16">IF(ISNUMBER($S7),$S7,-1000000)+ROW()/10000000</f>
        <v>1196.4573395632247</v>
      </c>
      <c r="AK7">
        <f ca="1">_xlfn.MAXIFS('Match Log'!$B$4:$B$1510,'Match Log'!$D$4:$D$1510,$A7,'Match Log'!$B$4:$B$1510,"&lt;="&amp;($D$4-7))</f>
        <v>46256</v>
      </c>
      <c r="AL7">
        <f ca="1">IFERROR(LOOKUP(2,1/(('Match Log'!$D$4:$D$1510=$A7)*('Match Log'!$B$4:$B$1510&lt;=$D$4-7)),'Match Log'!$N$4:$N$1510),1000)</f>
        <v>1265.5221853966827</v>
      </c>
      <c r="AM7">
        <f ca="1">SUMIFS('Match Log'!$AC$4:$AC$1510,'Match Log'!$D$4:$D$1510,$A7,'Match Log'!$B$4:$B$1510,"&lt;="&amp;($D$4-7))</f>
        <v>0</v>
      </c>
      <c r="AN7">
        <f ca="1">SUMIFS('Poker Stake Ledger'!$K$18:$K$137,'Poker Stake Ledger'!$C$18:$C$137,$A7,'Poker Stake Ledger'!$B$18:$B$137,"&lt;="&amp;($D$4-7))</f>
        <v>-11.100000000000001</v>
      </c>
      <c r="AO7">
        <f ca="1">IF($AK7=0,0,IF(($D$4-7-$AK7)/7&gt;='Guide &amp; Settings'!$C$48,(INT(($D$4-7-$AK7)/7-'Guide &amp; Settings'!$C$48)+1)*'Guide &amp; Settings'!$C$49,0))</f>
        <v>10</v>
      </c>
    </row>
    <row r="8" spans="1:41" ht="15" customHeight="1" x14ac:dyDescent="0.2">
      <c r="A8" t="s">
        <v>16</v>
      </c>
      <c r="B8">
        <f>IFERROR(INDEX(Engine!$B$2:$B$15,MATCH($A8,Engine!$A$2:$A$15,0)),1000)</f>
        <v>1029.5175965335138</v>
      </c>
      <c r="C8">
        <f>IFERROR(INDEX(Engine!$C$2:$C$15,MATCH($A8,Engine!$A$2:$A$15,0)),"")</f>
        <v>1094.683515305948</v>
      </c>
      <c r="D8">
        <f t="shared" si="0"/>
        <v>9</v>
      </c>
      <c r="E8">
        <f t="shared" si="1"/>
        <v>203.97942417170316</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919.51759733351378</v>
      </c>
      <c r="K8">
        <f t="shared" ca="1" si="4"/>
        <v>12</v>
      </c>
      <c r="L8">
        <f t="shared" ca="1" si="5"/>
        <v>0</v>
      </c>
      <c r="M8">
        <f t="shared" si="6"/>
        <v>0</v>
      </c>
      <c r="N8">
        <f t="shared" si="7"/>
        <v>2</v>
      </c>
      <c r="O8">
        <f t="shared" si="8"/>
        <v>0</v>
      </c>
      <c r="P8">
        <f>IFERROR(SUMPRODUCT(MAX(('Match Log'!$D$4:$D$1510=$A8)*'Match Log'!$B$4:$B$1510)),0)</f>
        <v>46188</v>
      </c>
      <c r="Q8">
        <f t="shared" ca="1" si="9"/>
        <v>15</v>
      </c>
      <c r="R8">
        <f ca="1">IF($P8=0,0,IF($Q8&gt;='Guide &amp; Settings'!$C$48,(INT($Q8-'Guide &amp; Settings'!$C$48)+1)*'Guide &amp; Settings'!$C$49,0))</f>
        <v>120</v>
      </c>
      <c r="S8">
        <f ca="1">$B8-$R8-$U8+SUMIF('Poker Stake Ledger'!$C$18:$C$137,$A8,'Poker Stake Ledger'!$K$18:$K$137)</f>
        <v>909.51759653351382</v>
      </c>
      <c r="T8" t="str">
        <f ca="1">IF($P8=0,"No games",IF($Q8&gt;='Guide &amp; Settings'!$C$48,"Inactive",IF($Q8&gt;='Guide &amp; Settings'!$C$47,"At risk","Active")))</f>
        <v>Inactive</v>
      </c>
      <c r="U8">
        <f>SUMIF('Match Log'!$D$4:$D$1510,$A8,'Match Log'!$AC$4:$AC$1510)</f>
        <v>0</v>
      </c>
      <c r="V8">
        <f t="shared" si="10"/>
        <v>2</v>
      </c>
      <c r="W8">
        <f t="shared" ca="1" si="11"/>
        <v>27.379399133378456</v>
      </c>
      <c r="X8">
        <f ca="1">IFERROR(INDEX(Dashboard!$G$5:$G$18,MATCH($A8,Dashboard!$B$5:$B$18,0))*100,0)</f>
        <v>50</v>
      </c>
      <c r="Y8">
        <f ca="1">MIN(100,IFERROR(INDEX(Dashboard!$K$5:$K$18,MATCH($A8,Dashboard!$B$5:$B$18,0)),0)/5*50+$AC8/4*50)</f>
        <v>42.5</v>
      </c>
      <c r="Z8">
        <f t="shared" si="12"/>
        <v>40</v>
      </c>
      <c r="AA8">
        <f t="shared" si="13"/>
        <v>73.670878826487012</v>
      </c>
      <c r="AB8">
        <f t="shared" ca="1" si="14"/>
        <v>41.449877579331165</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909.51759733351378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110</v>
      </c>
    </row>
    <row r="9" spans="1:41" ht="15" customHeight="1" x14ac:dyDescent="0.2">
      <c r="A9" t="s">
        <v>17</v>
      </c>
      <c r="B9">
        <f>IFERROR(INDEX(Engine!$B$2:$B$15,MATCH($A9,Engine!$A$2:$A$15,0)),1000)</f>
        <v>1062.953806715856</v>
      </c>
      <c r="C9">
        <f>IFERROR(INDEX(Engine!$C$2:$C$15,MATCH($A9,Engine!$A$2:$A$15,0)),"")</f>
        <v>1132.4367121571511</v>
      </c>
      <c r="D9">
        <f t="shared" si="0"/>
        <v>8</v>
      </c>
      <c r="E9">
        <f t="shared" si="1"/>
        <v>170.54321398936099</v>
      </c>
      <c r="F9" t="str">
        <f>IFERROR(LOOKUP(2,1/('Match Log'!$D$4:$D$1510=$A9),'Match Log'!$E$4:$E$1510),"")</f>
        <v>Loss</v>
      </c>
      <c r="G9">
        <f>IF($F9="",0,SUMPRODUCT(('Match Log'!$D$4:$D$1510=$A9)*(ROW('Match Log'!$A$4:$A$1510)&gt;SUMPRODUCT(MAX(('Match Log'!$D$4:$D$1510=$A9)*('Match Log'!$E$4:$E$1510&lt;&gt;$F9)*ROW('Match Log'!$A$4:$A$1510))))))</f>
        <v>2</v>
      </c>
      <c r="H9" t="str">
        <f t="shared" si="2"/>
        <v>L2</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LWWLL</v>
      </c>
      <c r="J9">
        <f t="shared" ca="1" si="3"/>
        <v>1061.2287224286424</v>
      </c>
      <c r="K9">
        <f t="shared" ca="1" si="4"/>
        <v>7</v>
      </c>
      <c r="L9">
        <f t="shared" ca="1" si="5"/>
        <v>-1</v>
      </c>
      <c r="M9">
        <f t="shared" si="6"/>
        <v>0</v>
      </c>
      <c r="N9">
        <f t="shared" si="7"/>
        <v>2</v>
      </c>
      <c r="O9">
        <f t="shared" si="8"/>
        <v>0</v>
      </c>
      <c r="P9">
        <f>IFERROR(SUMPRODUCT(MAX(('Match Log'!$D$4:$D$1510=$A9)*'Match Log'!$B$4:$B$1510)),0)</f>
        <v>46293</v>
      </c>
      <c r="Q9">
        <f t="shared" ca="1" si="9"/>
        <v>0</v>
      </c>
      <c r="R9">
        <f ca="1">IF($P9=0,0,IF($Q9&gt;='Guide &amp; Settings'!$C$48,(INT($Q9-'Guide &amp; Settings'!$C$48)+1)*'Guide &amp; Settings'!$C$49,0))</f>
        <v>0</v>
      </c>
      <c r="S9">
        <f ca="1">$B9-$R9-$U9+SUMIF('Poker Stake Ledger'!$C$18:$C$137,$A9,'Poker Stake Ledger'!$K$18:$K$137)</f>
        <v>1042.953806715856</v>
      </c>
      <c r="T9" t="str">
        <f ca="1">IF($P9=0,"No games",IF($Q9&gt;='Guide &amp; Settings'!$C$48,"Inactive",IF($Q9&gt;='Guide &amp; Settings'!$C$47,"At risk","Active")))</f>
        <v>Active</v>
      </c>
      <c r="U9">
        <f>SUMIF('Match Log'!$D$4:$D$1510,$A9,'Match Log'!$AC$4:$AC$1510)</f>
        <v>20</v>
      </c>
      <c r="V9">
        <f t="shared" si="10"/>
        <v>2</v>
      </c>
      <c r="W9">
        <f t="shared" ca="1" si="11"/>
        <v>60.738451678963997</v>
      </c>
      <c r="X9">
        <f ca="1">IFERROR(INDEX(Dashboard!$G$5:$G$18,MATCH($A9,Dashboard!$B$5:$B$18,0))*100,0)</f>
        <v>42.857142857142854</v>
      </c>
      <c r="Y9">
        <f ca="1">MIN(100,IFERROR(INDEX(Dashboard!$K$5:$K$18,MATCH($A9,Dashboard!$B$5:$B$18,0)),0)/5*50+$AC9/4*50)</f>
        <v>100</v>
      </c>
      <c r="Z9">
        <f t="shared" si="12"/>
        <v>40</v>
      </c>
      <c r="AA9">
        <f t="shared" si="13"/>
        <v>83.109178039287769</v>
      </c>
      <c r="AB9">
        <f t="shared" ca="1" si="14"/>
        <v>64.140804462994751</v>
      </c>
      <c r="AC9">
        <f>IFERROR(SUMPRODUCT((INDEX('Sport Records'!$B$8:$O$32,0,MATCH($A9,'Sport Records'!$B$7:$O$7,0))&gt;=2)*(INDEX('Sport Records'!$B$62:$O$86,0,MATCH($A9,'Sport Records'!$B$61:$O$61,0))&gt;=0.5)),0)</f>
        <v>2</v>
      </c>
      <c r="AD9">
        <f ca="1">IFERROR(INDEX(Dashboard!$D$5:$D$18,MATCH($A9,Dashboard!$B$5:$B$18,0)),0)</f>
        <v>21</v>
      </c>
      <c r="AE9">
        <f ca="1">IFERROR(INDEX(Dashboard!$K$5:$K$18,MATCH($A9,Dashboard!$B$5:$B$18,0)),0)</f>
        <v>10</v>
      </c>
      <c r="AF9" t="str">
        <f t="shared" ca="1" si="15"/>
        <v>Strong</v>
      </c>
      <c r="AG9">
        <f ca="1">COUNTIFS('Match Log'!$D$4:$D$1510,$A9,'Match Log'!$B$4:$B$1510,"&gt;="&amp;$B$5)</f>
        <v>1</v>
      </c>
      <c r="AH9">
        <f ca="1">COUNTIFS('Match Log'!$D$4:$D$1510,$A9,'Match Log'!$B$4:$B$1510,"&gt;="&amp;$B$5,'Match Log'!$E$4:$E$1510,"Win")</f>
        <v>0</v>
      </c>
      <c r="AI9">
        <f t="shared" ca="1" si="16"/>
        <v>1042.953807615856</v>
      </c>
      <c r="AK9">
        <f ca="1">_xlfn.MAXIFS('Match Log'!$B$4:$B$1510,'Match Log'!$D$4:$D$1510,$A9,'Match Log'!$B$4:$B$1510,"&lt;="&amp;($D$4-7))</f>
        <v>46274</v>
      </c>
      <c r="AL9">
        <f ca="1">IFERROR(LOOKUP(2,1/(('Match Log'!$D$4:$D$1510=$A9)*('Match Log'!$B$4:$B$1510&lt;=$D$4-7)),'Match Log'!$N$4:$N$1510),1000)</f>
        <v>1081.2287215286424</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1160.5446633579827</v>
      </c>
      <c r="D10">
        <f t="shared" si="0"/>
        <v>13</v>
      </c>
      <c r="E10">
        <f t="shared" si="1"/>
        <v>326.46568426404269</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877.03133744117429</v>
      </c>
      <c r="K10">
        <f t="shared" ca="1" si="4"/>
        <v>13</v>
      </c>
      <c r="L10">
        <f t="shared" ca="1" si="5"/>
        <v>0</v>
      </c>
      <c r="M10">
        <f t="shared" si="6"/>
        <v>0</v>
      </c>
      <c r="N10">
        <f t="shared" si="7"/>
        <v>0</v>
      </c>
      <c r="O10">
        <f t="shared" si="8"/>
        <v>0</v>
      </c>
      <c r="P10">
        <f>IFERROR(SUMPRODUCT(MAX(('Match Log'!$D$4:$D$1510=$A10)*'Match Log'!$B$4:$B$1510)),0)</f>
        <v>46256</v>
      </c>
      <c r="Q10">
        <f t="shared" ca="1" si="9"/>
        <v>5.2857142857142856</v>
      </c>
      <c r="R10">
        <f ca="1">IF($P10=0,0,IF($Q10&gt;='Guide &amp; Settings'!$C$48,(INT($Q10-'Guide &amp; Settings'!$C$48)+1)*'Guide &amp; Settings'!$C$49,0))</f>
        <v>20</v>
      </c>
      <c r="S10">
        <f ca="1">$B10-$R10-$U10+SUMIF('Poker Stake Ledger'!$C$18:$C$137,$A10,'Poker Stake Ledger'!$K$18:$K$137)</f>
        <v>867.03133644117429</v>
      </c>
      <c r="T10" t="str">
        <f ca="1">IF($P10=0,"No games",IF($Q10&gt;='Guide &amp; Settings'!$C$48,"Inactive",IF($Q10&gt;='Guide &amp; Settings'!$C$47,"At risk","Active")))</f>
        <v>Inactive</v>
      </c>
      <c r="U10">
        <f>SUMIF('Match Log'!$D$4:$D$1510,$A10,'Match Log'!$AC$4:$AC$1510)</f>
        <v>20</v>
      </c>
      <c r="V10">
        <f t="shared" si="10"/>
        <v>5</v>
      </c>
      <c r="W10">
        <f t="shared" ca="1" si="11"/>
        <v>16.757834110293572</v>
      </c>
      <c r="X10">
        <f ca="1">IFERROR(INDEX(Dashboard!$G$5:$G$18,MATCH($A10,Dashboard!$B$5:$B$18,0))*100,0)</f>
        <v>21.739130434782609</v>
      </c>
      <c r="Y10">
        <f ca="1">MIN(100,IFERROR(INDEX(Dashboard!$K$5:$K$18,MATCH($A10,Dashboard!$B$5:$B$18,0)),0)/5*50+$AC10/4*50)</f>
        <v>60</v>
      </c>
      <c r="Z10">
        <f t="shared" si="12"/>
        <v>0</v>
      </c>
      <c r="AA10">
        <f t="shared" si="13"/>
        <v>90.136165839495675</v>
      </c>
      <c r="AB10">
        <f t="shared" ca="1" si="14"/>
        <v>31.226684609508844</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867.03133744117429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10</v>
      </c>
    </row>
    <row r="11" spans="1:41" ht="15" customHeight="1" x14ac:dyDescent="0.2">
      <c r="A11" t="s">
        <v>19</v>
      </c>
      <c r="B11">
        <f>IFERROR(INDEX(Engine!$B$2:$B$15,MATCH($A11,Engine!$A$2:$A$15,0)),1000)</f>
        <v>1233.497020705217</v>
      </c>
      <c r="C11">
        <f>IFERROR(INDEX(Engine!$C$2:$C$15,MATCH($A11,Engine!$A$2:$A$15,0)),"")</f>
        <v>1126.7450819051685</v>
      </c>
      <c r="D11">
        <f t="shared" si="0"/>
        <v>1</v>
      </c>
      <c r="E11">
        <f t="shared" si="1"/>
        <v>0</v>
      </c>
      <c r="F11" t="str">
        <f>IFERROR(LOOKUP(2,1/('Match Log'!$D$4:$D$1510=$A11),'Match Log'!$E$4:$E$1510),"")</f>
        <v>Win</v>
      </c>
      <c r="G11">
        <f>IF($F11="",0,SUMPRODUCT(('Match Log'!$D$4:$D$1510=$A11)*(ROW('Match Log'!$A$4:$A$1510)&gt;SUMPRODUCT(MAX(('Match Log'!$D$4:$D$1510=$A11)*('Match Log'!$E$4:$E$1510&lt;&gt;$F11)*ROW('Match Log'!$A$4:$A$1510))))))</f>
        <v>5</v>
      </c>
      <c r="H11" t="str">
        <f t="shared" si="2"/>
        <v>W5</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WWWWW</v>
      </c>
      <c r="J11">
        <f t="shared" ca="1" si="3"/>
        <v>1214.0621503095624</v>
      </c>
      <c r="K11">
        <f t="shared" ca="1" si="4"/>
        <v>4</v>
      </c>
      <c r="L11">
        <f t="shared" ca="1" si="5"/>
        <v>3</v>
      </c>
      <c r="M11">
        <f t="shared" si="6"/>
        <v>2</v>
      </c>
      <c r="N11">
        <f t="shared" si="7"/>
        <v>5</v>
      </c>
      <c r="O11">
        <f t="shared" si="8"/>
        <v>5</v>
      </c>
      <c r="P11">
        <f>IFERROR(SUMPRODUCT(MAX(('Match Log'!$D$4:$D$1510=$A11)*'Match Log'!$B$4:$B$1510)),0)</f>
        <v>46292</v>
      </c>
      <c r="Q11">
        <f t="shared" ca="1" si="9"/>
        <v>0.14285714285714285</v>
      </c>
      <c r="R11">
        <f ca="1">IF($P11=0,0,IF($Q11&gt;='Guide &amp; Settings'!$C$48,(INT($Q11-'Guide &amp; Settings'!$C$48)+1)*'Guide &amp; Settings'!$C$49,0))</f>
        <v>0</v>
      </c>
      <c r="S11">
        <f ca="1">$B11-$R11-$U11+SUMIF('Poker Stake Ledger'!$C$18:$C$137,$A11,'Poker Stake Ledger'!$K$18:$K$137)</f>
        <v>1255.247020705217</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60.9375</v>
      </c>
      <c r="Y11">
        <f ca="1">MIN(100,IFERROR(INDEX(Dashboard!$K$5:$K$18,MATCH($A11,Dashboard!$B$5:$B$18,0)),0)/5*50+$AC11/4*50)</f>
        <v>100</v>
      </c>
      <c r="Z11">
        <f t="shared" si="12"/>
        <v>100</v>
      </c>
      <c r="AA11">
        <f t="shared" si="13"/>
        <v>81.686270476292123</v>
      </c>
      <c r="AB11">
        <f t="shared" ca="1" si="14"/>
        <v>90.356127047629215</v>
      </c>
      <c r="AC11">
        <f>IFERROR(SUMPRODUCT((INDEX('Sport Records'!$B$8:$O$32,0,MATCH($A11,'Sport Records'!$B$7:$O$7,0))&gt;=2)*(INDEX('Sport Records'!$B$62:$O$86,0,MATCH($A11,'Sport Records'!$B$61:$O$61,0))&gt;=0.5)),0)</f>
        <v>9</v>
      </c>
      <c r="AD11">
        <f ca="1">IFERROR(INDEX(Dashboard!$D$5:$D$18,MATCH($A11,Dashboard!$B$5:$B$18,0)),0)</f>
        <v>64</v>
      </c>
      <c r="AE11">
        <f ca="1">IFERROR(INDEX(Dashboard!$K$5:$K$18,MATCH($A11,Dashboard!$B$5:$B$18,0)),0)</f>
        <v>15</v>
      </c>
      <c r="AF11" t="str">
        <f t="shared" ca="1" si="15"/>
        <v>Elite</v>
      </c>
      <c r="AG11">
        <f ca="1">COUNTIFS('Match Log'!$D$4:$D$1510,$A11,'Match Log'!$B$4:$B$1510,"&gt;="&amp;$B$5)</f>
        <v>2</v>
      </c>
      <c r="AH11">
        <f ca="1">COUNTIFS('Match Log'!$D$4:$D$1510,$A11,'Match Log'!$B$4:$B$1510,"&gt;="&amp;$B$5,'Match Log'!$E$4:$E$1510,"Win")</f>
        <v>2</v>
      </c>
      <c r="AI11">
        <f t="shared" ca="1" si="16"/>
        <v>1255.2470218052169</v>
      </c>
      <c r="AK11">
        <f ca="1">_xlfn.MAXIFS('Match Log'!$B$4:$B$1510,'Match Log'!$D$4:$D$1510,$A11,'Match Log'!$B$4:$B$1510,"&lt;="&amp;($D$4-7))</f>
        <v>46272</v>
      </c>
      <c r="AL11">
        <f ca="1">IFERROR(LOOKUP(2,1/(('Match Log'!$D$4:$D$1510=$A11)*('Match Log'!$B$4:$B$1510&lt;=$D$4-7)),'Match Log'!$N$4:$N$1510),1000)</f>
        <v>1192.3121492095624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1151.1286422292076</v>
      </c>
      <c r="C12">
        <f>IFERROR(INDEX(Engine!$C$2:$C$15,MATCH($A12,Engine!$A$2:$A$15,0)),"")</f>
        <v>1143.8130204705858</v>
      </c>
      <c r="D12">
        <f t="shared" si="0"/>
        <v>6</v>
      </c>
      <c r="E12">
        <f t="shared" si="1"/>
        <v>82.368378476009411</v>
      </c>
      <c r="F12" t="str">
        <f>IFERROR(LOOKUP(2,1/('Match Log'!$D$4:$D$1510=$A12),'Match Log'!$E$4:$E$1510),"")</f>
        <v>Win</v>
      </c>
      <c r="G12">
        <f>IF($F12="",0,SUMPRODUCT(('Match Log'!$D$4:$D$1510=$A12)*(ROW('Match Log'!$A$4:$A$1510)&gt;SUMPRODUCT(MAX(('Match Log'!$D$4:$D$1510=$A12)*('Match Log'!$E$4:$E$1510&lt;&gt;$F12)*ROW('Match Log'!$A$4:$A$1510))))))</f>
        <v>1</v>
      </c>
      <c r="H12" t="str">
        <f t="shared" si="2"/>
        <v>W1</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LLLLW</v>
      </c>
      <c r="J12">
        <f t="shared" ca="1" si="3"/>
        <v>1224.3457490478258</v>
      </c>
      <c r="K12">
        <f t="shared" ca="1" si="4"/>
        <v>2</v>
      </c>
      <c r="L12">
        <f t="shared" ca="1" si="5"/>
        <v>-4</v>
      </c>
      <c r="M12">
        <f t="shared" si="6"/>
        <v>6</v>
      </c>
      <c r="N12">
        <f t="shared" si="7"/>
        <v>1</v>
      </c>
      <c r="O12">
        <f t="shared" si="8"/>
        <v>1</v>
      </c>
      <c r="P12">
        <f>IFERROR(SUMPRODUCT(MAX(('Match Log'!$D$4:$D$1510=$A12)*'Match Log'!$B$4:$B$1510)),0)</f>
        <v>46293</v>
      </c>
      <c r="Q12">
        <f t="shared" ca="1" si="9"/>
        <v>0</v>
      </c>
      <c r="R12">
        <f ca="1">IF($P12=0,0,IF($Q12&gt;='Guide &amp; Settings'!$C$48,(INT($Q12-'Guide &amp; Settings'!$C$48)+1)*'Guide &amp; Settings'!$C$49,0))</f>
        <v>0</v>
      </c>
      <c r="S12">
        <f ca="1">$B12-$R12-$U12+SUMIF('Poker Stake Ledger'!$C$18:$C$137,$A12,'Poker Stake Ledger'!$K$18:$K$137)</f>
        <v>1147.3786422292076</v>
      </c>
      <c r="T12" t="str">
        <f ca="1">IF($P12=0,"No games",IF($Q12&gt;='Guide &amp; Settings'!$C$48,"Inactive",IF($Q12&gt;='Guide &amp; Settings'!$C$47,"At risk","Active")))</f>
        <v>Active</v>
      </c>
      <c r="U12">
        <f>SUMIF('Match Log'!$D$4:$D$1510,$A12,'Match Log'!$AC$4:$AC$1510)</f>
        <v>0</v>
      </c>
      <c r="V12">
        <f t="shared" si="10"/>
        <v>0</v>
      </c>
      <c r="W12">
        <f t="shared" ca="1" si="11"/>
        <v>86.844660557301893</v>
      </c>
      <c r="X12">
        <f ca="1">IFERROR(INDEX(Dashboard!$G$5:$G$18,MATCH($A12,Dashboard!$B$5:$B$18,0))*100,0)</f>
        <v>46.835443037974684</v>
      </c>
      <c r="Y12">
        <f ca="1">MIN(100,IFERROR(INDEX(Dashboard!$K$5:$K$18,MATCH($A12,Dashboard!$B$5:$B$18,0)),0)/5*50+$AC12/4*50)</f>
        <v>100</v>
      </c>
      <c r="Z12">
        <f t="shared" si="12"/>
        <v>20</v>
      </c>
      <c r="AA12">
        <f t="shared" si="13"/>
        <v>85.953255117646449</v>
      </c>
      <c r="AB12">
        <f t="shared" ca="1" si="14"/>
        <v>71.358045314415236</v>
      </c>
      <c r="AC12">
        <f>IFERROR(SUMPRODUCT((INDEX('Sport Records'!$B$8:$O$32,0,MATCH($A12,'Sport Records'!$B$7:$O$7,0))&gt;=2)*(INDEX('Sport Records'!$B$62:$O$86,0,MATCH($A12,'Sport Records'!$B$61:$O$61,0))&gt;=0.5)),0)</f>
        <v>5</v>
      </c>
      <c r="AD12">
        <f ca="1">IFERROR(INDEX(Dashboard!$D$5:$D$18,MATCH($A12,Dashboard!$B$5:$B$18,0)),0)</f>
        <v>158</v>
      </c>
      <c r="AE12">
        <f ca="1">IFERROR(INDEX(Dashboard!$K$5:$K$18,MATCH($A12,Dashboard!$B$5:$B$18,0)),0)</f>
        <v>19</v>
      </c>
      <c r="AF12" t="str">
        <f t="shared" ca="1" si="15"/>
        <v>Strong</v>
      </c>
      <c r="AG12">
        <f ca="1">COUNTIFS('Match Log'!$D$4:$D$1510,$A12,'Match Log'!$B$4:$B$1510,"&gt;="&amp;$B$5)</f>
        <v>11</v>
      </c>
      <c r="AH12">
        <f ca="1">COUNTIFS('Match Log'!$D$4:$D$1510,$A12,'Match Log'!$B$4:$B$1510,"&gt;="&amp;$B$5,'Match Log'!$E$4:$E$1510,"Win")</f>
        <v>3</v>
      </c>
      <c r="AI12">
        <f t="shared" ca="1" si="16"/>
        <v>1147.3786434292076</v>
      </c>
      <c r="AK12">
        <f ca="1">_xlfn.MAXIFS('Match Log'!$B$4:$B$1510,'Match Log'!$D$4:$D$1510,$A12,'Match Log'!$B$4:$B$1510,"&lt;="&amp;($D$4-7))</f>
        <v>46285</v>
      </c>
      <c r="AL12">
        <f ca="1">IFERROR(LOOKUP(2,1/(('Match Log'!$D$4:$D$1510=$A12)*('Match Log'!$B$4:$B$1510&lt;=$D$4-7)),'Match Log'!$N$4:$N$1510),1000)</f>
        <v>1228.0957478478258</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1074.17447619823</v>
      </c>
      <c r="D13">
        <f t="shared" si="0"/>
        <v>4</v>
      </c>
      <c r="E13">
        <f t="shared" si="1"/>
        <v>17.500839018073975</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1210.4461829871429</v>
      </c>
      <c r="K13">
        <f t="shared" ca="1" si="4"/>
        <v>5</v>
      </c>
      <c r="L13">
        <f t="shared" ca="1" si="5"/>
        <v>3</v>
      </c>
      <c r="M13">
        <f t="shared" si="6"/>
        <v>2</v>
      </c>
      <c r="N13">
        <f t="shared" si="7"/>
        <v>5</v>
      </c>
      <c r="O13">
        <f t="shared" si="8"/>
        <v>5</v>
      </c>
      <c r="P13">
        <f>IFERROR(SUMPRODUCT(MAX(('Match Log'!$D$4:$D$1510=$A13)*'Match Log'!$B$4:$B$1510)),0)</f>
        <v>46271</v>
      </c>
      <c r="Q13">
        <f t="shared" ca="1" si="9"/>
        <v>3.1428571428571428</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At risk</v>
      </c>
      <c r="U13">
        <f>SUMIF('Match Log'!$D$4:$D$1510,$A13,'Match Log'!$AC$4:$AC$1510)</f>
        <v>0</v>
      </c>
      <c r="V13">
        <f t="shared" si="10"/>
        <v>0</v>
      </c>
      <c r="W13">
        <f t="shared" ca="1" si="11"/>
        <v>100</v>
      </c>
      <c r="X13">
        <f ca="1">IFERROR(INDEX(Dashboard!$G$5:$G$18,MATCH($A13,Dashboard!$B$5:$B$18,0))*100,0)</f>
        <v>52.5</v>
      </c>
      <c r="Y13">
        <f ca="1">MIN(100,IFERROR(INDEX(Dashboard!$K$5:$K$18,MATCH($A13,Dashboard!$B$5:$B$18,0)),0)/5*50+$AC13/4*50)</f>
        <v>100</v>
      </c>
      <c r="Z13">
        <f t="shared" si="12"/>
        <v>100</v>
      </c>
      <c r="AA13">
        <f t="shared" si="13"/>
        <v>68.543619049557492</v>
      </c>
      <c r="AB13">
        <f t="shared" ca="1" si="14"/>
        <v>87.354361904955752</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1210.4461829871429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1180.164112777554</v>
      </c>
      <c r="C14">
        <f>IFERROR(INDEX(Engine!$C$2:$C$15,MATCH($A14,Engine!$A$2:$A$15,0)),"")</f>
        <v>1148.4799794441415</v>
      </c>
      <c r="D14">
        <f t="shared" si="0"/>
        <v>5</v>
      </c>
      <c r="E14">
        <f t="shared" si="1"/>
        <v>53.332907927662973</v>
      </c>
      <c r="F14" t="str">
        <f>IFERROR(LOOKUP(2,1/('Match Log'!$D$4:$D$1510=$A14),'Match Log'!$E$4:$E$1510),"")</f>
        <v>Loss</v>
      </c>
      <c r="G14">
        <f>IF($F14="",0,SUMPRODUCT(('Match Log'!$D$4:$D$1510=$A14)*(ROW('Match Log'!$A$4:$A$1510)&gt;SUMPRODUCT(MAX(('Match Log'!$D$4:$D$1510=$A14)*('Match Log'!$E$4:$E$1510&lt;&gt;$F14)*ROW('Match Log'!$A$4:$A$1510))))))</f>
        <v>2</v>
      </c>
      <c r="H14" t="str">
        <f t="shared" si="2"/>
        <v>L2</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WLWLL</v>
      </c>
      <c r="J14">
        <f t="shared" ca="1" si="3"/>
        <v>1021.6316258606565</v>
      </c>
      <c r="K14">
        <f t="shared" ca="1" si="4"/>
        <v>8</v>
      </c>
      <c r="L14">
        <f t="shared" ca="1" si="5"/>
        <v>3</v>
      </c>
      <c r="M14">
        <f t="shared" si="6"/>
        <v>10</v>
      </c>
      <c r="N14">
        <f t="shared" si="7"/>
        <v>2</v>
      </c>
      <c r="O14">
        <f t="shared" si="8"/>
        <v>0</v>
      </c>
      <c r="P14">
        <f>IFERROR(SUMPRODUCT(MAX(('Match Log'!$D$4:$D$1510=$A14)*'Match Log'!$B$4:$B$1510)),0)</f>
        <v>46292</v>
      </c>
      <c r="Q14">
        <f t="shared" ca="1" si="9"/>
        <v>0.14285714285714285</v>
      </c>
      <c r="R14">
        <f ca="1">IF($P14=0,0,IF($Q14&gt;='Guide &amp; Settings'!$C$48,(INT($Q14-'Guide &amp; Settings'!$C$48)+1)*'Guide &amp; Settings'!$C$49,0))</f>
        <v>0</v>
      </c>
      <c r="S14">
        <f ca="1">$B14-$R14-$U14+SUMIF('Poker Stake Ledger'!$C$18:$C$137,$A14,'Poker Stake Ledger'!$K$18:$K$137)</f>
        <v>1178.8141127775541</v>
      </c>
      <c r="T14" t="str">
        <f ca="1">IF($P14=0,"No games",IF($Q14&gt;='Guide &amp; Settings'!$C$48,"Inactive",IF($Q14&gt;='Guide &amp; Settings'!$C$47,"At risk","Active")))</f>
        <v>Active</v>
      </c>
      <c r="U14">
        <f>SUMIF('Match Log'!$D$4:$D$1510,$A14,'Match Log'!$AC$4:$AC$1510)</f>
        <v>0</v>
      </c>
      <c r="V14">
        <f t="shared" si="10"/>
        <v>2</v>
      </c>
      <c r="W14">
        <f t="shared" ca="1" si="11"/>
        <v>94.703528194388525</v>
      </c>
      <c r="X14">
        <f ca="1">IFERROR(INDEX(Dashboard!$G$5:$G$18,MATCH($A14,Dashboard!$B$5:$B$18,0))*100,0)</f>
        <v>41.891891891891895</v>
      </c>
      <c r="Y14">
        <f ca="1">MIN(100,IFERROR(INDEX(Dashboard!$K$5:$K$18,MATCH($A14,Dashboard!$B$5:$B$18,0)),0)/5*50+$AC14/4*50)</f>
        <v>100</v>
      </c>
      <c r="Z14">
        <f t="shared" si="12"/>
        <v>40</v>
      </c>
      <c r="AA14">
        <f t="shared" si="13"/>
        <v>87.119994861035366</v>
      </c>
      <c r="AB14">
        <f t="shared" ca="1" si="14"/>
        <v>76.236612732517898</v>
      </c>
      <c r="AC14">
        <f>IFERROR(SUMPRODUCT((INDEX('Sport Records'!$B$8:$O$32,0,MATCH($A14,'Sport Records'!$B$7:$O$7,0))&gt;=2)*(INDEX('Sport Records'!$B$62:$O$86,0,MATCH($A14,'Sport Records'!$B$61:$O$61,0))&gt;=0.5)),0)</f>
        <v>5</v>
      </c>
      <c r="AD14">
        <f ca="1">IFERROR(INDEX(Dashboard!$D$5:$D$18,MATCH($A14,Dashboard!$B$5:$B$18,0)),0)</f>
        <v>148</v>
      </c>
      <c r="AE14">
        <f ca="1">IFERROR(INDEX(Dashboard!$K$5:$K$18,MATCH($A14,Dashboard!$B$5:$B$18,0)),0)</f>
        <v>20</v>
      </c>
      <c r="AF14" t="str">
        <f t="shared" ca="1" si="15"/>
        <v>Elite</v>
      </c>
      <c r="AG14">
        <f ca="1">COUNTIFS('Match Log'!$D$4:$D$1510,$A14,'Match Log'!$B$4:$B$1510,"&gt;="&amp;$B$5)</f>
        <v>15</v>
      </c>
      <c r="AH14">
        <f ca="1">COUNTIFS('Match Log'!$D$4:$D$1510,$A14,'Match Log'!$B$4:$B$1510,"&gt;="&amp;$B$5,'Match Log'!$E$4:$E$1510,"Win")</f>
        <v>11</v>
      </c>
      <c r="AI14">
        <f t="shared" ca="1" si="16"/>
        <v>1178.8141141775541</v>
      </c>
      <c r="AK14">
        <f ca="1">_xlfn.MAXIFS('Match Log'!$B$4:$B$1510,'Match Log'!$D$4:$D$1510,$A14,'Match Log'!$B$4:$B$1510,"&lt;="&amp;($D$4-7))</f>
        <v>46285</v>
      </c>
      <c r="AL14">
        <f ca="1">IFERROR(LOOKUP(2,1/(('Match Log'!$D$4:$D$1510=$A14)*('Match Log'!$B$4:$B$1510&lt;=$D$4-7)),'Match Log'!$N$4:$N$1510),1000)</f>
        <v>1022.9816244606566</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1130.4437161478372</v>
      </c>
      <c r="D15">
        <f t="shared" si="0"/>
        <v>2</v>
      </c>
      <c r="E15">
        <f t="shared" si="1"/>
        <v>15.595478978268829</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1218.9288126472575</v>
      </c>
      <c r="K15">
        <f t="shared" ca="1" si="4"/>
        <v>3</v>
      </c>
      <c r="L15">
        <f t="shared" ca="1" si="5"/>
        <v>-1</v>
      </c>
      <c r="M15">
        <f t="shared" si="6"/>
        <v>3</v>
      </c>
      <c r="N15">
        <f t="shared" si="7"/>
        <v>3</v>
      </c>
      <c r="O15">
        <f t="shared" si="8"/>
        <v>0</v>
      </c>
      <c r="P15">
        <f>IFERROR(SUMPRODUCT(MAX(('Match Log'!$D$4:$D$1510=$A15)*'Match Log'!$B$4:$B$1510)),0)</f>
        <v>46290</v>
      </c>
      <c r="Q15">
        <f t="shared" ca="1" si="9"/>
        <v>0.42857142857142855</v>
      </c>
      <c r="R15">
        <f ca="1">IF($P15=0,0,IF($Q15&gt;='Guide &amp; Settings'!$C$48,(INT($Q15-'Guide &amp; Settings'!$C$48)+1)*'Guide &amp; Settings'!$C$49,0))</f>
        <v>0</v>
      </c>
      <c r="S15">
        <f ca="1">$B15-$R15-$U15+SUMIF('Poker Stake Ledger'!$C$18:$C$137,$A15,'Poker Stake Ledger'!$K$18:$K$137)</f>
        <v>1187.9015417269482</v>
      </c>
      <c r="T15" t="str">
        <f ca="1">IF($P15=0,"No games",IF($Q15&gt;='Guide &amp; Settings'!$C$48,"Inactive",IF($Q15&gt;='Guide &amp; Settings'!$C$47,"At risk","Active")))</f>
        <v>Active</v>
      </c>
      <c r="U15">
        <f>SUMIF('Match Log'!$D$4:$D$1510,$A15,'Match Log'!$AC$4:$AC$1510)</f>
        <v>30</v>
      </c>
      <c r="V15">
        <f t="shared" si="10"/>
        <v>1</v>
      </c>
      <c r="W15">
        <f t="shared" ca="1" si="11"/>
        <v>96.975385431737038</v>
      </c>
      <c r="X15">
        <f ca="1">IFERROR(INDEX(Dashboard!$G$5:$G$18,MATCH($A15,Dashboard!$B$5:$B$18,0))*100,0)</f>
        <v>59.523809523809526</v>
      </c>
      <c r="Y15">
        <f ca="1">MIN(100,IFERROR(INDEX(Dashboard!$K$5:$K$18,MATCH($A15,Dashboard!$B$5:$B$18,0)),0)/5*50+$AC15/4*50)</f>
        <v>100</v>
      </c>
      <c r="Z15">
        <f t="shared" si="12"/>
        <v>60</v>
      </c>
      <c r="AA15">
        <f t="shared" si="13"/>
        <v>82.610929036959305</v>
      </c>
      <c r="AB15">
        <f t="shared" ca="1" si="14"/>
        <v>83.107239709565789</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3</v>
      </c>
      <c r="AH15">
        <f ca="1">COUNTIFS('Match Log'!$D$4:$D$1510,$A15,'Match Log'!$B$4:$B$1510,"&gt;="&amp;$B$5,'Match Log'!$E$4:$E$1510,"Win")</f>
        <v>1</v>
      </c>
      <c r="AI15">
        <f t="shared" ca="1" si="16"/>
        <v>1187.9015432269482</v>
      </c>
      <c r="AK15">
        <f ca="1">_xlfn.MAXIFS('Match Log'!$B$4:$B$1510,'Match Log'!$D$4:$D$1510,$A15,'Match Log'!$B$4:$B$1510,"&lt;="&amp;($D$4-7))</f>
        <v>46256</v>
      </c>
      <c r="AL15">
        <f ca="1">IFERROR(LOOKUP(2,1/(('Match Log'!$D$4:$D$1510=$A15)*('Match Log'!$B$4:$B$1510&lt;=$D$4-7)),'Match Log'!$N$4:$N$1510),1000)</f>
        <v>1248.9288111472574</v>
      </c>
      <c r="AM15">
        <f ca="1">SUMIFS('Match Log'!$AC$4:$AC$1510,'Match Log'!$D$4:$D$1510,$A15,'Match Log'!$B$4:$B$1510,"&lt;="&amp;($D$4-7))</f>
        <v>20</v>
      </c>
      <c r="AN15">
        <f ca="1">SUMIFS('Poker Stake Ledger'!$K$18:$K$137,'Poker Stake Ledger'!$C$18:$C$137,$A15,'Poker Stake Ledger'!$B$18:$B$137,"&lt;="&amp;($D$4-7))</f>
        <v>0</v>
      </c>
      <c r="AO15">
        <f ca="1">IF($AK15=0,0,IF(($D$4-7-$AK15)/7&gt;='Guide &amp; Settings'!$C$48,(INT(($D$4-7-$AK15)/7-'Guide &amp; Settings'!$C$48)+1)*'Guide &amp; Settings'!$C$49,0))</f>
        <v>10</v>
      </c>
    </row>
    <row r="16" spans="1:41" ht="15" customHeight="1" x14ac:dyDescent="0.2">
      <c r="A16" t="s">
        <v>24</v>
      </c>
      <c r="B16">
        <f>IFERROR(INDEX(Engine!$B$2:$B$15,MATCH($A16,Engine!$A$2:$A$15,0)),1000)</f>
        <v>862.22294373677494</v>
      </c>
      <c r="C16">
        <f>IFERROR(INDEX(Engine!$C$2:$C$15,MATCH($A16,Engine!$A$2:$A$15,0)),"")</f>
        <v>1126.0199871678924</v>
      </c>
      <c r="D16">
        <f t="shared" si="0"/>
        <v>14</v>
      </c>
      <c r="E16">
        <f t="shared" si="1"/>
        <v>371.27407696844205</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792.22294533677496</v>
      </c>
      <c r="K16">
        <f t="shared" ca="1" si="4"/>
        <v>14</v>
      </c>
      <c r="L16">
        <f t="shared" ca="1" si="5"/>
        <v>0</v>
      </c>
      <c r="M16">
        <f t="shared" si="6"/>
        <v>1</v>
      </c>
      <c r="N16">
        <f t="shared" si="7"/>
        <v>0</v>
      </c>
      <c r="O16">
        <f t="shared" si="8"/>
        <v>0</v>
      </c>
      <c r="P16">
        <f>IFERROR(SUMPRODUCT(MAX(('Match Log'!$D$4:$D$1510=$A16)*'Match Log'!$B$4:$B$1510)),0)</f>
        <v>46222</v>
      </c>
      <c r="Q16">
        <f t="shared" ca="1" si="9"/>
        <v>10.142857142857142</v>
      </c>
      <c r="R16">
        <f ca="1">IF($P16=0,0,IF($Q16&gt;='Guide &amp; Settings'!$C$48,(INT($Q16-'Guide &amp; Settings'!$C$48)+1)*'Guide &amp; Settings'!$C$49,0))</f>
        <v>70</v>
      </c>
      <c r="S16">
        <f ca="1">$B16-$R16-$U16+SUMIF('Poker Stake Ledger'!$C$18:$C$137,$A16,'Poker Stake Ledger'!$K$18:$K$137)</f>
        <v>782.22294373677494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81.504996791973099</v>
      </c>
      <c r="AB16">
        <f t="shared" ca="1" si="14"/>
        <v>16.817166345863978</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782.22294533677496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60</v>
      </c>
    </row>
    <row r="17" spans="1:41" ht="15" customHeight="1" x14ac:dyDescent="0.2">
      <c r="A17" t="s">
        <v>25</v>
      </c>
      <c r="B17">
        <f>IFERROR(INDEX(Engine!$B$2:$B$15,MATCH($A17,Engine!$A$2:$A$15,0)),1000)</f>
        <v>968.26132335618615</v>
      </c>
      <c r="C17">
        <f>IFERROR(INDEX(Engine!$C$2:$C$15,MATCH($A17,Engine!$A$2:$A$15,0)),"")</f>
        <v>1157.4978251153948</v>
      </c>
      <c r="D17">
        <f t="shared" si="0"/>
        <v>12</v>
      </c>
      <c r="E17">
        <f t="shared" si="1"/>
        <v>265.23569734903083</v>
      </c>
      <c r="F17" t="str">
        <f>IFERROR(LOOKUP(2,1/('Match Log'!$D$4:$D$1510=$A17),'Match Log'!$E$4:$E$1510),"")</f>
        <v>Win</v>
      </c>
      <c r="G17">
        <f>IF($F17="",0,SUMPRODUCT(('Match Log'!$D$4:$D$1510=$A17)*(ROW('Match Log'!$A$4:$A$1510)&gt;SUMPRODUCT(MAX(('Match Log'!$D$4:$D$1510=$A17)*('Match Log'!$E$4:$E$1510&lt;&gt;$F17)*ROW('Match Log'!$A$4:$A$1510))))))</f>
        <v>1</v>
      </c>
      <c r="H17" t="str">
        <f t="shared" si="2"/>
        <v>W1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LLLLW</v>
      </c>
      <c r="J17">
        <f t="shared" ca="1" si="3"/>
        <v>944.39454848356581</v>
      </c>
      <c r="K17">
        <f t="shared" ca="1" si="4"/>
        <v>11</v>
      </c>
      <c r="L17">
        <f t="shared" ca="1" si="5"/>
        <v>0</v>
      </c>
      <c r="M17">
        <f t="shared" si="6"/>
        <v>4</v>
      </c>
      <c r="N17">
        <f t="shared" si="7"/>
        <v>1</v>
      </c>
      <c r="O17">
        <f t="shared" si="8"/>
        <v>1</v>
      </c>
      <c r="P17">
        <f>IFERROR(SUMPRODUCT(MAX(('Match Log'!$D$4:$D$1510=$A17)*'Match Log'!$B$4:$B$1510)),0)</f>
        <v>46291</v>
      </c>
      <c r="Q17">
        <f t="shared" ca="1" si="9"/>
        <v>0.2857142857142857</v>
      </c>
      <c r="R17">
        <f ca="1">IF($P17=0,0,IF($Q17&gt;='Guide &amp; Settings'!$C$48,(INT($Q17-'Guide &amp; Settings'!$C$48)+1)*'Guide &amp; Settings'!$C$49,0))</f>
        <v>0</v>
      </c>
      <c r="S17">
        <f ca="1">$B17-$R17-$U17+SUMIF('Poker Stake Ledger'!$C$18:$C$137,$A17,'Poker Stake Ledger'!$K$18:$K$137)</f>
        <v>968.26132335618615</v>
      </c>
      <c r="T17" t="str">
        <f ca="1">IF($P17=0,"No games",IF($Q17&gt;='Guide &amp; Settings'!$C$48,"Inactive",IF($Q17&gt;='Guide &amp; Settings'!$C$47,"At risk","Active")))</f>
        <v>Active</v>
      </c>
      <c r="U17">
        <f>SUMIF('Match Log'!$D$4:$D$1510,$A17,'Match Log'!$AC$4:$AC$1510)</f>
        <v>0</v>
      </c>
      <c r="V17">
        <f t="shared" si="10"/>
        <v>0</v>
      </c>
      <c r="W17">
        <f t="shared" ca="1" si="11"/>
        <v>42.065330839046538</v>
      </c>
      <c r="X17">
        <f ca="1">IFERROR(INDEX(Dashboard!$G$5:$G$18,MATCH($A17,Dashboard!$B$5:$B$18,0))*100,0)</f>
        <v>34.939759036144579</v>
      </c>
      <c r="Y17">
        <f ca="1">MIN(100,IFERROR(INDEX(Dashboard!$K$5:$K$18,MATCH($A17,Dashboard!$B$5:$B$18,0)),0)/5*50+$AC17/4*50)</f>
        <v>100</v>
      </c>
      <c r="Z17">
        <f t="shared" si="12"/>
        <v>20</v>
      </c>
      <c r="AA17">
        <f t="shared" si="13"/>
        <v>89.374456278848697</v>
      </c>
      <c r="AB17">
        <f t="shared" ca="1" si="14"/>
        <v>53.648263228780074</v>
      </c>
      <c r="AC17">
        <f>IFERROR(SUMPRODUCT((INDEX('Sport Records'!$B$8:$O$32,0,MATCH($A17,'Sport Records'!$B$7:$O$7,0))&gt;=2)*(INDEX('Sport Records'!$B$62:$O$86,0,MATCH($A17,'Sport Records'!$B$61:$O$61,0))&gt;=0.5)),0)</f>
        <v>3</v>
      </c>
      <c r="AD17">
        <f ca="1">IFERROR(INDEX(Dashboard!$D$5:$D$18,MATCH($A17,Dashboard!$B$5:$B$18,0)),0)</f>
        <v>83</v>
      </c>
      <c r="AE17">
        <f ca="1">IFERROR(INDEX(Dashboard!$K$5:$K$18,MATCH($A17,Dashboard!$B$5:$B$18,0)),0)</f>
        <v>14</v>
      </c>
      <c r="AF17" t="str">
        <f t="shared" ca="1" si="15"/>
        <v>Mid</v>
      </c>
      <c r="AG17">
        <f ca="1">COUNTIFS('Match Log'!$D$4:$D$1510,$A17,'Match Log'!$B$4:$B$1510,"&gt;="&amp;$B$5)</f>
        <v>1</v>
      </c>
      <c r="AH17">
        <f ca="1">COUNTIFS('Match Log'!$D$4:$D$1510,$A17,'Match Log'!$B$4:$B$1510,"&gt;="&amp;$B$5,'Match Log'!$E$4:$E$1510,"Win")</f>
        <v>1</v>
      </c>
      <c r="AI17">
        <f t="shared" ca="1" si="16"/>
        <v>968.26132505618614</v>
      </c>
      <c r="AK17">
        <f ca="1">_xlfn.MAXIFS('Match Log'!$B$4:$B$1510,'Match Log'!$D$4:$D$1510,$A17,'Match Log'!$B$4:$B$1510,"&lt;="&amp;($D$4-7))</f>
        <v>46271</v>
      </c>
      <c r="AL17">
        <f ca="1">IFERROR(LOOKUP(2,1/(('Match Log'!$D$4:$D$1510=$A17)*('Match Log'!$B$4:$B$1510&lt;=$D$4-7)),'Match Log'!$N$4:$N$1510),1000)</f>
        <v>944.39454678356583</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1070.6420982300112</v>
      </c>
      <c r="D18">
        <f t="shared" si="0"/>
        <v>7</v>
      </c>
      <c r="E18">
        <f t="shared" si="1"/>
        <v>145.94812599873148</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1067.5488965064856</v>
      </c>
      <c r="K18">
        <f t="shared" ca="1" si="4"/>
        <v>6</v>
      </c>
      <c r="L18">
        <f t="shared" ca="1" si="5"/>
        <v>-1</v>
      </c>
      <c r="M18">
        <f t="shared" si="6"/>
        <v>2</v>
      </c>
      <c r="N18">
        <f t="shared" si="7"/>
        <v>3</v>
      </c>
      <c r="O18">
        <f t="shared" si="8"/>
        <v>1</v>
      </c>
      <c r="P18">
        <f>IFERROR(SUMPRODUCT(MAX(('Match Log'!$D$4:$D$1510=$A18)*'Match Log'!$B$4:$B$1510)),0)</f>
        <v>46249</v>
      </c>
      <c r="Q18">
        <f t="shared" ca="1" si="9"/>
        <v>6.2857142857142856</v>
      </c>
      <c r="R18">
        <f ca="1">IF($P18=0,0,IF($Q18&gt;='Guide &amp; Settings'!$C$48,(INT($Q18-'Guide &amp; Settings'!$C$48)+1)*'Guide &amp; Settings'!$C$49,0))</f>
        <v>30</v>
      </c>
      <c r="S18">
        <f ca="1">$B18-$R18-$U18+SUMIF('Poker Stake Ledger'!$C$18:$C$137,$A18,'Poker Stake Ledger'!$K$18:$K$137)</f>
        <v>1057.5488947064855</v>
      </c>
      <c r="T18" t="str">
        <f ca="1">IF($P18=0,"No games",IF($Q18&gt;='Guide &amp; Settings'!$C$48,"Inactive",IF($Q18&gt;='Guide &amp; Settings'!$C$47,"At risk","Active")))</f>
        <v>Inactive</v>
      </c>
      <c r="U18">
        <f>SUMIF('Match Log'!$D$4:$D$1510,$A18,'Match Log'!$AC$4:$AC$1510)</f>
        <v>0</v>
      </c>
      <c r="V18">
        <f t="shared" si="10"/>
        <v>0</v>
      </c>
      <c r="W18">
        <f t="shared" ca="1" si="11"/>
        <v>64.387223676621375</v>
      </c>
      <c r="X18">
        <f ca="1">IFERROR(INDEX(Dashboard!$G$5:$G$18,MATCH($A18,Dashboard!$B$5:$B$18,0))*100,0)</f>
        <v>46.666666666666664</v>
      </c>
      <c r="Y18">
        <f ca="1">MIN(100,IFERROR(INDEX(Dashboard!$K$5:$K$18,MATCH($A18,Dashboard!$B$5:$B$18,0)),0)/5*50+$AC18/4*50)</f>
        <v>65</v>
      </c>
      <c r="Z18">
        <f t="shared" si="12"/>
        <v>60</v>
      </c>
      <c r="AA18">
        <f t="shared" si="13"/>
        <v>67.660524557502811</v>
      </c>
      <c r="AB18">
        <f t="shared" ca="1" si="14"/>
        <v>60.634914075901101</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1057.5488965064856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20</v>
      </c>
    </row>
    <row r="19" spans="1:41" ht="15" customHeight="1" x14ac:dyDescent="0.2">
      <c r="A19" t="s">
        <v>27</v>
      </c>
      <c r="B19">
        <f>IFERROR(INDEX(Engine!$B$2:$B$15,MATCH($A19,Engine!$A$2:$A$15,0)),1000)</f>
        <v>1023.2192605207141</v>
      </c>
      <c r="C19">
        <f>IFERROR(INDEX(Engine!$C$2:$C$15,MATCH($A19,Engine!$A$2:$A$15,0)),"")</f>
        <v>1107.1580138007182</v>
      </c>
      <c r="D19">
        <f t="shared" si="0"/>
        <v>10</v>
      </c>
      <c r="E19">
        <f t="shared" si="1"/>
        <v>210.27776018450288</v>
      </c>
      <c r="F19" t="str">
        <f>IFERROR(LOOKUP(2,1/('Match Log'!$D$4:$D$1510=$A19),'Match Log'!$E$4:$E$1510),"")</f>
        <v>Loss</v>
      </c>
      <c r="G19">
        <f>IF($F19="",0,SUMPRODUCT(('Match Log'!$D$4:$D$1510=$A19)*(ROW('Match Log'!$A$4:$A$1510)&gt;SUMPRODUCT(MAX(('Match Log'!$D$4:$D$1510=$A19)*('Match Log'!$E$4:$E$1510&lt;&gt;$F19)*ROW('Match Log'!$A$4:$A$1510))))))</f>
        <v>6</v>
      </c>
      <c r="H19" t="str">
        <f t="shared" si="2"/>
        <v>L6</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1003.2192624207141</v>
      </c>
      <c r="K19">
        <f t="shared" ca="1" si="4"/>
        <v>9</v>
      </c>
      <c r="L19">
        <f t="shared" ca="1" si="5"/>
        <v>-1</v>
      </c>
      <c r="M19">
        <f t="shared" si="6"/>
        <v>0</v>
      </c>
      <c r="N19">
        <f t="shared" si="7"/>
        <v>0</v>
      </c>
      <c r="O19">
        <f t="shared" si="8"/>
        <v>0</v>
      </c>
      <c r="P19">
        <f>IFERROR(SUMPRODUCT(MAX(('Match Log'!$D$4:$D$1510=$A19)*'Match Log'!$B$4:$B$1510)),0)</f>
        <v>46249</v>
      </c>
      <c r="Q19">
        <f t="shared" ca="1" si="9"/>
        <v>6.2857142857142856</v>
      </c>
      <c r="R19">
        <f ca="1">IF($P19=0,0,IF($Q19&gt;='Guide &amp; Settings'!$C$48,(INT($Q19-'Guide &amp; Settings'!$C$48)+1)*'Guide &amp; Settings'!$C$49,0))</f>
        <v>30</v>
      </c>
      <c r="S19">
        <f ca="1">$B19-$R19-$U19+SUMIF('Poker Stake Ledger'!$C$18:$C$137,$A19,'Poker Stake Ledger'!$K$18:$K$137)</f>
        <v>993.2192605207141</v>
      </c>
      <c r="T19" t="str">
        <f ca="1">IF($P19=0,"No games",IF($Q19&gt;='Guide &amp; Settings'!$C$48,"Inactive",IF($Q19&gt;='Guide &amp; Settings'!$C$47,"At risk","Active")))</f>
        <v>Inactive</v>
      </c>
      <c r="U19">
        <f>SUMIF('Match Log'!$D$4:$D$1510,$A19,'Match Log'!$AC$4:$AC$1510)</f>
        <v>0</v>
      </c>
      <c r="V19">
        <f t="shared" si="10"/>
        <v>6</v>
      </c>
      <c r="W19">
        <f t="shared" ca="1" si="11"/>
        <v>48.304815130178525</v>
      </c>
      <c r="X19">
        <f ca="1">IFERROR(INDEX(Dashboard!$G$5:$G$18,MATCH($A19,Dashboard!$B$5:$B$18,0))*100,0)</f>
        <v>40</v>
      </c>
      <c r="Y19">
        <f ca="1">MIN(100,IFERROR(INDEX(Dashboard!$K$5:$K$18,MATCH($A19,Dashboard!$B$5:$B$18,0)),0)/5*50+$AC19/4*50)</f>
        <v>65</v>
      </c>
      <c r="Z19">
        <f t="shared" si="12"/>
        <v>0</v>
      </c>
      <c r="AA19">
        <f t="shared" si="13"/>
        <v>76.789503450179552</v>
      </c>
      <c r="AB19">
        <f t="shared" ca="1" si="14"/>
        <v>45.585635640580435</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5"/>
        <v>Mid</v>
      </c>
      <c r="AG19">
        <f ca="1">COUNTIFS('Match Log'!$D$4:$D$1510,$A19,'Match Log'!$B$4:$B$1510,"&gt;="&amp;$B$5)</f>
        <v>0</v>
      </c>
      <c r="AH19">
        <f ca="1">COUNTIFS('Match Log'!$D$4:$D$1510,$A19,'Match Log'!$B$4:$B$1510,"&gt;="&amp;$B$5,'Match Log'!$E$4:$E$1510,"Win")</f>
        <v>0</v>
      </c>
      <c r="AI19">
        <f t="shared" ca="1" si="16"/>
        <v>993.21926242071413</v>
      </c>
      <c r="AK19">
        <f ca="1">_xlfn.MAXIFS('Match Log'!$B$4:$B$1510,'Match Log'!$D$4:$D$1510,$A19,'Match Log'!$B$4:$B$1510,"&lt;="&amp;($D$4-7))</f>
        <v>46249</v>
      </c>
      <c r="AL19">
        <f ca="1">IFERROR(LOOKUP(2,1/(('Match Log'!$D$4:$D$1510=$A19)*('Match Log'!$B$4:$B$1510&lt;=$D$4-7)),'Match Log'!$N$4:$N$1510),1000)</f>
        <v>1023.2192605207141</v>
      </c>
      <c r="AM19">
        <f ca="1">SUMIFS('Match Log'!$AC$4:$AC$1510,'Match Log'!$D$4:$D$1510,$A19,'Match Log'!$B$4:$B$1510,"&lt;="&amp;($D$4-7))</f>
        <v>0</v>
      </c>
      <c r="AN19">
        <f ca="1">SUMIFS('Poker Stake Ledger'!$K$18:$K$137,'Poker Stake Ledger'!$C$18:$C$137,$A19,'Poker Stake Ledger'!$B$18:$B$137,"&lt;="&amp;($D$4-7))</f>
        <v>0</v>
      </c>
      <c r="AO19">
        <f ca="1">IF($AK19=0,0,IF(($D$4-7-$AK19)/7&gt;='Guide &amp; Settings'!$C$48,(INT(($D$4-7-$AK19)/7-'Guide &amp; Settings'!$C$48)+1)*'Guide &amp; Settings'!$C$49,0))</f>
        <v>20</v>
      </c>
    </row>
    <row r="20" spans="1:41" ht="15" customHeight="1" x14ac:dyDescent="0.2">
      <c r="A20" t="s">
        <v>28</v>
      </c>
      <c r="B20">
        <f>IFERROR(INDEX(Engine!$B$2:$B$15,MATCH($A20,Engine!$A$2:$A$15,0)),1000)</f>
        <v>1000</v>
      </c>
      <c r="C20" t="str">
        <f>IFERROR(INDEX(Engine!$C$2:$C$15,MATCH($A20,Engine!$A$2:$A$15,0)),"")</f>
        <v/>
      </c>
      <c r="D20">
        <f t="shared" si="0"/>
        <v>11</v>
      </c>
      <c r="E20">
        <f t="shared" si="1"/>
        <v>233.49702070521698</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10</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f t="shared" ca="1" si="31"/>
        <v>-1.2156248224504769</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f t="shared" ca="1" si="31"/>
        <v>-7.4918865671641785E-2</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f t="shared" ca="1" si="31"/>
        <v>-0.13636959401100024</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f t="shared" ca="1" si="31"/>
        <v>-0.17364643553008594</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f t="shared" ca="1" si="31"/>
        <v>2.2636206380857438E-2</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f t="shared" ca="1" si="31"/>
        <v>-7.7586865671640899E-3</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f t="shared" ca="1" si="31"/>
        <v>-3.6167516185476874E-2</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f t="shared" ca="1" si="31"/>
        <v>-6.2798000000000007E-2</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f t="shared" ca="1" si="31"/>
        <v>-8.7828047250193719E-2</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f t="shared" ca="1" si="31"/>
        <v>-0.38044527845036341</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f t="shared" ca="1" si="31"/>
        <v>0.21182021212121205</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f t="shared" ca="1" si="31"/>
        <v>-0.11422605063291133</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f t="shared" ca="1" si="31"/>
        <v>0.18002486885245889</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f t="shared" ca="1" si="31"/>
        <v>1.508061538461533E-2</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f t="shared" ca="1" si="31"/>
        <v>-0.11141611111111116</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f t="shared" ca="1" si="31"/>
        <v>-0.20030599999999996</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f t="shared" ca="1" si="31"/>
        <v>-0.27303427272727271</v>
      </c>
    </row>
    <row r="332" spans="1:25" x14ac:dyDescent="0.2">
      <c r="A332">
        <v>308</v>
      </c>
      <c r="B332" t="str">
        <f>IFERROR(INDEX('Match Log'!$B$4:$B$1510,MATCH($A332,'Match Log'!$A$4:$A$1510,0)),"")</f>
        <v/>
      </c>
      <c r="C332" t="str">
        <f>IFERROR(INDEX('Match Log'!$C$4:$C$1510,MATCH($A332,'Match Log'!$A$4:$A$1510,0)),"")</f>
        <v/>
      </c>
      <c r="D332" t="str">
        <f t="array" ref="D332">IFERROR(_xlfn.TEXTJOIN(" + ",TRUE(),IF(('Match Log'!$A$4:$A$1510=$A332)*('Match Log'!$E$4:$E$1510="Win"),'Match Log'!$D$4:$D$1510,"")),IFERROR(LOOKUP(2,1/(('Match Log'!$A$4:$A$1510=$A332)*('Match Log'!$E$4:$E$1510="Win")),'Match Log'!$D$4:$D$1510),""))</f>
        <v/>
      </c>
      <c r="E332" t="str">
        <f>IFERROR(INDEX('Match Log'!$F$4:$F$1510,MATCH($A332,'Match Log'!$A$4:$A$1510,0)),"")</f>
        <v/>
      </c>
      <c r="F332">
        <f>IFERROR(SUMIFS('Match Log'!$I$4:$I$1510,'Match Log'!$A$4:$A$1510,$A332,'Match Log'!$E$4:$E$1510,"Win"),"")</f>
        <v>0</v>
      </c>
      <c r="G332" t="str">
        <f t="shared" si="29"/>
        <v/>
      </c>
      <c r="H332" t="str">
        <f t="array" ref="H332">IFERROR(IF(COUNTIFS('Match Log'!$A$4:$A$1510,$A332,'Match Log'!$E$4:$E$1510,"Win")&gt;1,_xlfn.TEXTJOIN(" + ",TRUE(),IF(('Match Log'!$A$4:$A$1510=$A332)*('Match Log'!$E$4:$E$1510="Loss"),'Match Log'!$D$4:$D$1510,"")),IF($E332=2,LOOKUP(2,1/(('Match Log'!$A$4:$A$1510=$A332)*('Match Log'!$E$4:$E$1510="Loss")),'Match Log'!$D$4:$D$1510),"the field")),"")</f>
        <v>the field</v>
      </c>
      <c r="I332" t="str">
        <f t="shared" si="30"/>
        <v/>
      </c>
      <c r="J332">
        <v>308</v>
      </c>
      <c r="K332" t="e">
        <f>IF($J332&gt;MAX('Match Log'!$A$4:$A$1510),NA(),IFERROR(LOOKUP(2,1/(('Match Log'!$D$4:$D$1510=$K$24)*('Match Log'!$A$4:$A$1510&lt;=$J332)),'Match Log'!$N$4:$N$1510),NA()))</f>
        <v>#N/A</v>
      </c>
      <c r="L332" t="e">
        <f>IF($J332&gt;MAX('Match Log'!$A$4:$A$1510),NA(),IFERROR(LOOKUP(2,1/(('Match Log'!$D$4:$D$1510=$L$24)*('Match Log'!$A$4:$A$1510&lt;=$J332)),'Match Log'!$N$4:$N$1510),NA()))</f>
        <v>#N/A</v>
      </c>
      <c r="M332" t="e">
        <f>IF($J332&gt;MAX('Match Log'!$A$4:$A$1510),NA(),IFERROR(LOOKUP(2,1/(('Match Log'!$D$4:$D$1510=$M$24)*('Match Log'!$A$4:$A$1510&lt;=$J332)),'Match Log'!$N$4:$N$1510),NA()))</f>
        <v>#N/A</v>
      </c>
      <c r="N332" t="e">
        <f>IF($J332&gt;MAX('Match Log'!$A$4:$A$1510),NA(),IFERROR(LOOKUP(2,1/(('Match Log'!$D$4:$D$1510=$N$24)*('Match Log'!$A$4:$A$1510&lt;=$J332)),'Match Log'!$N$4:$N$1510),NA()))</f>
        <v>#N/A</v>
      </c>
      <c r="O332" t="e">
        <f>IF($J332&gt;MAX('Match Log'!$A$4:$A$1510),NA(),IFERROR(LOOKUP(2,1/(('Match Log'!$D$4:$D$1510=$O$24)*('Match Log'!$A$4:$A$1510&lt;=$J332)),'Match Log'!$N$4:$N$1510),NA()))</f>
        <v>#N/A</v>
      </c>
      <c r="P332" t="e">
        <f>IF($J332&gt;MAX('Match Log'!$A$4:$A$1510),NA(),IFERROR(LOOKUP(2,1/(('Match Log'!$D$4:$D$1510=$P$24)*('Match Log'!$A$4:$A$1510&lt;=$J332)),'Match Log'!$N$4:$N$1510),NA()))</f>
        <v>#N/A</v>
      </c>
      <c r="Q332" t="e">
        <f>IF($J332&gt;MAX('Match Log'!$A$4:$A$1510),NA(),IFERROR(LOOKUP(2,1/(('Match Log'!$D$4:$D$1510=$Q$24)*('Match Log'!$A$4:$A$1510&lt;=$J332)),'Match Log'!$N$4:$N$1510),NA()))</f>
        <v>#N/A</v>
      </c>
      <c r="R332" t="e">
        <f>IF($J332&gt;MAX('Match Log'!$A$4:$A$1510),NA(),IFERROR(LOOKUP(2,1/(('Match Log'!$D$4:$D$1510=$R$24)*('Match Log'!$A$4:$A$1510&lt;=$J332)),'Match Log'!$N$4:$N$1510),NA()))</f>
        <v>#N/A</v>
      </c>
      <c r="S332" t="e">
        <f>IF($J332&gt;MAX('Match Log'!$A$4:$A$1510),NA(),IFERROR(LOOKUP(2,1/(('Match Log'!$D$4:$D$1510=$S$24)*('Match Log'!$A$4:$A$1510&lt;=$J332)),'Match Log'!$N$4:$N$1510),NA()))</f>
        <v>#N/A</v>
      </c>
      <c r="T332" t="e">
        <f>IF($J332&gt;MAX('Match Log'!$A$4:$A$1510),NA(),IFERROR(LOOKUP(2,1/(('Match Log'!$D$4:$D$1510=$T$24)*('Match Log'!$A$4:$A$1510&lt;=$J332)),'Match Log'!$N$4:$N$1510),NA()))</f>
        <v>#N/A</v>
      </c>
      <c r="U332" t="e">
        <f>IF($J332&gt;MAX('Match Log'!$A$4:$A$1510),NA(),IFERROR(LOOKUP(2,1/(('Match Log'!$D$4:$D$1510=$U$24)*('Match Log'!$A$4:$A$1510&lt;=$J332)),'Match Log'!$N$4:$N$1510),NA()))</f>
        <v>#N/A</v>
      </c>
      <c r="V332" t="e">
        <f>IF($J332&gt;MAX('Match Log'!$A$4:$A$1510),NA(),IFERROR(LOOKUP(2,1/(('Match Log'!$D$4:$D$1510=$V$24)*('Match Log'!$A$4:$A$1510&lt;=$J332)),'Match Log'!$N$4:$N$1510),NA()))</f>
        <v>#N/A</v>
      </c>
      <c r="W332" t="e">
        <f>IF($J332&gt;MAX('Match Log'!$A$4:$A$1510),NA(),IFERROR(LOOKUP(2,1/(('Match Log'!$D$4:$D$1510=$W$24)*('Match Log'!$A$4:$A$1510&lt;=$J332)),'Match Log'!$N$4:$N$1510),NA()))</f>
        <v>#N/A</v>
      </c>
      <c r="X332" t="e">
        <f>IF($J332&gt;MAX('Match Log'!$A$4:$A$1510),NA(),IFERROR(LOOKUP(2,1/(('Match Log'!$D$4:$D$1510=$X$24)*('Match Log'!$A$4:$A$1510&lt;=$J332)),'Match Log'!$N$4:$N$1510),NA()))</f>
        <v>#N/A</v>
      </c>
      <c r="Y332" t="str">
        <f t="shared" ca="1" si="31"/>
        <v/>
      </c>
    </row>
    <row r="333" spans="1:25" x14ac:dyDescent="0.2">
      <c r="A333">
        <v>309</v>
      </c>
      <c r="B333" t="str">
        <f>IFERROR(INDEX('Match Log'!$B$4:$B$1510,MATCH($A333,'Match Log'!$A$4:$A$1510,0)),"")</f>
        <v/>
      </c>
      <c r="C333" t="str">
        <f>IFERROR(INDEX('Match Log'!$C$4:$C$1510,MATCH($A333,'Match Log'!$A$4:$A$1510,0)),"")</f>
        <v/>
      </c>
      <c r="D333" t="str">
        <f t="array" ref="D333">IFERROR(_xlfn.TEXTJOIN(" + ",TRUE(),IF(('Match Log'!$A$4:$A$1510=$A333)*('Match Log'!$E$4:$E$1510="Win"),'Match Log'!$D$4:$D$1510,"")),IFERROR(LOOKUP(2,1/(('Match Log'!$A$4:$A$1510=$A333)*('Match Log'!$E$4:$E$1510="Win")),'Match Log'!$D$4:$D$1510),""))</f>
        <v/>
      </c>
      <c r="E333" t="str">
        <f>IFERROR(INDEX('Match Log'!$F$4:$F$1510,MATCH($A333,'Match Log'!$A$4:$A$1510,0)),"")</f>
        <v/>
      </c>
      <c r="F333">
        <f>IFERROR(SUMIFS('Match Log'!$I$4:$I$1510,'Match Log'!$A$4:$A$1510,$A333,'Match Log'!$E$4:$E$1510,"Win"),"")</f>
        <v>0</v>
      </c>
      <c r="G333" t="str">
        <f t="shared" si="29"/>
        <v/>
      </c>
      <c r="H333" t="str">
        <f t="array" ref="H333">IFERROR(IF(COUNTIFS('Match Log'!$A$4:$A$1510,$A333,'Match Log'!$E$4:$E$1510,"Win")&gt;1,_xlfn.TEXTJOIN(" + ",TRUE(),IF(('Match Log'!$A$4:$A$1510=$A333)*('Match Log'!$E$4:$E$1510="Loss"),'Match Log'!$D$4:$D$1510,"")),IF($E333=2,LOOKUP(2,1/(('Match Log'!$A$4:$A$1510=$A333)*('Match Log'!$E$4:$E$1510="Loss")),'Match Log'!$D$4:$D$1510),"the field")),"")</f>
        <v>the field</v>
      </c>
      <c r="I333" t="str">
        <f t="shared" si="30"/>
        <v/>
      </c>
      <c r="J333">
        <v>309</v>
      </c>
      <c r="K333" t="e">
        <f>IF($J333&gt;MAX('Match Log'!$A$4:$A$1510),NA(),IFERROR(LOOKUP(2,1/(('Match Log'!$D$4:$D$1510=$K$24)*('Match Log'!$A$4:$A$1510&lt;=$J333)),'Match Log'!$N$4:$N$1510),NA()))</f>
        <v>#N/A</v>
      </c>
      <c r="L333" t="e">
        <f>IF($J333&gt;MAX('Match Log'!$A$4:$A$1510),NA(),IFERROR(LOOKUP(2,1/(('Match Log'!$D$4:$D$1510=$L$24)*('Match Log'!$A$4:$A$1510&lt;=$J333)),'Match Log'!$N$4:$N$1510),NA()))</f>
        <v>#N/A</v>
      </c>
      <c r="M333" t="e">
        <f>IF($J333&gt;MAX('Match Log'!$A$4:$A$1510),NA(),IFERROR(LOOKUP(2,1/(('Match Log'!$D$4:$D$1510=$M$24)*('Match Log'!$A$4:$A$1510&lt;=$J333)),'Match Log'!$N$4:$N$1510),NA()))</f>
        <v>#N/A</v>
      </c>
      <c r="N333" t="e">
        <f>IF($J333&gt;MAX('Match Log'!$A$4:$A$1510),NA(),IFERROR(LOOKUP(2,1/(('Match Log'!$D$4:$D$1510=$N$24)*('Match Log'!$A$4:$A$1510&lt;=$J333)),'Match Log'!$N$4:$N$1510),NA()))</f>
        <v>#N/A</v>
      </c>
      <c r="O333" t="e">
        <f>IF($J333&gt;MAX('Match Log'!$A$4:$A$1510),NA(),IFERROR(LOOKUP(2,1/(('Match Log'!$D$4:$D$1510=$O$24)*('Match Log'!$A$4:$A$1510&lt;=$J333)),'Match Log'!$N$4:$N$1510),NA()))</f>
        <v>#N/A</v>
      </c>
      <c r="P333" t="e">
        <f>IF($J333&gt;MAX('Match Log'!$A$4:$A$1510),NA(),IFERROR(LOOKUP(2,1/(('Match Log'!$D$4:$D$1510=$P$24)*('Match Log'!$A$4:$A$1510&lt;=$J333)),'Match Log'!$N$4:$N$1510),NA()))</f>
        <v>#N/A</v>
      </c>
      <c r="Q333" t="e">
        <f>IF($J333&gt;MAX('Match Log'!$A$4:$A$1510),NA(),IFERROR(LOOKUP(2,1/(('Match Log'!$D$4:$D$1510=$Q$24)*('Match Log'!$A$4:$A$1510&lt;=$J333)),'Match Log'!$N$4:$N$1510),NA()))</f>
        <v>#N/A</v>
      </c>
      <c r="R333" t="e">
        <f>IF($J333&gt;MAX('Match Log'!$A$4:$A$1510),NA(),IFERROR(LOOKUP(2,1/(('Match Log'!$D$4:$D$1510=$R$24)*('Match Log'!$A$4:$A$1510&lt;=$J333)),'Match Log'!$N$4:$N$1510),NA()))</f>
        <v>#N/A</v>
      </c>
      <c r="S333" t="e">
        <f>IF($J333&gt;MAX('Match Log'!$A$4:$A$1510),NA(),IFERROR(LOOKUP(2,1/(('Match Log'!$D$4:$D$1510=$S$24)*('Match Log'!$A$4:$A$1510&lt;=$J333)),'Match Log'!$N$4:$N$1510),NA()))</f>
        <v>#N/A</v>
      </c>
      <c r="T333" t="e">
        <f>IF($J333&gt;MAX('Match Log'!$A$4:$A$1510),NA(),IFERROR(LOOKUP(2,1/(('Match Log'!$D$4:$D$1510=$T$24)*('Match Log'!$A$4:$A$1510&lt;=$J333)),'Match Log'!$N$4:$N$1510),NA()))</f>
        <v>#N/A</v>
      </c>
      <c r="U333" t="e">
        <f>IF($J333&gt;MAX('Match Log'!$A$4:$A$1510),NA(),IFERROR(LOOKUP(2,1/(('Match Log'!$D$4:$D$1510=$U$24)*('Match Log'!$A$4:$A$1510&lt;=$J333)),'Match Log'!$N$4:$N$1510),NA()))</f>
        <v>#N/A</v>
      </c>
      <c r="V333" t="e">
        <f>IF($J333&gt;MAX('Match Log'!$A$4:$A$1510),NA(),IFERROR(LOOKUP(2,1/(('Match Log'!$D$4:$D$1510=$V$24)*('Match Log'!$A$4:$A$1510&lt;=$J333)),'Match Log'!$N$4:$N$1510),NA()))</f>
        <v>#N/A</v>
      </c>
      <c r="W333" t="e">
        <f>IF($J333&gt;MAX('Match Log'!$A$4:$A$1510),NA(),IFERROR(LOOKUP(2,1/(('Match Log'!$D$4:$D$1510=$W$24)*('Match Log'!$A$4:$A$1510&lt;=$J333)),'Match Log'!$N$4:$N$1510),NA()))</f>
        <v>#N/A</v>
      </c>
      <c r="X333" t="e">
        <f>IF($J333&gt;MAX('Match Log'!$A$4:$A$1510),NA(),IFERROR(LOOKUP(2,1/(('Match Log'!$D$4:$D$1510=$X$24)*('Match Log'!$A$4:$A$1510&lt;=$J333)),'Match Log'!$N$4:$N$1510),NA()))</f>
        <v>#N/A</v>
      </c>
      <c r="Y333" t="str">
        <f t="shared" ca="1" si="31"/>
        <v/>
      </c>
    </row>
    <row r="334" spans="1:25" x14ac:dyDescent="0.2">
      <c r="A334">
        <v>310</v>
      </c>
      <c r="B334" t="str">
        <f>IFERROR(INDEX('Match Log'!$B$4:$B$1510,MATCH($A334,'Match Log'!$A$4:$A$1510,0)),"")</f>
        <v/>
      </c>
      <c r="C334" t="str">
        <f>IFERROR(INDEX('Match Log'!$C$4:$C$1510,MATCH($A334,'Match Log'!$A$4:$A$1510,0)),"")</f>
        <v/>
      </c>
      <c r="D334" t="str">
        <f t="array" ref="D334">IFERROR(_xlfn.TEXTJOIN(" + ",TRUE(),IF(('Match Log'!$A$4:$A$1510=$A334)*('Match Log'!$E$4:$E$1510="Win"),'Match Log'!$D$4:$D$1510,"")),IFERROR(LOOKUP(2,1/(('Match Log'!$A$4:$A$1510=$A334)*('Match Log'!$E$4:$E$1510="Win")),'Match Log'!$D$4:$D$1510),""))</f>
        <v/>
      </c>
      <c r="E334" t="str">
        <f>IFERROR(INDEX('Match Log'!$F$4:$F$1510,MATCH($A334,'Match Log'!$A$4:$A$1510,0)),"")</f>
        <v/>
      </c>
      <c r="F334">
        <f>IFERROR(SUMIFS('Match Log'!$I$4:$I$1510,'Match Log'!$A$4:$A$1510,$A334,'Match Log'!$E$4:$E$1510,"Win"),"")</f>
        <v>0</v>
      </c>
      <c r="G334" t="str">
        <f t="shared" si="29"/>
        <v/>
      </c>
      <c r="H334" t="str">
        <f t="array" ref="H334">IFERROR(IF(COUNTIFS('Match Log'!$A$4:$A$1510,$A334,'Match Log'!$E$4:$E$1510,"Win")&gt;1,_xlfn.TEXTJOIN(" + ",TRUE(),IF(('Match Log'!$A$4:$A$1510=$A334)*('Match Log'!$E$4:$E$1510="Loss"),'Match Log'!$D$4:$D$1510,"")),IF($E334=2,LOOKUP(2,1/(('Match Log'!$A$4:$A$1510=$A334)*('Match Log'!$E$4:$E$1510="Loss")),'Match Log'!$D$4:$D$1510),"the field")),"")</f>
        <v>the field</v>
      </c>
      <c r="I334" t="str">
        <f t="shared" si="30"/>
        <v/>
      </c>
      <c r="J334">
        <v>310</v>
      </c>
      <c r="K334" t="e">
        <f>IF($J334&gt;MAX('Match Log'!$A$4:$A$1510),NA(),IFERROR(LOOKUP(2,1/(('Match Log'!$D$4:$D$1510=$K$24)*('Match Log'!$A$4:$A$1510&lt;=$J334)),'Match Log'!$N$4:$N$1510),NA()))</f>
        <v>#N/A</v>
      </c>
      <c r="L334" t="e">
        <f>IF($J334&gt;MAX('Match Log'!$A$4:$A$1510),NA(),IFERROR(LOOKUP(2,1/(('Match Log'!$D$4:$D$1510=$L$24)*('Match Log'!$A$4:$A$1510&lt;=$J334)),'Match Log'!$N$4:$N$1510),NA()))</f>
        <v>#N/A</v>
      </c>
      <c r="M334" t="e">
        <f>IF($J334&gt;MAX('Match Log'!$A$4:$A$1510),NA(),IFERROR(LOOKUP(2,1/(('Match Log'!$D$4:$D$1510=$M$24)*('Match Log'!$A$4:$A$1510&lt;=$J334)),'Match Log'!$N$4:$N$1510),NA()))</f>
        <v>#N/A</v>
      </c>
      <c r="N334" t="e">
        <f>IF($J334&gt;MAX('Match Log'!$A$4:$A$1510),NA(),IFERROR(LOOKUP(2,1/(('Match Log'!$D$4:$D$1510=$N$24)*('Match Log'!$A$4:$A$1510&lt;=$J334)),'Match Log'!$N$4:$N$1510),NA()))</f>
        <v>#N/A</v>
      </c>
      <c r="O334" t="e">
        <f>IF($J334&gt;MAX('Match Log'!$A$4:$A$1510),NA(),IFERROR(LOOKUP(2,1/(('Match Log'!$D$4:$D$1510=$O$24)*('Match Log'!$A$4:$A$1510&lt;=$J334)),'Match Log'!$N$4:$N$1510),NA()))</f>
        <v>#N/A</v>
      </c>
      <c r="P334" t="e">
        <f>IF($J334&gt;MAX('Match Log'!$A$4:$A$1510),NA(),IFERROR(LOOKUP(2,1/(('Match Log'!$D$4:$D$1510=$P$24)*('Match Log'!$A$4:$A$1510&lt;=$J334)),'Match Log'!$N$4:$N$1510),NA()))</f>
        <v>#N/A</v>
      </c>
      <c r="Q334" t="e">
        <f>IF($J334&gt;MAX('Match Log'!$A$4:$A$1510),NA(),IFERROR(LOOKUP(2,1/(('Match Log'!$D$4:$D$1510=$Q$24)*('Match Log'!$A$4:$A$1510&lt;=$J334)),'Match Log'!$N$4:$N$1510),NA()))</f>
        <v>#N/A</v>
      </c>
      <c r="R334" t="e">
        <f>IF($J334&gt;MAX('Match Log'!$A$4:$A$1510),NA(),IFERROR(LOOKUP(2,1/(('Match Log'!$D$4:$D$1510=$R$24)*('Match Log'!$A$4:$A$1510&lt;=$J334)),'Match Log'!$N$4:$N$1510),NA()))</f>
        <v>#N/A</v>
      </c>
      <c r="S334" t="e">
        <f>IF($J334&gt;MAX('Match Log'!$A$4:$A$1510),NA(),IFERROR(LOOKUP(2,1/(('Match Log'!$D$4:$D$1510=$S$24)*('Match Log'!$A$4:$A$1510&lt;=$J334)),'Match Log'!$N$4:$N$1510),NA()))</f>
        <v>#N/A</v>
      </c>
      <c r="T334" t="e">
        <f>IF($J334&gt;MAX('Match Log'!$A$4:$A$1510),NA(),IFERROR(LOOKUP(2,1/(('Match Log'!$D$4:$D$1510=$T$24)*('Match Log'!$A$4:$A$1510&lt;=$J334)),'Match Log'!$N$4:$N$1510),NA()))</f>
        <v>#N/A</v>
      </c>
      <c r="U334" t="e">
        <f>IF($J334&gt;MAX('Match Log'!$A$4:$A$1510),NA(),IFERROR(LOOKUP(2,1/(('Match Log'!$D$4:$D$1510=$U$24)*('Match Log'!$A$4:$A$1510&lt;=$J334)),'Match Log'!$N$4:$N$1510),NA()))</f>
        <v>#N/A</v>
      </c>
      <c r="V334" t="e">
        <f>IF($J334&gt;MAX('Match Log'!$A$4:$A$1510),NA(),IFERROR(LOOKUP(2,1/(('Match Log'!$D$4:$D$1510=$V$24)*('Match Log'!$A$4:$A$1510&lt;=$J334)),'Match Log'!$N$4:$N$1510),NA()))</f>
        <v>#N/A</v>
      </c>
      <c r="W334" t="e">
        <f>IF($J334&gt;MAX('Match Log'!$A$4:$A$1510),NA(),IFERROR(LOOKUP(2,1/(('Match Log'!$D$4:$D$1510=$W$24)*('Match Log'!$A$4:$A$1510&lt;=$J334)),'Match Log'!$N$4:$N$1510),NA()))</f>
        <v>#N/A</v>
      </c>
      <c r="X334" t="e">
        <f>IF($J334&gt;MAX('Match Log'!$A$4:$A$1510),NA(),IFERROR(LOOKUP(2,1/(('Match Log'!$D$4:$D$1510=$X$24)*('Match Log'!$A$4:$A$1510&lt;=$J334)),'Match Log'!$N$4:$N$1510),NA()))</f>
        <v>#N/A</v>
      </c>
      <c r="Y334" t="str">
        <f t="shared" ca="1" si="31"/>
        <v/>
      </c>
    </row>
    <row r="335" spans="1:25" x14ac:dyDescent="0.2">
      <c r="A335">
        <v>311</v>
      </c>
      <c r="B335" t="str">
        <f>IFERROR(INDEX('Match Log'!$B$4:$B$1510,MATCH($A335,'Match Log'!$A$4:$A$1510,0)),"")</f>
        <v/>
      </c>
      <c r="C335" t="str">
        <f>IFERROR(INDEX('Match Log'!$C$4:$C$1510,MATCH($A335,'Match Log'!$A$4:$A$1510,0)),"")</f>
        <v/>
      </c>
      <c r="D335" t="str">
        <f t="array" ref="D335">IFERROR(_xlfn.TEXTJOIN(" + ",TRUE(),IF(('Match Log'!$A$4:$A$1510=$A335)*('Match Log'!$E$4:$E$1510="Win"),'Match Log'!$D$4:$D$1510,"")),IFERROR(LOOKUP(2,1/(('Match Log'!$A$4:$A$1510=$A335)*('Match Log'!$E$4:$E$1510="Win")),'Match Log'!$D$4:$D$1510),""))</f>
        <v/>
      </c>
      <c r="E335" t="str">
        <f>IFERROR(INDEX('Match Log'!$F$4:$F$1510,MATCH($A335,'Match Log'!$A$4:$A$1510,0)),"")</f>
        <v/>
      </c>
      <c r="F335">
        <f>IFERROR(SUMIFS('Match Log'!$I$4:$I$1510,'Match Log'!$A$4:$A$1510,$A335,'Match Log'!$E$4:$E$1510,"Win"),"")</f>
        <v>0</v>
      </c>
      <c r="G335" t="str">
        <f t="shared" si="29"/>
        <v/>
      </c>
      <c r="H335" t="str">
        <f t="array" ref="H335">IFERROR(IF(COUNTIFS('Match Log'!$A$4:$A$1510,$A335,'Match Log'!$E$4:$E$1510,"Win")&gt;1,_xlfn.TEXTJOIN(" + ",TRUE(),IF(('Match Log'!$A$4:$A$1510=$A335)*('Match Log'!$E$4:$E$1510="Loss"),'Match Log'!$D$4:$D$1510,"")),IF($E335=2,LOOKUP(2,1/(('Match Log'!$A$4:$A$1510=$A335)*('Match Log'!$E$4:$E$1510="Loss")),'Match Log'!$D$4:$D$1510),"the field")),"")</f>
        <v>the field</v>
      </c>
      <c r="I335" t="str">
        <f t="shared" si="30"/>
        <v/>
      </c>
      <c r="J335">
        <v>311</v>
      </c>
      <c r="K335" t="e">
        <f>IF($J335&gt;MAX('Match Log'!$A$4:$A$1510),NA(),IFERROR(LOOKUP(2,1/(('Match Log'!$D$4:$D$1510=$K$24)*('Match Log'!$A$4:$A$1510&lt;=$J335)),'Match Log'!$N$4:$N$1510),NA()))</f>
        <v>#N/A</v>
      </c>
      <c r="L335" t="e">
        <f>IF($J335&gt;MAX('Match Log'!$A$4:$A$1510),NA(),IFERROR(LOOKUP(2,1/(('Match Log'!$D$4:$D$1510=$L$24)*('Match Log'!$A$4:$A$1510&lt;=$J335)),'Match Log'!$N$4:$N$1510),NA()))</f>
        <v>#N/A</v>
      </c>
      <c r="M335" t="e">
        <f>IF($J335&gt;MAX('Match Log'!$A$4:$A$1510),NA(),IFERROR(LOOKUP(2,1/(('Match Log'!$D$4:$D$1510=$M$24)*('Match Log'!$A$4:$A$1510&lt;=$J335)),'Match Log'!$N$4:$N$1510),NA()))</f>
        <v>#N/A</v>
      </c>
      <c r="N335" t="e">
        <f>IF($J335&gt;MAX('Match Log'!$A$4:$A$1510),NA(),IFERROR(LOOKUP(2,1/(('Match Log'!$D$4:$D$1510=$N$24)*('Match Log'!$A$4:$A$1510&lt;=$J335)),'Match Log'!$N$4:$N$1510),NA()))</f>
        <v>#N/A</v>
      </c>
      <c r="O335" t="e">
        <f>IF($J335&gt;MAX('Match Log'!$A$4:$A$1510),NA(),IFERROR(LOOKUP(2,1/(('Match Log'!$D$4:$D$1510=$O$24)*('Match Log'!$A$4:$A$1510&lt;=$J335)),'Match Log'!$N$4:$N$1510),NA()))</f>
        <v>#N/A</v>
      </c>
      <c r="P335" t="e">
        <f>IF($J335&gt;MAX('Match Log'!$A$4:$A$1510),NA(),IFERROR(LOOKUP(2,1/(('Match Log'!$D$4:$D$1510=$P$24)*('Match Log'!$A$4:$A$1510&lt;=$J335)),'Match Log'!$N$4:$N$1510),NA()))</f>
        <v>#N/A</v>
      </c>
      <c r="Q335" t="e">
        <f>IF($J335&gt;MAX('Match Log'!$A$4:$A$1510),NA(),IFERROR(LOOKUP(2,1/(('Match Log'!$D$4:$D$1510=$Q$24)*('Match Log'!$A$4:$A$1510&lt;=$J335)),'Match Log'!$N$4:$N$1510),NA()))</f>
        <v>#N/A</v>
      </c>
      <c r="R335" t="e">
        <f>IF($J335&gt;MAX('Match Log'!$A$4:$A$1510),NA(),IFERROR(LOOKUP(2,1/(('Match Log'!$D$4:$D$1510=$R$24)*('Match Log'!$A$4:$A$1510&lt;=$J335)),'Match Log'!$N$4:$N$1510),NA()))</f>
        <v>#N/A</v>
      </c>
      <c r="S335" t="e">
        <f>IF($J335&gt;MAX('Match Log'!$A$4:$A$1510),NA(),IFERROR(LOOKUP(2,1/(('Match Log'!$D$4:$D$1510=$S$24)*('Match Log'!$A$4:$A$1510&lt;=$J335)),'Match Log'!$N$4:$N$1510),NA()))</f>
        <v>#N/A</v>
      </c>
      <c r="T335" t="e">
        <f>IF($J335&gt;MAX('Match Log'!$A$4:$A$1510),NA(),IFERROR(LOOKUP(2,1/(('Match Log'!$D$4:$D$1510=$T$24)*('Match Log'!$A$4:$A$1510&lt;=$J335)),'Match Log'!$N$4:$N$1510),NA()))</f>
        <v>#N/A</v>
      </c>
      <c r="U335" t="e">
        <f>IF($J335&gt;MAX('Match Log'!$A$4:$A$1510),NA(),IFERROR(LOOKUP(2,1/(('Match Log'!$D$4:$D$1510=$U$24)*('Match Log'!$A$4:$A$1510&lt;=$J335)),'Match Log'!$N$4:$N$1510),NA()))</f>
        <v>#N/A</v>
      </c>
      <c r="V335" t="e">
        <f>IF($J335&gt;MAX('Match Log'!$A$4:$A$1510),NA(),IFERROR(LOOKUP(2,1/(('Match Log'!$D$4:$D$1510=$V$24)*('Match Log'!$A$4:$A$1510&lt;=$J335)),'Match Log'!$N$4:$N$1510),NA()))</f>
        <v>#N/A</v>
      </c>
      <c r="W335" t="e">
        <f>IF($J335&gt;MAX('Match Log'!$A$4:$A$1510),NA(),IFERROR(LOOKUP(2,1/(('Match Log'!$D$4:$D$1510=$W$24)*('Match Log'!$A$4:$A$1510&lt;=$J335)),'Match Log'!$N$4:$N$1510),NA()))</f>
        <v>#N/A</v>
      </c>
      <c r="X335" t="e">
        <f>IF($J335&gt;MAX('Match Log'!$A$4:$A$1510),NA(),IFERROR(LOOKUP(2,1/(('Match Log'!$D$4:$D$1510=$X$24)*('Match Log'!$A$4:$A$1510&lt;=$J335)),'Match Log'!$N$4:$N$1510),NA()))</f>
        <v>#N/A</v>
      </c>
      <c r="Y335" t="str">
        <f t="shared" ca="1" si="31"/>
        <v/>
      </c>
    </row>
    <row r="336" spans="1:25" x14ac:dyDescent="0.2">
      <c r="A336">
        <v>312</v>
      </c>
      <c r="B336" t="str">
        <f>IFERROR(INDEX('Match Log'!$B$4:$B$1510,MATCH($A336,'Match Log'!$A$4:$A$1510,0)),"")</f>
        <v/>
      </c>
      <c r="C336" t="str">
        <f>IFERROR(INDEX('Match Log'!$C$4:$C$1510,MATCH($A336,'Match Log'!$A$4:$A$1510,0)),"")</f>
        <v/>
      </c>
      <c r="D336" t="str">
        <f t="array" ref="D336">IFERROR(_xlfn.TEXTJOIN(" + ",TRUE(),IF(('Match Log'!$A$4:$A$1510=$A336)*('Match Log'!$E$4:$E$1510="Win"),'Match Log'!$D$4:$D$1510,"")),IFERROR(LOOKUP(2,1/(('Match Log'!$A$4:$A$1510=$A336)*('Match Log'!$E$4:$E$1510="Win")),'Match Log'!$D$4:$D$1510),""))</f>
        <v/>
      </c>
      <c r="E336" t="str">
        <f>IFERROR(INDEX('Match Log'!$F$4:$F$1510,MATCH($A336,'Match Log'!$A$4:$A$1510,0)),"")</f>
        <v/>
      </c>
      <c r="F336">
        <f>IFERROR(SUMIFS('Match Log'!$I$4:$I$1510,'Match Log'!$A$4:$A$1510,$A336,'Match Log'!$E$4:$E$1510,"Win"),"")</f>
        <v>0</v>
      </c>
      <c r="G336" t="str">
        <f t="shared" si="29"/>
        <v/>
      </c>
      <c r="H336" t="str">
        <f t="array" ref="H336">IFERROR(IF(COUNTIFS('Match Log'!$A$4:$A$1510,$A336,'Match Log'!$E$4:$E$1510,"Win")&gt;1,_xlfn.TEXTJOIN(" + ",TRUE(),IF(('Match Log'!$A$4:$A$1510=$A336)*('Match Log'!$E$4:$E$1510="Loss"),'Match Log'!$D$4:$D$1510,"")),IF($E336=2,LOOKUP(2,1/(('Match Log'!$A$4:$A$1510=$A336)*('Match Log'!$E$4:$E$1510="Loss")),'Match Log'!$D$4:$D$1510),"the field")),"")</f>
        <v>the field</v>
      </c>
      <c r="I336" t="str">
        <f t="shared" si="30"/>
        <v/>
      </c>
      <c r="J336">
        <v>312</v>
      </c>
      <c r="K336" t="e">
        <f>IF($J336&gt;MAX('Match Log'!$A$4:$A$1510),NA(),IFERROR(LOOKUP(2,1/(('Match Log'!$D$4:$D$1510=$K$24)*('Match Log'!$A$4:$A$1510&lt;=$J336)),'Match Log'!$N$4:$N$1510),NA()))</f>
        <v>#N/A</v>
      </c>
      <c r="L336" t="e">
        <f>IF($J336&gt;MAX('Match Log'!$A$4:$A$1510),NA(),IFERROR(LOOKUP(2,1/(('Match Log'!$D$4:$D$1510=$L$24)*('Match Log'!$A$4:$A$1510&lt;=$J336)),'Match Log'!$N$4:$N$1510),NA()))</f>
        <v>#N/A</v>
      </c>
      <c r="M336" t="e">
        <f>IF($J336&gt;MAX('Match Log'!$A$4:$A$1510),NA(),IFERROR(LOOKUP(2,1/(('Match Log'!$D$4:$D$1510=$M$24)*('Match Log'!$A$4:$A$1510&lt;=$J336)),'Match Log'!$N$4:$N$1510),NA()))</f>
        <v>#N/A</v>
      </c>
      <c r="N336" t="e">
        <f>IF($J336&gt;MAX('Match Log'!$A$4:$A$1510),NA(),IFERROR(LOOKUP(2,1/(('Match Log'!$D$4:$D$1510=$N$24)*('Match Log'!$A$4:$A$1510&lt;=$J336)),'Match Log'!$N$4:$N$1510),NA()))</f>
        <v>#N/A</v>
      </c>
      <c r="O336" t="e">
        <f>IF($J336&gt;MAX('Match Log'!$A$4:$A$1510),NA(),IFERROR(LOOKUP(2,1/(('Match Log'!$D$4:$D$1510=$O$24)*('Match Log'!$A$4:$A$1510&lt;=$J336)),'Match Log'!$N$4:$N$1510),NA()))</f>
        <v>#N/A</v>
      </c>
      <c r="P336" t="e">
        <f>IF($J336&gt;MAX('Match Log'!$A$4:$A$1510),NA(),IFERROR(LOOKUP(2,1/(('Match Log'!$D$4:$D$1510=$P$24)*('Match Log'!$A$4:$A$1510&lt;=$J336)),'Match Log'!$N$4:$N$1510),NA()))</f>
        <v>#N/A</v>
      </c>
      <c r="Q336" t="e">
        <f>IF($J336&gt;MAX('Match Log'!$A$4:$A$1510),NA(),IFERROR(LOOKUP(2,1/(('Match Log'!$D$4:$D$1510=$Q$24)*('Match Log'!$A$4:$A$1510&lt;=$J336)),'Match Log'!$N$4:$N$1510),NA()))</f>
        <v>#N/A</v>
      </c>
      <c r="R336" t="e">
        <f>IF($J336&gt;MAX('Match Log'!$A$4:$A$1510),NA(),IFERROR(LOOKUP(2,1/(('Match Log'!$D$4:$D$1510=$R$24)*('Match Log'!$A$4:$A$1510&lt;=$J336)),'Match Log'!$N$4:$N$1510),NA()))</f>
        <v>#N/A</v>
      </c>
      <c r="S336" t="e">
        <f>IF($J336&gt;MAX('Match Log'!$A$4:$A$1510),NA(),IFERROR(LOOKUP(2,1/(('Match Log'!$D$4:$D$1510=$S$24)*('Match Log'!$A$4:$A$1510&lt;=$J336)),'Match Log'!$N$4:$N$1510),NA()))</f>
        <v>#N/A</v>
      </c>
      <c r="T336" t="e">
        <f>IF($J336&gt;MAX('Match Log'!$A$4:$A$1510),NA(),IFERROR(LOOKUP(2,1/(('Match Log'!$D$4:$D$1510=$T$24)*('Match Log'!$A$4:$A$1510&lt;=$J336)),'Match Log'!$N$4:$N$1510),NA()))</f>
        <v>#N/A</v>
      </c>
      <c r="U336" t="e">
        <f>IF($J336&gt;MAX('Match Log'!$A$4:$A$1510),NA(),IFERROR(LOOKUP(2,1/(('Match Log'!$D$4:$D$1510=$U$24)*('Match Log'!$A$4:$A$1510&lt;=$J336)),'Match Log'!$N$4:$N$1510),NA()))</f>
        <v>#N/A</v>
      </c>
      <c r="V336" t="e">
        <f>IF($J336&gt;MAX('Match Log'!$A$4:$A$1510),NA(),IFERROR(LOOKUP(2,1/(('Match Log'!$D$4:$D$1510=$V$24)*('Match Log'!$A$4:$A$1510&lt;=$J336)),'Match Log'!$N$4:$N$1510),NA()))</f>
        <v>#N/A</v>
      </c>
      <c r="W336" t="e">
        <f>IF($J336&gt;MAX('Match Log'!$A$4:$A$1510),NA(),IFERROR(LOOKUP(2,1/(('Match Log'!$D$4:$D$1510=$W$24)*('Match Log'!$A$4:$A$1510&lt;=$J336)),'Match Log'!$N$4:$N$1510),NA()))</f>
        <v>#N/A</v>
      </c>
      <c r="X336" t="e">
        <f>IF($J336&gt;MAX('Match Log'!$A$4:$A$1510),NA(),IFERROR(LOOKUP(2,1/(('Match Log'!$D$4:$D$1510=$X$24)*('Match Log'!$A$4:$A$1510&lt;=$J336)),'Match Log'!$N$4:$N$1510),NA()))</f>
        <v>#N/A</v>
      </c>
      <c r="Y336" t="str">
        <f t="shared" ca="1" si="31"/>
        <v/>
      </c>
    </row>
    <row r="337" spans="1:25" x14ac:dyDescent="0.2">
      <c r="A337">
        <v>313</v>
      </c>
      <c r="B337" t="str">
        <f>IFERROR(INDEX('Match Log'!$B$4:$B$1510,MATCH($A337,'Match Log'!$A$4:$A$1510,0)),"")</f>
        <v/>
      </c>
      <c r="C337" t="str">
        <f>IFERROR(INDEX('Match Log'!$C$4:$C$1510,MATCH($A337,'Match Log'!$A$4:$A$1510,0)),"")</f>
        <v/>
      </c>
      <c r="D337" t="str">
        <f t="array" ref="D337">IFERROR(_xlfn.TEXTJOIN(" + ",TRUE(),IF(('Match Log'!$A$4:$A$1510=$A337)*('Match Log'!$E$4:$E$1510="Win"),'Match Log'!$D$4:$D$1510,"")),IFERROR(LOOKUP(2,1/(('Match Log'!$A$4:$A$1510=$A337)*('Match Log'!$E$4:$E$1510="Win")),'Match Log'!$D$4:$D$1510),""))</f>
        <v/>
      </c>
      <c r="E337" t="str">
        <f>IFERROR(INDEX('Match Log'!$F$4:$F$1510,MATCH($A337,'Match Log'!$A$4:$A$1510,0)),"")</f>
        <v/>
      </c>
      <c r="F337">
        <f>IFERROR(SUMIFS('Match Log'!$I$4:$I$1510,'Match Log'!$A$4:$A$1510,$A337,'Match Log'!$E$4:$E$1510,"Win"),"")</f>
        <v>0</v>
      </c>
      <c r="G337" t="str">
        <f t="shared" si="29"/>
        <v/>
      </c>
      <c r="H337" t="str">
        <f t="array" ref="H337">IFERROR(IF(COUNTIFS('Match Log'!$A$4:$A$1510,$A337,'Match Log'!$E$4:$E$1510,"Win")&gt;1,_xlfn.TEXTJOIN(" + ",TRUE(),IF(('Match Log'!$A$4:$A$1510=$A337)*('Match Log'!$E$4:$E$1510="Loss"),'Match Log'!$D$4:$D$1510,"")),IF($E337=2,LOOKUP(2,1/(('Match Log'!$A$4:$A$1510=$A337)*('Match Log'!$E$4:$E$1510="Loss")),'Match Log'!$D$4:$D$1510),"the field")),"")</f>
        <v>the field</v>
      </c>
      <c r="I337" t="str">
        <f t="shared" si="30"/>
        <v/>
      </c>
      <c r="J337">
        <v>313</v>
      </c>
      <c r="K337" t="e">
        <f>IF($J337&gt;MAX('Match Log'!$A$4:$A$1510),NA(),IFERROR(LOOKUP(2,1/(('Match Log'!$D$4:$D$1510=$K$24)*('Match Log'!$A$4:$A$1510&lt;=$J337)),'Match Log'!$N$4:$N$1510),NA()))</f>
        <v>#N/A</v>
      </c>
      <c r="L337" t="e">
        <f>IF($J337&gt;MAX('Match Log'!$A$4:$A$1510),NA(),IFERROR(LOOKUP(2,1/(('Match Log'!$D$4:$D$1510=$L$24)*('Match Log'!$A$4:$A$1510&lt;=$J337)),'Match Log'!$N$4:$N$1510),NA()))</f>
        <v>#N/A</v>
      </c>
      <c r="M337" t="e">
        <f>IF($J337&gt;MAX('Match Log'!$A$4:$A$1510),NA(),IFERROR(LOOKUP(2,1/(('Match Log'!$D$4:$D$1510=$M$24)*('Match Log'!$A$4:$A$1510&lt;=$J337)),'Match Log'!$N$4:$N$1510),NA()))</f>
        <v>#N/A</v>
      </c>
      <c r="N337" t="e">
        <f>IF($J337&gt;MAX('Match Log'!$A$4:$A$1510),NA(),IFERROR(LOOKUP(2,1/(('Match Log'!$D$4:$D$1510=$N$24)*('Match Log'!$A$4:$A$1510&lt;=$J337)),'Match Log'!$N$4:$N$1510),NA()))</f>
        <v>#N/A</v>
      </c>
      <c r="O337" t="e">
        <f>IF($J337&gt;MAX('Match Log'!$A$4:$A$1510),NA(),IFERROR(LOOKUP(2,1/(('Match Log'!$D$4:$D$1510=$O$24)*('Match Log'!$A$4:$A$1510&lt;=$J337)),'Match Log'!$N$4:$N$1510),NA()))</f>
        <v>#N/A</v>
      </c>
      <c r="P337" t="e">
        <f>IF($J337&gt;MAX('Match Log'!$A$4:$A$1510),NA(),IFERROR(LOOKUP(2,1/(('Match Log'!$D$4:$D$1510=$P$24)*('Match Log'!$A$4:$A$1510&lt;=$J337)),'Match Log'!$N$4:$N$1510),NA()))</f>
        <v>#N/A</v>
      </c>
      <c r="Q337" t="e">
        <f>IF($J337&gt;MAX('Match Log'!$A$4:$A$1510),NA(),IFERROR(LOOKUP(2,1/(('Match Log'!$D$4:$D$1510=$Q$24)*('Match Log'!$A$4:$A$1510&lt;=$J337)),'Match Log'!$N$4:$N$1510),NA()))</f>
        <v>#N/A</v>
      </c>
      <c r="R337" t="e">
        <f>IF($J337&gt;MAX('Match Log'!$A$4:$A$1510),NA(),IFERROR(LOOKUP(2,1/(('Match Log'!$D$4:$D$1510=$R$24)*('Match Log'!$A$4:$A$1510&lt;=$J337)),'Match Log'!$N$4:$N$1510),NA()))</f>
        <v>#N/A</v>
      </c>
      <c r="S337" t="e">
        <f>IF($J337&gt;MAX('Match Log'!$A$4:$A$1510),NA(),IFERROR(LOOKUP(2,1/(('Match Log'!$D$4:$D$1510=$S$24)*('Match Log'!$A$4:$A$1510&lt;=$J337)),'Match Log'!$N$4:$N$1510),NA()))</f>
        <v>#N/A</v>
      </c>
      <c r="T337" t="e">
        <f>IF($J337&gt;MAX('Match Log'!$A$4:$A$1510),NA(),IFERROR(LOOKUP(2,1/(('Match Log'!$D$4:$D$1510=$T$24)*('Match Log'!$A$4:$A$1510&lt;=$J337)),'Match Log'!$N$4:$N$1510),NA()))</f>
        <v>#N/A</v>
      </c>
      <c r="U337" t="e">
        <f>IF($J337&gt;MAX('Match Log'!$A$4:$A$1510),NA(),IFERROR(LOOKUP(2,1/(('Match Log'!$D$4:$D$1510=$U$24)*('Match Log'!$A$4:$A$1510&lt;=$J337)),'Match Log'!$N$4:$N$1510),NA()))</f>
        <v>#N/A</v>
      </c>
      <c r="V337" t="e">
        <f>IF($J337&gt;MAX('Match Log'!$A$4:$A$1510),NA(),IFERROR(LOOKUP(2,1/(('Match Log'!$D$4:$D$1510=$V$24)*('Match Log'!$A$4:$A$1510&lt;=$J337)),'Match Log'!$N$4:$N$1510),NA()))</f>
        <v>#N/A</v>
      </c>
      <c r="W337" t="e">
        <f>IF($J337&gt;MAX('Match Log'!$A$4:$A$1510),NA(),IFERROR(LOOKUP(2,1/(('Match Log'!$D$4:$D$1510=$W$24)*('Match Log'!$A$4:$A$1510&lt;=$J337)),'Match Log'!$N$4:$N$1510),NA()))</f>
        <v>#N/A</v>
      </c>
      <c r="X337" t="e">
        <f>IF($J337&gt;MAX('Match Log'!$A$4:$A$1510),NA(),IFERROR(LOOKUP(2,1/(('Match Log'!$D$4:$D$1510=$X$24)*('Match Log'!$A$4:$A$1510&lt;=$J337)),'Match Log'!$N$4:$N$1510),NA()))</f>
        <v>#N/A</v>
      </c>
      <c r="Y337" t="str">
        <f t="shared" ca="1" si="31"/>
        <v/>
      </c>
    </row>
    <row r="338" spans="1:25" x14ac:dyDescent="0.2">
      <c r="A338">
        <v>314</v>
      </c>
      <c r="B338" t="str">
        <f>IFERROR(INDEX('Match Log'!$B$4:$B$1510,MATCH($A338,'Match Log'!$A$4:$A$1510,0)),"")</f>
        <v/>
      </c>
      <c r="C338" t="str">
        <f>IFERROR(INDEX('Match Log'!$C$4:$C$1510,MATCH($A338,'Match Log'!$A$4:$A$1510,0)),"")</f>
        <v/>
      </c>
      <c r="D338" t="str">
        <f t="array" ref="D338">IFERROR(_xlfn.TEXTJOIN(" + ",TRUE(),IF(('Match Log'!$A$4:$A$1510=$A338)*('Match Log'!$E$4:$E$1510="Win"),'Match Log'!$D$4:$D$1510,"")),IFERROR(LOOKUP(2,1/(('Match Log'!$A$4:$A$1510=$A338)*('Match Log'!$E$4:$E$1510="Win")),'Match Log'!$D$4:$D$1510),""))</f>
        <v/>
      </c>
      <c r="E338" t="str">
        <f>IFERROR(INDEX('Match Log'!$F$4:$F$1510,MATCH($A338,'Match Log'!$A$4:$A$1510,0)),"")</f>
        <v/>
      </c>
      <c r="F338">
        <f>IFERROR(SUMIFS('Match Log'!$I$4:$I$1510,'Match Log'!$A$4:$A$1510,$A338,'Match Log'!$E$4:$E$1510,"Win"),"")</f>
        <v>0</v>
      </c>
      <c r="G338" t="str">
        <f t="shared" si="29"/>
        <v/>
      </c>
      <c r="H338" t="str">
        <f t="array" ref="H338">IFERROR(IF(COUNTIFS('Match Log'!$A$4:$A$1510,$A338,'Match Log'!$E$4:$E$1510,"Win")&gt;1,_xlfn.TEXTJOIN(" + ",TRUE(),IF(('Match Log'!$A$4:$A$1510=$A338)*('Match Log'!$E$4:$E$1510="Loss"),'Match Log'!$D$4:$D$1510,"")),IF($E338=2,LOOKUP(2,1/(('Match Log'!$A$4:$A$1510=$A338)*('Match Log'!$E$4:$E$1510="Loss")),'Match Log'!$D$4:$D$1510),"the field")),"")</f>
        <v>the field</v>
      </c>
      <c r="I338" t="str">
        <f t="shared" si="30"/>
        <v/>
      </c>
      <c r="J338">
        <v>314</v>
      </c>
      <c r="K338" t="e">
        <f>IF($J338&gt;MAX('Match Log'!$A$4:$A$1510),NA(),IFERROR(LOOKUP(2,1/(('Match Log'!$D$4:$D$1510=$K$24)*('Match Log'!$A$4:$A$1510&lt;=$J338)),'Match Log'!$N$4:$N$1510),NA()))</f>
        <v>#N/A</v>
      </c>
      <c r="L338" t="e">
        <f>IF($J338&gt;MAX('Match Log'!$A$4:$A$1510),NA(),IFERROR(LOOKUP(2,1/(('Match Log'!$D$4:$D$1510=$L$24)*('Match Log'!$A$4:$A$1510&lt;=$J338)),'Match Log'!$N$4:$N$1510),NA()))</f>
        <v>#N/A</v>
      </c>
      <c r="M338" t="e">
        <f>IF($J338&gt;MAX('Match Log'!$A$4:$A$1510),NA(),IFERROR(LOOKUP(2,1/(('Match Log'!$D$4:$D$1510=$M$24)*('Match Log'!$A$4:$A$1510&lt;=$J338)),'Match Log'!$N$4:$N$1510),NA()))</f>
        <v>#N/A</v>
      </c>
      <c r="N338" t="e">
        <f>IF($J338&gt;MAX('Match Log'!$A$4:$A$1510),NA(),IFERROR(LOOKUP(2,1/(('Match Log'!$D$4:$D$1510=$N$24)*('Match Log'!$A$4:$A$1510&lt;=$J338)),'Match Log'!$N$4:$N$1510),NA()))</f>
        <v>#N/A</v>
      </c>
      <c r="O338" t="e">
        <f>IF($J338&gt;MAX('Match Log'!$A$4:$A$1510),NA(),IFERROR(LOOKUP(2,1/(('Match Log'!$D$4:$D$1510=$O$24)*('Match Log'!$A$4:$A$1510&lt;=$J338)),'Match Log'!$N$4:$N$1510),NA()))</f>
        <v>#N/A</v>
      </c>
      <c r="P338" t="e">
        <f>IF($J338&gt;MAX('Match Log'!$A$4:$A$1510),NA(),IFERROR(LOOKUP(2,1/(('Match Log'!$D$4:$D$1510=$P$24)*('Match Log'!$A$4:$A$1510&lt;=$J338)),'Match Log'!$N$4:$N$1510),NA()))</f>
        <v>#N/A</v>
      </c>
      <c r="Q338" t="e">
        <f>IF($J338&gt;MAX('Match Log'!$A$4:$A$1510),NA(),IFERROR(LOOKUP(2,1/(('Match Log'!$D$4:$D$1510=$Q$24)*('Match Log'!$A$4:$A$1510&lt;=$J338)),'Match Log'!$N$4:$N$1510),NA()))</f>
        <v>#N/A</v>
      </c>
      <c r="R338" t="e">
        <f>IF($J338&gt;MAX('Match Log'!$A$4:$A$1510),NA(),IFERROR(LOOKUP(2,1/(('Match Log'!$D$4:$D$1510=$R$24)*('Match Log'!$A$4:$A$1510&lt;=$J338)),'Match Log'!$N$4:$N$1510),NA()))</f>
        <v>#N/A</v>
      </c>
      <c r="S338" t="e">
        <f>IF($J338&gt;MAX('Match Log'!$A$4:$A$1510),NA(),IFERROR(LOOKUP(2,1/(('Match Log'!$D$4:$D$1510=$S$24)*('Match Log'!$A$4:$A$1510&lt;=$J338)),'Match Log'!$N$4:$N$1510),NA()))</f>
        <v>#N/A</v>
      </c>
      <c r="T338" t="e">
        <f>IF($J338&gt;MAX('Match Log'!$A$4:$A$1510),NA(),IFERROR(LOOKUP(2,1/(('Match Log'!$D$4:$D$1510=$T$24)*('Match Log'!$A$4:$A$1510&lt;=$J338)),'Match Log'!$N$4:$N$1510),NA()))</f>
        <v>#N/A</v>
      </c>
      <c r="U338" t="e">
        <f>IF($J338&gt;MAX('Match Log'!$A$4:$A$1510),NA(),IFERROR(LOOKUP(2,1/(('Match Log'!$D$4:$D$1510=$U$24)*('Match Log'!$A$4:$A$1510&lt;=$J338)),'Match Log'!$N$4:$N$1510),NA()))</f>
        <v>#N/A</v>
      </c>
      <c r="V338" t="e">
        <f>IF($J338&gt;MAX('Match Log'!$A$4:$A$1510),NA(),IFERROR(LOOKUP(2,1/(('Match Log'!$D$4:$D$1510=$V$24)*('Match Log'!$A$4:$A$1510&lt;=$J338)),'Match Log'!$N$4:$N$1510),NA()))</f>
        <v>#N/A</v>
      </c>
      <c r="W338" t="e">
        <f>IF($J338&gt;MAX('Match Log'!$A$4:$A$1510),NA(),IFERROR(LOOKUP(2,1/(('Match Log'!$D$4:$D$1510=$W$24)*('Match Log'!$A$4:$A$1510&lt;=$J338)),'Match Log'!$N$4:$N$1510),NA()))</f>
        <v>#N/A</v>
      </c>
      <c r="X338" t="e">
        <f>IF($J338&gt;MAX('Match Log'!$A$4:$A$1510),NA(),IFERROR(LOOKUP(2,1/(('Match Log'!$D$4:$D$1510=$X$24)*('Match Log'!$A$4:$A$1510&lt;=$J338)),'Match Log'!$N$4:$N$1510),NA()))</f>
        <v>#N/A</v>
      </c>
      <c r="Y338" t="str">
        <f t="shared" ca="1" si="31"/>
        <v/>
      </c>
    </row>
    <row r="339" spans="1:25" x14ac:dyDescent="0.2">
      <c r="A339">
        <v>315</v>
      </c>
      <c r="B339" t="str">
        <f>IFERROR(INDEX('Match Log'!$B$4:$B$1510,MATCH($A339,'Match Log'!$A$4:$A$1510,0)),"")</f>
        <v/>
      </c>
      <c r="C339" t="str">
        <f>IFERROR(INDEX('Match Log'!$C$4:$C$1510,MATCH($A339,'Match Log'!$A$4:$A$1510,0)),"")</f>
        <v/>
      </c>
      <c r="D339" t="str">
        <f t="array" ref="D339">IFERROR(_xlfn.TEXTJOIN(" + ",TRUE(),IF(('Match Log'!$A$4:$A$1510=$A339)*('Match Log'!$E$4:$E$1510="Win"),'Match Log'!$D$4:$D$1510,"")),IFERROR(LOOKUP(2,1/(('Match Log'!$A$4:$A$1510=$A339)*('Match Log'!$E$4:$E$1510="Win")),'Match Log'!$D$4:$D$1510),""))</f>
        <v/>
      </c>
      <c r="E339" t="str">
        <f>IFERROR(INDEX('Match Log'!$F$4:$F$1510,MATCH($A339,'Match Log'!$A$4:$A$1510,0)),"")</f>
        <v/>
      </c>
      <c r="F339">
        <f>IFERROR(SUMIFS('Match Log'!$I$4:$I$1510,'Match Log'!$A$4:$A$1510,$A339,'Match Log'!$E$4:$E$1510,"Win"),"")</f>
        <v>0</v>
      </c>
      <c r="G339" t="str">
        <f t="shared" si="29"/>
        <v/>
      </c>
      <c r="H339" t="str">
        <f t="array" ref="H339">IFERROR(IF(COUNTIFS('Match Log'!$A$4:$A$1510,$A339,'Match Log'!$E$4:$E$1510,"Win")&gt;1,_xlfn.TEXTJOIN(" + ",TRUE(),IF(('Match Log'!$A$4:$A$1510=$A339)*('Match Log'!$E$4:$E$1510="Loss"),'Match Log'!$D$4:$D$1510,"")),IF($E339=2,LOOKUP(2,1/(('Match Log'!$A$4:$A$1510=$A339)*('Match Log'!$E$4:$E$1510="Loss")),'Match Log'!$D$4:$D$1510),"the field")),"")</f>
        <v>the field</v>
      </c>
      <c r="I339" t="str">
        <f t="shared" si="30"/>
        <v/>
      </c>
      <c r="J339">
        <v>315</v>
      </c>
      <c r="K339" t="e">
        <f>IF($J339&gt;MAX('Match Log'!$A$4:$A$1510),NA(),IFERROR(LOOKUP(2,1/(('Match Log'!$D$4:$D$1510=$K$24)*('Match Log'!$A$4:$A$1510&lt;=$J339)),'Match Log'!$N$4:$N$1510),NA()))</f>
        <v>#N/A</v>
      </c>
      <c r="L339" t="e">
        <f>IF($J339&gt;MAX('Match Log'!$A$4:$A$1510),NA(),IFERROR(LOOKUP(2,1/(('Match Log'!$D$4:$D$1510=$L$24)*('Match Log'!$A$4:$A$1510&lt;=$J339)),'Match Log'!$N$4:$N$1510),NA()))</f>
        <v>#N/A</v>
      </c>
      <c r="M339" t="e">
        <f>IF($J339&gt;MAX('Match Log'!$A$4:$A$1510),NA(),IFERROR(LOOKUP(2,1/(('Match Log'!$D$4:$D$1510=$M$24)*('Match Log'!$A$4:$A$1510&lt;=$J339)),'Match Log'!$N$4:$N$1510),NA()))</f>
        <v>#N/A</v>
      </c>
      <c r="N339" t="e">
        <f>IF($J339&gt;MAX('Match Log'!$A$4:$A$1510),NA(),IFERROR(LOOKUP(2,1/(('Match Log'!$D$4:$D$1510=$N$24)*('Match Log'!$A$4:$A$1510&lt;=$J339)),'Match Log'!$N$4:$N$1510),NA()))</f>
        <v>#N/A</v>
      </c>
      <c r="O339" t="e">
        <f>IF($J339&gt;MAX('Match Log'!$A$4:$A$1510),NA(),IFERROR(LOOKUP(2,1/(('Match Log'!$D$4:$D$1510=$O$24)*('Match Log'!$A$4:$A$1510&lt;=$J339)),'Match Log'!$N$4:$N$1510),NA()))</f>
        <v>#N/A</v>
      </c>
      <c r="P339" t="e">
        <f>IF($J339&gt;MAX('Match Log'!$A$4:$A$1510),NA(),IFERROR(LOOKUP(2,1/(('Match Log'!$D$4:$D$1510=$P$24)*('Match Log'!$A$4:$A$1510&lt;=$J339)),'Match Log'!$N$4:$N$1510),NA()))</f>
        <v>#N/A</v>
      </c>
      <c r="Q339" t="e">
        <f>IF($J339&gt;MAX('Match Log'!$A$4:$A$1510),NA(),IFERROR(LOOKUP(2,1/(('Match Log'!$D$4:$D$1510=$Q$24)*('Match Log'!$A$4:$A$1510&lt;=$J339)),'Match Log'!$N$4:$N$1510),NA()))</f>
        <v>#N/A</v>
      </c>
      <c r="R339" t="e">
        <f>IF($J339&gt;MAX('Match Log'!$A$4:$A$1510),NA(),IFERROR(LOOKUP(2,1/(('Match Log'!$D$4:$D$1510=$R$24)*('Match Log'!$A$4:$A$1510&lt;=$J339)),'Match Log'!$N$4:$N$1510),NA()))</f>
        <v>#N/A</v>
      </c>
      <c r="S339" t="e">
        <f>IF($J339&gt;MAX('Match Log'!$A$4:$A$1510),NA(),IFERROR(LOOKUP(2,1/(('Match Log'!$D$4:$D$1510=$S$24)*('Match Log'!$A$4:$A$1510&lt;=$J339)),'Match Log'!$N$4:$N$1510),NA()))</f>
        <v>#N/A</v>
      </c>
      <c r="T339" t="e">
        <f>IF($J339&gt;MAX('Match Log'!$A$4:$A$1510),NA(),IFERROR(LOOKUP(2,1/(('Match Log'!$D$4:$D$1510=$T$24)*('Match Log'!$A$4:$A$1510&lt;=$J339)),'Match Log'!$N$4:$N$1510),NA()))</f>
        <v>#N/A</v>
      </c>
      <c r="U339" t="e">
        <f>IF($J339&gt;MAX('Match Log'!$A$4:$A$1510),NA(),IFERROR(LOOKUP(2,1/(('Match Log'!$D$4:$D$1510=$U$24)*('Match Log'!$A$4:$A$1510&lt;=$J339)),'Match Log'!$N$4:$N$1510),NA()))</f>
        <v>#N/A</v>
      </c>
      <c r="V339" t="e">
        <f>IF($J339&gt;MAX('Match Log'!$A$4:$A$1510),NA(),IFERROR(LOOKUP(2,1/(('Match Log'!$D$4:$D$1510=$V$24)*('Match Log'!$A$4:$A$1510&lt;=$J339)),'Match Log'!$N$4:$N$1510),NA()))</f>
        <v>#N/A</v>
      </c>
      <c r="W339" t="e">
        <f>IF($J339&gt;MAX('Match Log'!$A$4:$A$1510),NA(),IFERROR(LOOKUP(2,1/(('Match Log'!$D$4:$D$1510=$W$24)*('Match Log'!$A$4:$A$1510&lt;=$J339)),'Match Log'!$N$4:$N$1510),NA()))</f>
        <v>#N/A</v>
      </c>
      <c r="X339" t="e">
        <f>IF($J339&gt;MAX('Match Log'!$A$4:$A$1510),NA(),IFERROR(LOOKUP(2,1/(('Match Log'!$D$4:$D$1510=$X$24)*('Match Log'!$A$4:$A$1510&lt;=$J339)),'Match Log'!$N$4:$N$1510),NA()))</f>
        <v>#N/A</v>
      </c>
      <c r="Y339" t="str">
        <f t="shared" ca="1" si="31"/>
        <v/>
      </c>
    </row>
    <row r="340" spans="1:25" x14ac:dyDescent="0.2">
      <c r="A340">
        <v>316</v>
      </c>
      <c r="B340" t="str">
        <f>IFERROR(INDEX('Match Log'!$B$4:$B$1510,MATCH($A340,'Match Log'!$A$4:$A$1510,0)),"")</f>
        <v/>
      </c>
      <c r="C340" t="str">
        <f>IFERROR(INDEX('Match Log'!$C$4:$C$1510,MATCH($A340,'Match Log'!$A$4:$A$1510,0)),"")</f>
        <v/>
      </c>
      <c r="D340" t="str">
        <f t="array" ref="D340">IFERROR(_xlfn.TEXTJOIN(" + ",TRUE(),IF(('Match Log'!$A$4:$A$1510=$A340)*('Match Log'!$E$4:$E$1510="Win"),'Match Log'!$D$4:$D$1510,"")),IFERROR(LOOKUP(2,1/(('Match Log'!$A$4:$A$1510=$A340)*('Match Log'!$E$4:$E$1510="Win")),'Match Log'!$D$4:$D$1510),""))</f>
        <v/>
      </c>
      <c r="E340" t="str">
        <f>IFERROR(INDEX('Match Log'!$F$4:$F$1510,MATCH($A340,'Match Log'!$A$4:$A$1510,0)),"")</f>
        <v/>
      </c>
      <c r="F340">
        <f>IFERROR(SUMIFS('Match Log'!$I$4:$I$1510,'Match Log'!$A$4:$A$1510,$A340,'Match Log'!$E$4:$E$1510,"Win"),"")</f>
        <v>0</v>
      </c>
      <c r="G340" t="str">
        <f t="shared" si="29"/>
        <v/>
      </c>
      <c r="H340" t="str">
        <f t="array" ref="H340">IFERROR(IF(COUNTIFS('Match Log'!$A$4:$A$1510,$A340,'Match Log'!$E$4:$E$1510,"Win")&gt;1,_xlfn.TEXTJOIN(" + ",TRUE(),IF(('Match Log'!$A$4:$A$1510=$A340)*('Match Log'!$E$4:$E$1510="Loss"),'Match Log'!$D$4:$D$1510,"")),IF($E340=2,LOOKUP(2,1/(('Match Log'!$A$4:$A$1510=$A340)*('Match Log'!$E$4:$E$1510="Loss")),'Match Log'!$D$4:$D$1510),"the field")),"")</f>
        <v>the field</v>
      </c>
      <c r="I340" t="str">
        <f t="shared" si="30"/>
        <v/>
      </c>
      <c r="J340">
        <v>316</v>
      </c>
      <c r="K340" t="e">
        <f>IF($J340&gt;MAX('Match Log'!$A$4:$A$1510),NA(),IFERROR(LOOKUP(2,1/(('Match Log'!$D$4:$D$1510=$K$24)*('Match Log'!$A$4:$A$1510&lt;=$J340)),'Match Log'!$N$4:$N$1510),NA()))</f>
        <v>#N/A</v>
      </c>
      <c r="L340" t="e">
        <f>IF($J340&gt;MAX('Match Log'!$A$4:$A$1510),NA(),IFERROR(LOOKUP(2,1/(('Match Log'!$D$4:$D$1510=$L$24)*('Match Log'!$A$4:$A$1510&lt;=$J340)),'Match Log'!$N$4:$N$1510),NA()))</f>
        <v>#N/A</v>
      </c>
      <c r="M340" t="e">
        <f>IF($J340&gt;MAX('Match Log'!$A$4:$A$1510),NA(),IFERROR(LOOKUP(2,1/(('Match Log'!$D$4:$D$1510=$M$24)*('Match Log'!$A$4:$A$1510&lt;=$J340)),'Match Log'!$N$4:$N$1510),NA()))</f>
        <v>#N/A</v>
      </c>
      <c r="N340" t="e">
        <f>IF($J340&gt;MAX('Match Log'!$A$4:$A$1510),NA(),IFERROR(LOOKUP(2,1/(('Match Log'!$D$4:$D$1510=$N$24)*('Match Log'!$A$4:$A$1510&lt;=$J340)),'Match Log'!$N$4:$N$1510),NA()))</f>
        <v>#N/A</v>
      </c>
      <c r="O340" t="e">
        <f>IF($J340&gt;MAX('Match Log'!$A$4:$A$1510),NA(),IFERROR(LOOKUP(2,1/(('Match Log'!$D$4:$D$1510=$O$24)*('Match Log'!$A$4:$A$1510&lt;=$J340)),'Match Log'!$N$4:$N$1510),NA()))</f>
        <v>#N/A</v>
      </c>
      <c r="P340" t="e">
        <f>IF($J340&gt;MAX('Match Log'!$A$4:$A$1510),NA(),IFERROR(LOOKUP(2,1/(('Match Log'!$D$4:$D$1510=$P$24)*('Match Log'!$A$4:$A$1510&lt;=$J340)),'Match Log'!$N$4:$N$1510),NA()))</f>
        <v>#N/A</v>
      </c>
      <c r="Q340" t="e">
        <f>IF($J340&gt;MAX('Match Log'!$A$4:$A$1510),NA(),IFERROR(LOOKUP(2,1/(('Match Log'!$D$4:$D$1510=$Q$24)*('Match Log'!$A$4:$A$1510&lt;=$J340)),'Match Log'!$N$4:$N$1510),NA()))</f>
        <v>#N/A</v>
      </c>
      <c r="R340" t="e">
        <f>IF($J340&gt;MAX('Match Log'!$A$4:$A$1510),NA(),IFERROR(LOOKUP(2,1/(('Match Log'!$D$4:$D$1510=$R$24)*('Match Log'!$A$4:$A$1510&lt;=$J340)),'Match Log'!$N$4:$N$1510),NA()))</f>
        <v>#N/A</v>
      </c>
      <c r="S340" t="e">
        <f>IF($J340&gt;MAX('Match Log'!$A$4:$A$1510),NA(),IFERROR(LOOKUP(2,1/(('Match Log'!$D$4:$D$1510=$S$24)*('Match Log'!$A$4:$A$1510&lt;=$J340)),'Match Log'!$N$4:$N$1510),NA()))</f>
        <v>#N/A</v>
      </c>
      <c r="T340" t="e">
        <f>IF($J340&gt;MAX('Match Log'!$A$4:$A$1510),NA(),IFERROR(LOOKUP(2,1/(('Match Log'!$D$4:$D$1510=$T$24)*('Match Log'!$A$4:$A$1510&lt;=$J340)),'Match Log'!$N$4:$N$1510),NA()))</f>
        <v>#N/A</v>
      </c>
      <c r="U340" t="e">
        <f>IF($J340&gt;MAX('Match Log'!$A$4:$A$1510),NA(),IFERROR(LOOKUP(2,1/(('Match Log'!$D$4:$D$1510=$U$24)*('Match Log'!$A$4:$A$1510&lt;=$J340)),'Match Log'!$N$4:$N$1510),NA()))</f>
        <v>#N/A</v>
      </c>
      <c r="V340" t="e">
        <f>IF($J340&gt;MAX('Match Log'!$A$4:$A$1510),NA(),IFERROR(LOOKUP(2,1/(('Match Log'!$D$4:$D$1510=$V$24)*('Match Log'!$A$4:$A$1510&lt;=$J340)),'Match Log'!$N$4:$N$1510),NA()))</f>
        <v>#N/A</v>
      </c>
      <c r="W340" t="e">
        <f>IF($J340&gt;MAX('Match Log'!$A$4:$A$1510),NA(),IFERROR(LOOKUP(2,1/(('Match Log'!$D$4:$D$1510=$W$24)*('Match Log'!$A$4:$A$1510&lt;=$J340)),'Match Log'!$N$4:$N$1510),NA()))</f>
        <v>#N/A</v>
      </c>
      <c r="X340" t="e">
        <f>IF($J340&gt;MAX('Match Log'!$A$4:$A$1510),NA(),IFERROR(LOOKUP(2,1/(('Match Log'!$D$4:$D$1510=$X$24)*('Match Log'!$A$4:$A$1510&lt;=$J340)),'Match Log'!$N$4:$N$1510),NA()))</f>
        <v>#N/A</v>
      </c>
      <c r="Y340" t="str">
        <f t="shared" ca="1" si="31"/>
        <v/>
      </c>
    </row>
    <row r="341" spans="1:25" x14ac:dyDescent="0.2">
      <c r="A341">
        <v>317</v>
      </c>
      <c r="B341" t="str">
        <f>IFERROR(INDEX('Match Log'!$B$4:$B$1510,MATCH($A341,'Match Log'!$A$4:$A$1510,0)),"")</f>
        <v/>
      </c>
      <c r="C341" t="str">
        <f>IFERROR(INDEX('Match Log'!$C$4:$C$1510,MATCH($A341,'Match Log'!$A$4:$A$1510,0)),"")</f>
        <v/>
      </c>
      <c r="D341" t="str">
        <f t="array" ref="D341">IFERROR(_xlfn.TEXTJOIN(" + ",TRUE(),IF(('Match Log'!$A$4:$A$1510=$A341)*('Match Log'!$E$4:$E$1510="Win"),'Match Log'!$D$4:$D$1510,"")),IFERROR(LOOKUP(2,1/(('Match Log'!$A$4:$A$1510=$A341)*('Match Log'!$E$4:$E$1510="Win")),'Match Log'!$D$4:$D$1510),""))</f>
        <v/>
      </c>
      <c r="E341" t="str">
        <f>IFERROR(INDEX('Match Log'!$F$4:$F$1510,MATCH($A341,'Match Log'!$A$4:$A$1510,0)),"")</f>
        <v/>
      </c>
      <c r="F341">
        <f>IFERROR(SUMIFS('Match Log'!$I$4:$I$1510,'Match Log'!$A$4:$A$1510,$A341,'Match Log'!$E$4:$E$1510,"Win"),"")</f>
        <v>0</v>
      </c>
      <c r="G341" t="str">
        <f t="shared" si="29"/>
        <v/>
      </c>
      <c r="H341" t="str">
        <f t="array" ref="H341">IFERROR(IF(COUNTIFS('Match Log'!$A$4:$A$1510,$A341,'Match Log'!$E$4:$E$1510,"Win")&gt;1,_xlfn.TEXTJOIN(" + ",TRUE(),IF(('Match Log'!$A$4:$A$1510=$A341)*('Match Log'!$E$4:$E$1510="Loss"),'Match Log'!$D$4:$D$1510,"")),IF($E341=2,LOOKUP(2,1/(('Match Log'!$A$4:$A$1510=$A341)*('Match Log'!$E$4:$E$1510="Loss")),'Match Log'!$D$4:$D$1510),"the field")),"")</f>
        <v>the field</v>
      </c>
      <c r="I341" t="str">
        <f t="shared" si="30"/>
        <v/>
      </c>
      <c r="J341">
        <v>317</v>
      </c>
      <c r="K341" t="e">
        <f>IF($J341&gt;MAX('Match Log'!$A$4:$A$1510),NA(),IFERROR(LOOKUP(2,1/(('Match Log'!$D$4:$D$1510=$K$24)*('Match Log'!$A$4:$A$1510&lt;=$J341)),'Match Log'!$N$4:$N$1510),NA()))</f>
        <v>#N/A</v>
      </c>
      <c r="L341" t="e">
        <f>IF($J341&gt;MAX('Match Log'!$A$4:$A$1510),NA(),IFERROR(LOOKUP(2,1/(('Match Log'!$D$4:$D$1510=$L$24)*('Match Log'!$A$4:$A$1510&lt;=$J341)),'Match Log'!$N$4:$N$1510),NA()))</f>
        <v>#N/A</v>
      </c>
      <c r="M341" t="e">
        <f>IF($J341&gt;MAX('Match Log'!$A$4:$A$1510),NA(),IFERROR(LOOKUP(2,1/(('Match Log'!$D$4:$D$1510=$M$24)*('Match Log'!$A$4:$A$1510&lt;=$J341)),'Match Log'!$N$4:$N$1510),NA()))</f>
        <v>#N/A</v>
      </c>
      <c r="N341" t="e">
        <f>IF($J341&gt;MAX('Match Log'!$A$4:$A$1510),NA(),IFERROR(LOOKUP(2,1/(('Match Log'!$D$4:$D$1510=$N$24)*('Match Log'!$A$4:$A$1510&lt;=$J341)),'Match Log'!$N$4:$N$1510),NA()))</f>
        <v>#N/A</v>
      </c>
      <c r="O341" t="e">
        <f>IF($J341&gt;MAX('Match Log'!$A$4:$A$1510),NA(),IFERROR(LOOKUP(2,1/(('Match Log'!$D$4:$D$1510=$O$24)*('Match Log'!$A$4:$A$1510&lt;=$J341)),'Match Log'!$N$4:$N$1510),NA()))</f>
        <v>#N/A</v>
      </c>
      <c r="P341" t="e">
        <f>IF($J341&gt;MAX('Match Log'!$A$4:$A$1510),NA(),IFERROR(LOOKUP(2,1/(('Match Log'!$D$4:$D$1510=$P$24)*('Match Log'!$A$4:$A$1510&lt;=$J341)),'Match Log'!$N$4:$N$1510),NA()))</f>
        <v>#N/A</v>
      </c>
      <c r="Q341" t="e">
        <f>IF($J341&gt;MAX('Match Log'!$A$4:$A$1510),NA(),IFERROR(LOOKUP(2,1/(('Match Log'!$D$4:$D$1510=$Q$24)*('Match Log'!$A$4:$A$1510&lt;=$J341)),'Match Log'!$N$4:$N$1510),NA()))</f>
        <v>#N/A</v>
      </c>
      <c r="R341" t="e">
        <f>IF($J341&gt;MAX('Match Log'!$A$4:$A$1510),NA(),IFERROR(LOOKUP(2,1/(('Match Log'!$D$4:$D$1510=$R$24)*('Match Log'!$A$4:$A$1510&lt;=$J341)),'Match Log'!$N$4:$N$1510),NA()))</f>
        <v>#N/A</v>
      </c>
      <c r="S341" t="e">
        <f>IF($J341&gt;MAX('Match Log'!$A$4:$A$1510),NA(),IFERROR(LOOKUP(2,1/(('Match Log'!$D$4:$D$1510=$S$24)*('Match Log'!$A$4:$A$1510&lt;=$J341)),'Match Log'!$N$4:$N$1510),NA()))</f>
        <v>#N/A</v>
      </c>
      <c r="T341" t="e">
        <f>IF($J341&gt;MAX('Match Log'!$A$4:$A$1510),NA(),IFERROR(LOOKUP(2,1/(('Match Log'!$D$4:$D$1510=$T$24)*('Match Log'!$A$4:$A$1510&lt;=$J341)),'Match Log'!$N$4:$N$1510),NA()))</f>
        <v>#N/A</v>
      </c>
      <c r="U341" t="e">
        <f>IF($J341&gt;MAX('Match Log'!$A$4:$A$1510),NA(),IFERROR(LOOKUP(2,1/(('Match Log'!$D$4:$D$1510=$U$24)*('Match Log'!$A$4:$A$1510&lt;=$J341)),'Match Log'!$N$4:$N$1510),NA()))</f>
        <v>#N/A</v>
      </c>
      <c r="V341" t="e">
        <f>IF($J341&gt;MAX('Match Log'!$A$4:$A$1510),NA(),IFERROR(LOOKUP(2,1/(('Match Log'!$D$4:$D$1510=$V$24)*('Match Log'!$A$4:$A$1510&lt;=$J341)),'Match Log'!$N$4:$N$1510),NA()))</f>
        <v>#N/A</v>
      </c>
      <c r="W341" t="e">
        <f>IF($J341&gt;MAX('Match Log'!$A$4:$A$1510),NA(),IFERROR(LOOKUP(2,1/(('Match Log'!$D$4:$D$1510=$W$24)*('Match Log'!$A$4:$A$1510&lt;=$J341)),'Match Log'!$N$4:$N$1510),NA()))</f>
        <v>#N/A</v>
      </c>
      <c r="X341" t="e">
        <f>IF($J341&gt;MAX('Match Log'!$A$4:$A$1510),NA(),IFERROR(LOOKUP(2,1/(('Match Log'!$D$4:$D$1510=$X$24)*('Match Log'!$A$4:$A$1510&lt;=$J341)),'Match Log'!$N$4:$N$1510),NA()))</f>
        <v>#N/A</v>
      </c>
      <c r="Y341" t="str">
        <f t="shared" ca="1" si="31"/>
        <v/>
      </c>
    </row>
    <row r="342" spans="1:25" x14ac:dyDescent="0.2">
      <c r="A342">
        <v>318</v>
      </c>
      <c r="B342" t="str">
        <f>IFERROR(INDEX('Match Log'!$B$4:$B$1510,MATCH($A342,'Match Log'!$A$4:$A$1510,0)),"")</f>
        <v/>
      </c>
      <c r="C342" t="str">
        <f>IFERROR(INDEX('Match Log'!$C$4:$C$1510,MATCH($A342,'Match Log'!$A$4:$A$1510,0)),"")</f>
        <v/>
      </c>
      <c r="D342" t="str">
        <f t="array" ref="D342">IFERROR(_xlfn.TEXTJOIN(" + ",TRUE(),IF(('Match Log'!$A$4:$A$1510=$A342)*('Match Log'!$E$4:$E$1510="Win"),'Match Log'!$D$4:$D$1510,"")),IFERROR(LOOKUP(2,1/(('Match Log'!$A$4:$A$1510=$A342)*('Match Log'!$E$4:$E$1510="Win")),'Match Log'!$D$4:$D$1510),""))</f>
        <v/>
      </c>
      <c r="E342" t="str">
        <f>IFERROR(INDEX('Match Log'!$F$4:$F$1510,MATCH($A342,'Match Log'!$A$4:$A$1510,0)),"")</f>
        <v/>
      </c>
      <c r="F342">
        <f>IFERROR(SUMIFS('Match Log'!$I$4:$I$1510,'Match Log'!$A$4:$A$1510,$A342,'Match Log'!$E$4:$E$1510,"Win"),"")</f>
        <v>0</v>
      </c>
      <c r="G342" t="str">
        <f t="shared" si="29"/>
        <v/>
      </c>
      <c r="H342" t="str">
        <f t="array" ref="H342">IFERROR(IF(COUNTIFS('Match Log'!$A$4:$A$1510,$A342,'Match Log'!$E$4:$E$1510,"Win")&gt;1,_xlfn.TEXTJOIN(" + ",TRUE(),IF(('Match Log'!$A$4:$A$1510=$A342)*('Match Log'!$E$4:$E$1510="Loss"),'Match Log'!$D$4:$D$1510,"")),IF($E342=2,LOOKUP(2,1/(('Match Log'!$A$4:$A$1510=$A342)*('Match Log'!$E$4:$E$1510="Loss")),'Match Log'!$D$4:$D$1510),"the field")),"")</f>
        <v>the field</v>
      </c>
      <c r="I342" t="str">
        <f t="shared" si="30"/>
        <v/>
      </c>
      <c r="J342">
        <v>318</v>
      </c>
      <c r="K342" t="e">
        <f>IF($J342&gt;MAX('Match Log'!$A$4:$A$1510),NA(),IFERROR(LOOKUP(2,1/(('Match Log'!$D$4:$D$1510=$K$24)*('Match Log'!$A$4:$A$1510&lt;=$J342)),'Match Log'!$N$4:$N$1510),NA()))</f>
        <v>#N/A</v>
      </c>
      <c r="L342" t="e">
        <f>IF($J342&gt;MAX('Match Log'!$A$4:$A$1510),NA(),IFERROR(LOOKUP(2,1/(('Match Log'!$D$4:$D$1510=$L$24)*('Match Log'!$A$4:$A$1510&lt;=$J342)),'Match Log'!$N$4:$N$1510),NA()))</f>
        <v>#N/A</v>
      </c>
      <c r="M342" t="e">
        <f>IF($J342&gt;MAX('Match Log'!$A$4:$A$1510),NA(),IFERROR(LOOKUP(2,1/(('Match Log'!$D$4:$D$1510=$M$24)*('Match Log'!$A$4:$A$1510&lt;=$J342)),'Match Log'!$N$4:$N$1510),NA()))</f>
        <v>#N/A</v>
      </c>
      <c r="N342" t="e">
        <f>IF($J342&gt;MAX('Match Log'!$A$4:$A$1510),NA(),IFERROR(LOOKUP(2,1/(('Match Log'!$D$4:$D$1510=$N$24)*('Match Log'!$A$4:$A$1510&lt;=$J342)),'Match Log'!$N$4:$N$1510),NA()))</f>
        <v>#N/A</v>
      </c>
      <c r="O342" t="e">
        <f>IF($J342&gt;MAX('Match Log'!$A$4:$A$1510),NA(),IFERROR(LOOKUP(2,1/(('Match Log'!$D$4:$D$1510=$O$24)*('Match Log'!$A$4:$A$1510&lt;=$J342)),'Match Log'!$N$4:$N$1510),NA()))</f>
        <v>#N/A</v>
      </c>
      <c r="P342" t="e">
        <f>IF($J342&gt;MAX('Match Log'!$A$4:$A$1510),NA(),IFERROR(LOOKUP(2,1/(('Match Log'!$D$4:$D$1510=$P$24)*('Match Log'!$A$4:$A$1510&lt;=$J342)),'Match Log'!$N$4:$N$1510),NA()))</f>
        <v>#N/A</v>
      </c>
      <c r="Q342" t="e">
        <f>IF($J342&gt;MAX('Match Log'!$A$4:$A$1510),NA(),IFERROR(LOOKUP(2,1/(('Match Log'!$D$4:$D$1510=$Q$24)*('Match Log'!$A$4:$A$1510&lt;=$J342)),'Match Log'!$N$4:$N$1510),NA()))</f>
        <v>#N/A</v>
      </c>
      <c r="R342" t="e">
        <f>IF($J342&gt;MAX('Match Log'!$A$4:$A$1510),NA(),IFERROR(LOOKUP(2,1/(('Match Log'!$D$4:$D$1510=$R$24)*('Match Log'!$A$4:$A$1510&lt;=$J342)),'Match Log'!$N$4:$N$1510),NA()))</f>
        <v>#N/A</v>
      </c>
      <c r="S342" t="e">
        <f>IF($J342&gt;MAX('Match Log'!$A$4:$A$1510),NA(),IFERROR(LOOKUP(2,1/(('Match Log'!$D$4:$D$1510=$S$24)*('Match Log'!$A$4:$A$1510&lt;=$J342)),'Match Log'!$N$4:$N$1510),NA()))</f>
        <v>#N/A</v>
      </c>
      <c r="T342" t="e">
        <f>IF($J342&gt;MAX('Match Log'!$A$4:$A$1510),NA(),IFERROR(LOOKUP(2,1/(('Match Log'!$D$4:$D$1510=$T$24)*('Match Log'!$A$4:$A$1510&lt;=$J342)),'Match Log'!$N$4:$N$1510),NA()))</f>
        <v>#N/A</v>
      </c>
      <c r="U342" t="e">
        <f>IF($J342&gt;MAX('Match Log'!$A$4:$A$1510),NA(),IFERROR(LOOKUP(2,1/(('Match Log'!$D$4:$D$1510=$U$24)*('Match Log'!$A$4:$A$1510&lt;=$J342)),'Match Log'!$N$4:$N$1510),NA()))</f>
        <v>#N/A</v>
      </c>
      <c r="V342" t="e">
        <f>IF($J342&gt;MAX('Match Log'!$A$4:$A$1510),NA(),IFERROR(LOOKUP(2,1/(('Match Log'!$D$4:$D$1510=$V$24)*('Match Log'!$A$4:$A$1510&lt;=$J342)),'Match Log'!$N$4:$N$1510),NA()))</f>
        <v>#N/A</v>
      </c>
      <c r="W342" t="e">
        <f>IF($J342&gt;MAX('Match Log'!$A$4:$A$1510),NA(),IFERROR(LOOKUP(2,1/(('Match Log'!$D$4:$D$1510=$W$24)*('Match Log'!$A$4:$A$1510&lt;=$J342)),'Match Log'!$N$4:$N$1510),NA()))</f>
        <v>#N/A</v>
      </c>
      <c r="X342" t="e">
        <f>IF($J342&gt;MAX('Match Log'!$A$4:$A$1510),NA(),IFERROR(LOOKUP(2,1/(('Match Log'!$D$4:$D$1510=$X$24)*('Match Log'!$A$4:$A$1510&lt;=$J342)),'Match Log'!$N$4:$N$1510),NA()))</f>
        <v>#N/A</v>
      </c>
      <c r="Y342" t="str">
        <f t="shared" ca="1" si="31"/>
        <v/>
      </c>
    </row>
    <row r="343" spans="1:25" x14ac:dyDescent="0.2">
      <c r="A343">
        <v>319</v>
      </c>
      <c r="B343" t="str">
        <f>IFERROR(INDEX('Match Log'!$B$4:$B$1510,MATCH($A343,'Match Log'!$A$4:$A$1510,0)),"")</f>
        <v/>
      </c>
      <c r="C343" t="str">
        <f>IFERROR(INDEX('Match Log'!$C$4:$C$1510,MATCH($A343,'Match Log'!$A$4:$A$1510,0)),"")</f>
        <v/>
      </c>
      <c r="D343" t="str">
        <f t="array" ref="D343">IFERROR(_xlfn.TEXTJOIN(" + ",TRUE(),IF(('Match Log'!$A$4:$A$1510=$A343)*('Match Log'!$E$4:$E$1510="Win"),'Match Log'!$D$4:$D$1510,"")),IFERROR(LOOKUP(2,1/(('Match Log'!$A$4:$A$1510=$A343)*('Match Log'!$E$4:$E$1510="Win")),'Match Log'!$D$4:$D$1510),""))</f>
        <v/>
      </c>
      <c r="E343" t="str">
        <f>IFERROR(INDEX('Match Log'!$F$4:$F$1510,MATCH($A343,'Match Log'!$A$4:$A$1510,0)),"")</f>
        <v/>
      </c>
      <c r="F343">
        <f>IFERROR(SUMIFS('Match Log'!$I$4:$I$1510,'Match Log'!$A$4:$A$1510,$A343,'Match Log'!$E$4:$E$1510,"Win"),"")</f>
        <v>0</v>
      </c>
      <c r="G343" t="str">
        <f t="shared" si="29"/>
        <v/>
      </c>
      <c r="H343" t="str">
        <f t="array" ref="H343">IFERROR(IF(COUNTIFS('Match Log'!$A$4:$A$1510,$A343,'Match Log'!$E$4:$E$1510,"Win")&gt;1,_xlfn.TEXTJOIN(" + ",TRUE(),IF(('Match Log'!$A$4:$A$1510=$A343)*('Match Log'!$E$4:$E$1510="Loss"),'Match Log'!$D$4:$D$1510,"")),IF($E343=2,LOOKUP(2,1/(('Match Log'!$A$4:$A$1510=$A343)*('Match Log'!$E$4:$E$1510="Loss")),'Match Log'!$D$4:$D$1510),"the field")),"")</f>
        <v>the field</v>
      </c>
      <c r="I343" t="str">
        <f t="shared" si="30"/>
        <v/>
      </c>
      <c r="J343">
        <v>319</v>
      </c>
      <c r="K343" t="e">
        <f>IF($J343&gt;MAX('Match Log'!$A$4:$A$1510),NA(),IFERROR(LOOKUP(2,1/(('Match Log'!$D$4:$D$1510=$K$24)*('Match Log'!$A$4:$A$1510&lt;=$J343)),'Match Log'!$N$4:$N$1510),NA()))</f>
        <v>#N/A</v>
      </c>
      <c r="L343" t="e">
        <f>IF($J343&gt;MAX('Match Log'!$A$4:$A$1510),NA(),IFERROR(LOOKUP(2,1/(('Match Log'!$D$4:$D$1510=$L$24)*('Match Log'!$A$4:$A$1510&lt;=$J343)),'Match Log'!$N$4:$N$1510),NA()))</f>
        <v>#N/A</v>
      </c>
      <c r="M343" t="e">
        <f>IF($J343&gt;MAX('Match Log'!$A$4:$A$1510),NA(),IFERROR(LOOKUP(2,1/(('Match Log'!$D$4:$D$1510=$M$24)*('Match Log'!$A$4:$A$1510&lt;=$J343)),'Match Log'!$N$4:$N$1510),NA()))</f>
        <v>#N/A</v>
      </c>
      <c r="N343" t="e">
        <f>IF($J343&gt;MAX('Match Log'!$A$4:$A$1510),NA(),IFERROR(LOOKUP(2,1/(('Match Log'!$D$4:$D$1510=$N$24)*('Match Log'!$A$4:$A$1510&lt;=$J343)),'Match Log'!$N$4:$N$1510),NA()))</f>
        <v>#N/A</v>
      </c>
      <c r="O343" t="e">
        <f>IF($J343&gt;MAX('Match Log'!$A$4:$A$1510),NA(),IFERROR(LOOKUP(2,1/(('Match Log'!$D$4:$D$1510=$O$24)*('Match Log'!$A$4:$A$1510&lt;=$J343)),'Match Log'!$N$4:$N$1510),NA()))</f>
        <v>#N/A</v>
      </c>
      <c r="P343" t="e">
        <f>IF($J343&gt;MAX('Match Log'!$A$4:$A$1510),NA(),IFERROR(LOOKUP(2,1/(('Match Log'!$D$4:$D$1510=$P$24)*('Match Log'!$A$4:$A$1510&lt;=$J343)),'Match Log'!$N$4:$N$1510),NA()))</f>
        <v>#N/A</v>
      </c>
      <c r="Q343" t="e">
        <f>IF($J343&gt;MAX('Match Log'!$A$4:$A$1510),NA(),IFERROR(LOOKUP(2,1/(('Match Log'!$D$4:$D$1510=$Q$24)*('Match Log'!$A$4:$A$1510&lt;=$J343)),'Match Log'!$N$4:$N$1510),NA()))</f>
        <v>#N/A</v>
      </c>
      <c r="R343" t="e">
        <f>IF($J343&gt;MAX('Match Log'!$A$4:$A$1510),NA(),IFERROR(LOOKUP(2,1/(('Match Log'!$D$4:$D$1510=$R$24)*('Match Log'!$A$4:$A$1510&lt;=$J343)),'Match Log'!$N$4:$N$1510),NA()))</f>
        <v>#N/A</v>
      </c>
      <c r="S343" t="e">
        <f>IF($J343&gt;MAX('Match Log'!$A$4:$A$1510),NA(),IFERROR(LOOKUP(2,1/(('Match Log'!$D$4:$D$1510=$S$24)*('Match Log'!$A$4:$A$1510&lt;=$J343)),'Match Log'!$N$4:$N$1510),NA()))</f>
        <v>#N/A</v>
      </c>
      <c r="T343" t="e">
        <f>IF($J343&gt;MAX('Match Log'!$A$4:$A$1510),NA(),IFERROR(LOOKUP(2,1/(('Match Log'!$D$4:$D$1510=$T$24)*('Match Log'!$A$4:$A$1510&lt;=$J343)),'Match Log'!$N$4:$N$1510),NA()))</f>
        <v>#N/A</v>
      </c>
      <c r="U343" t="e">
        <f>IF($J343&gt;MAX('Match Log'!$A$4:$A$1510),NA(),IFERROR(LOOKUP(2,1/(('Match Log'!$D$4:$D$1510=$U$24)*('Match Log'!$A$4:$A$1510&lt;=$J343)),'Match Log'!$N$4:$N$1510),NA()))</f>
        <v>#N/A</v>
      </c>
      <c r="V343" t="e">
        <f>IF($J343&gt;MAX('Match Log'!$A$4:$A$1510),NA(),IFERROR(LOOKUP(2,1/(('Match Log'!$D$4:$D$1510=$V$24)*('Match Log'!$A$4:$A$1510&lt;=$J343)),'Match Log'!$N$4:$N$1510),NA()))</f>
        <v>#N/A</v>
      </c>
      <c r="W343" t="e">
        <f>IF($J343&gt;MAX('Match Log'!$A$4:$A$1510),NA(),IFERROR(LOOKUP(2,1/(('Match Log'!$D$4:$D$1510=$W$24)*('Match Log'!$A$4:$A$1510&lt;=$J343)),'Match Log'!$N$4:$N$1510),NA()))</f>
        <v>#N/A</v>
      </c>
      <c r="X343" t="e">
        <f>IF($J343&gt;MAX('Match Log'!$A$4:$A$1510),NA(),IFERROR(LOOKUP(2,1/(('Match Log'!$D$4:$D$1510=$X$24)*('Match Log'!$A$4:$A$1510&lt;=$J343)),'Match Log'!$N$4:$N$1510),NA()))</f>
        <v>#N/A</v>
      </c>
      <c r="Y343" t="str">
        <f t="shared" ca="1" si="31"/>
        <v/>
      </c>
    </row>
    <row r="344" spans="1:25" x14ac:dyDescent="0.2">
      <c r="A344">
        <v>320</v>
      </c>
      <c r="B344" t="str">
        <f>IFERROR(INDEX('Match Log'!$B$4:$B$1510,MATCH($A344,'Match Log'!$A$4:$A$1510,0)),"")</f>
        <v/>
      </c>
      <c r="C344" t="str">
        <f>IFERROR(INDEX('Match Log'!$C$4:$C$1510,MATCH($A344,'Match Log'!$A$4:$A$1510,0)),"")</f>
        <v/>
      </c>
      <c r="D344" t="str">
        <f t="array" ref="D344">IFERROR(_xlfn.TEXTJOIN(" + ",TRUE(),IF(('Match Log'!$A$4:$A$1510=$A344)*('Match Log'!$E$4:$E$1510="Win"),'Match Log'!$D$4:$D$1510,"")),IFERROR(LOOKUP(2,1/(('Match Log'!$A$4:$A$1510=$A344)*('Match Log'!$E$4:$E$1510="Win")),'Match Log'!$D$4:$D$1510),""))</f>
        <v/>
      </c>
      <c r="E344" t="str">
        <f>IFERROR(INDEX('Match Log'!$F$4:$F$1510,MATCH($A344,'Match Log'!$A$4:$A$1510,0)),"")</f>
        <v/>
      </c>
      <c r="F344">
        <f>IFERROR(SUMIFS('Match Log'!$I$4:$I$1510,'Match Log'!$A$4:$A$1510,$A344,'Match Log'!$E$4:$E$1510,"Win"),"")</f>
        <v>0</v>
      </c>
      <c r="G344" t="str">
        <f t="shared" si="29"/>
        <v/>
      </c>
      <c r="H344" t="str">
        <f t="array" ref="H344">IFERROR(IF(COUNTIFS('Match Log'!$A$4:$A$1510,$A344,'Match Log'!$E$4:$E$1510,"Win")&gt;1,_xlfn.TEXTJOIN(" + ",TRUE(),IF(('Match Log'!$A$4:$A$1510=$A344)*('Match Log'!$E$4:$E$1510="Loss"),'Match Log'!$D$4:$D$1510,"")),IF($E344=2,LOOKUP(2,1/(('Match Log'!$A$4:$A$1510=$A344)*('Match Log'!$E$4:$E$1510="Loss")),'Match Log'!$D$4:$D$1510),"the field")),"")</f>
        <v>the field</v>
      </c>
      <c r="I344" t="str">
        <f t="shared" si="30"/>
        <v/>
      </c>
      <c r="J344">
        <v>320</v>
      </c>
      <c r="K344" t="e">
        <f>IF($J344&gt;MAX('Match Log'!$A$4:$A$1510),NA(),IFERROR(LOOKUP(2,1/(('Match Log'!$D$4:$D$1510=$K$24)*('Match Log'!$A$4:$A$1510&lt;=$J344)),'Match Log'!$N$4:$N$1510),NA()))</f>
        <v>#N/A</v>
      </c>
      <c r="L344" t="e">
        <f>IF($J344&gt;MAX('Match Log'!$A$4:$A$1510),NA(),IFERROR(LOOKUP(2,1/(('Match Log'!$D$4:$D$1510=$L$24)*('Match Log'!$A$4:$A$1510&lt;=$J344)),'Match Log'!$N$4:$N$1510),NA()))</f>
        <v>#N/A</v>
      </c>
      <c r="M344" t="e">
        <f>IF($J344&gt;MAX('Match Log'!$A$4:$A$1510),NA(),IFERROR(LOOKUP(2,1/(('Match Log'!$D$4:$D$1510=$M$24)*('Match Log'!$A$4:$A$1510&lt;=$J344)),'Match Log'!$N$4:$N$1510),NA()))</f>
        <v>#N/A</v>
      </c>
      <c r="N344" t="e">
        <f>IF($J344&gt;MAX('Match Log'!$A$4:$A$1510),NA(),IFERROR(LOOKUP(2,1/(('Match Log'!$D$4:$D$1510=$N$24)*('Match Log'!$A$4:$A$1510&lt;=$J344)),'Match Log'!$N$4:$N$1510),NA()))</f>
        <v>#N/A</v>
      </c>
      <c r="O344" t="e">
        <f>IF($J344&gt;MAX('Match Log'!$A$4:$A$1510),NA(),IFERROR(LOOKUP(2,1/(('Match Log'!$D$4:$D$1510=$O$24)*('Match Log'!$A$4:$A$1510&lt;=$J344)),'Match Log'!$N$4:$N$1510),NA()))</f>
        <v>#N/A</v>
      </c>
      <c r="P344" t="e">
        <f>IF($J344&gt;MAX('Match Log'!$A$4:$A$1510),NA(),IFERROR(LOOKUP(2,1/(('Match Log'!$D$4:$D$1510=$P$24)*('Match Log'!$A$4:$A$1510&lt;=$J344)),'Match Log'!$N$4:$N$1510),NA()))</f>
        <v>#N/A</v>
      </c>
      <c r="Q344" t="e">
        <f>IF($J344&gt;MAX('Match Log'!$A$4:$A$1510),NA(),IFERROR(LOOKUP(2,1/(('Match Log'!$D$4:$D$1510=$Q$24)*('Match Log'!$A$4:$A$1510&lt;=$J344)),'Match Log'!$N$4:$N$1510),NA()))</f>
        <v>#N/A</v>
      </c>
      <c r="R344" t="e">
        <f>IF($J344&gt;MAX('Match Log'!$A$4:$A$1510),NA(),IFERROR(LOOKUP(2,1/(('Match Log'!$D$4:$D$1510=$R$24)*('Match Log'!$A$4:$A$1510&lt;=$J344)),'Match Log'!$N$4:$N$1510),NA()))</f>
        <v>#N/A</v>
      </c>
      <c r="S344" t="e">
        <f>IF($J344&gt;MAX('Match Log'!$A$4:$A$1510),NA(),IFERROR(LOOKUP(2,1/(('Match Log'!$D$4:$D$1510=$S$24)*('Match Log'!$A$4:$A$1510&lt;=$J344)),'Match Log'!$N$4:$N$1510),NA()))</f>
        <v>#N/A</v>
      </c>
      <c r="T344" t="e">
        <f>IF($J344&gt;MAX('Match Log'!$A$4:$A$1510),NA(),IFERROR(LOOKUP(2,1/(('Match Log'!$D$4:$D$1510=$T$24)*('Match Log'!$A$4:$A$1510&lt;=$J344)),'Match Log'!$N$4:$N$1510),NA()))</f>
        <v>#N/A</v>
      </c>
      <c r="U344" t="e">
        <f>IF($J344&gt;MAX('Match Log'!$A$4:$A$1510),NA(),IFERROR(LOOKUP(2,1/(('Match Log'!$D$4:$D$1510=$U$24)*('Match Log'!$A$4:$A$1510&lt;=$J344)),'Match Log'!$N$4:$N$1510),NA()))</f>
        <v>#N/A</v>
      </c>
      <c r="V344" t="e">
        <f>IF($J344&gt;MAX('Match Log'!$A$4:$A$1510),NA(),IFERROR(LOOKUP(2,1/(('Match Log'!$D$4:$D$1510=$V$24)*('Match Log'!$A$4:$A$1510&lt;=$J344)),'Match Log'!$N$4:$N$1510),NA()))</f>
        <v>#N/A</v>
      </c>
      <c r="W344" t="e">
        <f>IF($J344&gt;MAX('Match Log'!$A$4:$A$1510),NA(),IFERROR(LOOKUP(2,1/(('Match Log'!$D$4:$D$1510=$W$24)*('Match Log'!$A$4:$A$1510&lt;=$J344)),'Match Log'!$N$4:$N$1510),NA()))</f>
        <v>#N/A</v>
      </c>
      <c r="X344" t="e">
        <f>IF($J344&gt;MAX('Match Log'!$A$4:$A$1510),NA(),IFERROR(LOOKUP(2,1/(('Match Log'!$D$4:$D$1510=$X$24)*('Match Log'!$A$4:$A$1510&lt;=$J344)),'Match Log'!$N$4:$N$1510),NA()))</f>
        <v>#N/A</v>
      </c>
      <c r="Y344" t="str">
        <f t="shared" ca="1" si="31"/>
        <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1217.5573388632245</v>
      </c>
      <c r="C2">
        <f>IFERROR(SUMPRODUCT(INDEX('Head-to-Head'!$B$22:$O$35,1,0),$D$2:$Q$2)/SUM(INDEX('Head-to-Head'!$B$22:$O$35,1,0)),"")</f>
        <v>1130.2079514002733</v>
      </c>
      <c r="D2">
        <f>$B$2</f>
        <v>1217.5573388632245</v>
      </c>
      <c r="E2">
        <f>$B$3</f>
        <v>1029.5175965335138</v>
      </c>
      <c r="F2">
        <f>$B$4</f>
        <v>1062.953806715856</v>
      </c>
      <c r="G2">
        <f>$B$5</f>
        <v>907.03133644117429</v>
      </c>
      <c r="H2">
        <f>$B$6</f>
        <v>1233.497020705217</v>
      </c>
      <c r="I2">
        <f>$B$7</f>
        <v>1151.1286422292076</v>
      </c>
      <c r="J2">
        <f>$B$8</f>
        <v>1215.996181687143</v>
      </c>
      <c r="K2">
        <f>$B$9</f>
        <v>1180.164112777554</v>
      </c>
      <c r="L2">
        <f>$B$10</f>
        <v>1217.9015417269482</v>
      </c>
      <c r="M2">
        <f>$B$11</f>
        <v>862.22294373677494</v>
      </c>
      <c r="N2">
        <f>$B$12</f>
        <v>968.26132335618615</v>
      </c>
      <c r="O2">
        <f>$B$13</f>
        <v>1087.5488947064855</v>
      </c>
      <c r="P2">
        <f>$B$14</f>
        <v>1023.2192605207141</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1094.683515305948</v>
      </c>
    </row>
    <row r="4" spans="1:17" ht="15" customHeight="1" x14ac:dyDescent="0.2">
      <c r="A4" t="s">
        <v>17</v>
      </c>
      <c r="B4">
        <f>IF(COUNTIF('Match Log'!$D$4:$D$1510,$A4)=0,'Guide &amp; Settings'!$C$41,IFERROR(LOOKUP(2,1/('Match Log'!$D$4:$D$1510=$A4),'Match Log'!$N$4:$N$1510),'Guide &amp; Settings'!$C$41))</f>
        <v>1062.953806715856</v>
      </c>
      <c r="C4">
        <f>IFERROR(SUMPRODUCT(INDEX('Head-to-Head'!$B$22:$O$35,3,0),$D$2:$Q$2)/SUM(INDEX('Head-to-Head'!$B$22:$O$35,3,0)),"")</f>
        <v>1132.4367121571511</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1160.5446633579827</v>
      </c>
    </row>
    <row r="6" spans="1:17" ht="15" customHeight="1" x14ac:dyDescent="0.2">
      <c r="A6" t="s">
        <v>19</v>
      </c>
      <c r="B6">
        <f>IF(COUNTIF('Match Log'!$D$4:$D$1510,$A6)=0,'Guide &amp; Settings'!$C$41,IFERROR(LOOKUP(2,1/('Match Log'!$D$4:$D$1510=$A6),'Match Log'!$N$4:$N$1510),'Guide &amp; Settings'!$C$41))</f>
        <v>1233.497020705217</v>
      </c>
      <c r="C6">
        <f>IFERROR(SUMPRODUCT(INDEX('Head-to-Head'!$B$22:$O$35,5,0),$D$2:$Q$2)/SUM(INDEX('Head-to-Head'!$B$22:$O$35,5,0)),"")</f>
        <v>1126.7450819051685</v>
      </c>
    </row>
    <row r="7" spans="1:17" ht="15" customHeight="1" x14ac:dyDescent="0.2">
      <c r="A7" t="s">
        <v>20</v>
      </c>
      <c r="B7">
        <f>IF(COUNTIF('Match Log'!$D$4:$D$1510,$A7)=0,'Guide &amp; Settings'!$C$41,IFERROR(LOOKUP(2,1/('Match Log'!$D$4:$D$1510=$A7),'Match Log'!$N$4:$N$1510),'Guide &amp; Settings'!$C$41))</f>
        <v>1151.1286422292076</v>
      </c>
      <c r="C7">
        <f>IFERROR(SUMPRODUCT(INDEX('Head-to-Head'!$B$22:$O$35,6,0),$D$2:$Q$2)/SUM(INDEX('Head-to-Head'!$B$22:$O$35,6,0)),"")</f>
        <v>1143.8130204705858</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1074.17447619823</v>
      </c>
    </row>
    <row r="9" spans="1:17" ht="15" customHeight="1" x14ac:dyDescent="0.2">
      <c r="A9" t="s">
        <v>22</v>
      </c>
      <c r="B9">
        <f>IF(COUNTIF('Match Log'!$D$4:$D$1510,$A9)=0,'Guide &amp; Settings'!$C$41,IFERROR(LOOKUP(2,1/('Match Log'!$D$4:$D$1510=$A9),'Match Log'!$N$4:$N$1510),'Guide &amp; Settings'!$C$41))</f>
        <v>1180.164112777554</v>
      </c>
      <c r="C9">
        <f>IFERROR(SUMPRODUCT(INDEX('Head-to-Head'!$B$22:$O$35,8,0),$D$2:$Q$2)/SUM(INDEX('Head-to-Head'!$B$22:$O$35,8,0)),"")</f>
        <v>1148.4799794441415</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1130.4437161478372</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1126.0199871678924</v>
      </c>
    </row>
    <row r="12" spans="1:17" ht="15" customHeight="1" x14ac:dyDescent="0.2">
      <c r="A12" t="s">
        <v>25</v>
      </c>
      <c r="B12">
        <f>IF(COUNTIF('Match Log'!$D$4:$D$1510,$A12)=0,'Guide &amp; Settings'!$C$41,IFERROR(LOOKUP(2,1/('Match Log'!$D$4:$D$1510=$A12),'Match Log'!$N$4:$N$1510),'Guide &amp; Settings'!$C$41))</f>
        <v>968.26132335618615</v>
      </c>
      <c r="C12">
        <f>IFERROR(SUMPRODUCT(INDEX('Head-to-Head'!$B$22:$O$35,11,0),$D$2:$Q$2)/SUM(INDEX('Head-to-Head'!$B$22:$O$35,11,0)),"")</f>
        <v>1157.4978251153948</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1070.6420982300112</v>
      </c>
    </row>
    <row r="14" spans="1:17" ht="15" customHeight="1" x14ac:dyDescent="0.2">
      <c r="A14" t="s">
        <v>27</v>
      </c>
      <c r="B14">
        <f>IF(COUNTIF('Match Log'!$D$4:$D$1510,$A14)=0,'Guide &amp; Settings'!$C$41,IFERROR(LOOKUP(2,1/('Match Log'!$D$4:$D$1510=$A14),'Match Log'!$N$4:$N$1510),'Guide &amp; Settings'!$C$41))</f>
        <v>1023.2192605207141</v>
      </c>
      <c r="C14">
        <f>IFERROR(SUMPRODUCT(INDEX('Head-to-Head'!$B$22:$O$35,13,0),$D$2:$Q$2)/SUM(INDEX('Head-to-Head'!$B$22:$O$35,13,0)),"")</f>
        <v>1107.1580138007182</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2026-09-27T22:16:49Z</dcterms:modified>
  <dc:language>en-US</dc:language>
</cp:coreProperties>
</file>