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0CD000E8-96F3-6540-BE31-5A0D62AF25D4}" xr6:coauthVersionLast="47" xr6:coauthVersionMax="47" xr10:uidLastSave="{00000000-0000-0000-0000-000000000000}"/>
  <bookViews>
    <workbookView xWindow="0" yWindow="660" windowWidth="34560" windowHeight="20960" tabRatio="500" activeTab="9"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A34" i="3"/>
  <c r="A33" i="3"/>
  <c r="A32" i="3"/>
  <c r="A31" i="3"/>
  <c r="A30" i="3"/>
  <c r="A29" i="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331" i="13"/>
  <c r="E332" i="13"/>
  <c r="E333" i="13"/>
  <c r="E334" i="13"/>
  <c r="E335" i="13"/>
  <c r="E336" i="13"/>
  <c r="E337" i="13"/>
  <c r="E338" i="13"/>
  <c r="E339" i="13"/>
  <c r="E340" i="13"/>
  <c r="E341" i="13"/>
  <c r="H341" i="13" s="1" a="1"/>
  <c r="H341" i="13" s="1"/>
  <c r="E342" i="13"/>
  <c r="H342" i="13" s="1" a="1"/>
  <c r="H342" i="13" s="1"/>
  <c r="E343" i="13"/>
  <c r="H343" i="13" s="1" a="1"/>
  <c r="H343" i="13" s="1"/>
  <c r="E344" i="13"/>
  <c r="H344" i="13" s="1" a="1"/>
  <c r="H344" i="13" s="1"/>
  <c r="E345" i="13"/>
  <c r="E346" i="13"/>
  <c r="E347" i="13"/>
  <c r="E348" i="13"/>
  <c r="E349" i="13"/>
  <c r="E350" i="13"/>
  <c r="E351" i="13"/>
  <c r="E352" i="13"/>
  <c r="E353" i="13"/>
  <c r="E354" i="13"/>
  <c r="E355" i="13"/>
  <c r="H355" i="13" s="1" a="1"/>
  <c r="H355" i="13" s="1"/>
  <c r="E356" i="13"/>
  <c r="H356" i="13" s="1" a="1"/>
  <c r="H356" i="13" s="1"/>
  <c r="E357" i="13"/>
  <c r="H357" i="13" s="1" a="1"/>
  <c r="H357" i="13" s="1"/>
  <c r="E358" i="13"/>
  <c r="H358" i="13" s="1" a="1"/>
  <c r="H358" i="13" s="1"/>
  <c r="E359" i="13"/>
  <c r="H359" i="13" s="1" a="1"/>
  <c r="H359" i="13" s="1"/>
  <c r="E360" i="13"/>
  <c r="H360" i="13" s="1" a="1"/>
  <c r="H360" i="13" s="1"/>
  <c r="E361" i="13"/>
  <c r="H361" i="13" s="1" a="1"/>
  <c r="H361" i="13" s="1"/>
  <c r="E362" i="13"/>
  <c r="H362" i="13" s="1" a="1"/>
  <c r="H362" i="13" s="1"/>
  <c r="E363" i="13"/>
  <c r="H363" i="13" s="1" a="1"/>
  <c r="H363" i="13" s="1"/>
  <c r="E364" i="13"/>
  <c r="H364" i="13" s="1" a="1"/>
  <c r="H364" i="13" s="1"/>
  <c r="E365" i="13"/>
  <c r="H365" i="13" s="1" a="1"/>
  <c r="H365" i="13" s="1"/>
  <c r="E366" i="13"/>
  <c r="H366" i="13" s="1" a="1"/>
  <c r="H366" i="13" s="1"/>
  <c r="E367" i="13"/>
  <c r="H367" i="13" s="1" a="1"/>
  <c r="H367" i="13" s="1"/>
  <c r="E368" i="13"/>
  <c r="H368" i="13" s="1" a="1"/>
  <c r="H368" i="13" s="1"/>
  <c r="E369" i="13"/>
  <c r="H369" i="13" s="1" a="1"/>
  <c r="H369" i="13" s="1"/>
  <c r="E370" i="13"/>
  <c r="H370" i="13" s="1" a="1"/>
  <c r="H370" i="13" s="1"/>
  <c r="E371" i="13"/>
  <c r="H371" i="13" s="1" a="1"/>
  <c r="H371" i="13" s="1"/>
  <c r="E372" i="13"/>
  <c r="H372" i="13" s="1" a="1"/>
  <c r="H372" i="13" s="1"/>
  <c r="E373" i="13"/>
  <c r="H373" i="13" s="1" a="1"/>
  <c r="H373" i="13" s="1"/>
  <c r="E374" i="13"/>
  <c r="H374" i="13" s="1" a="1"/>
  <c r="H374" i="13" s="1"/>
  <c r="E375" i="13"/>
  <c r="H375" i="13" s="1" a="1"/>
  <c r="H375" i="13" s="1"/>
  <c r="E376" i="13"/>
  <c r="H376" i="13" s="1" a="1"/>
  <c r="H376" i="13" s="1"/>
  <c r="E377" i="13"/>
  <c r="H377" i="13" s="1" a="1"/>
  <c r="H377" i="13" s="1"/>
  <c r="E378" i="13"/>
  <c r="H378" i="13" s="1" a="1"/>
  <c r="H378" i="13" s="1"/>
  <c r="E379" i="13"/>
  <c r="H379" i="13" s="1" a="1"/>
  <c r="H379" i="13" s="1"/>
  <c r="E380" i="13"/>
  <c r="H380" i="13" s="1" a="1"/>
  <c r="H380" i="13" s="1"/>
  <c r="E381" i="13"/>
  <c r="H381" i="13" s="1" a="1"/>
  <c r="H381" i="13" s="1"/>
  <c r="E382" i="13"/>
  <c r="H382" i="13" s="1" a="1"/>
  <c r="H382" i="13" s="1"/>
  <c r="E383" i="13"/>
  <c r="H383" i="13" s="1" a="1"/>
  <c r="H383" i="13" s="1"/>
  <c r="E384" i="13"/>
  <c r="H384" i="13" s="1" a="1"/>
  <c r="H384" i="13" s="1"/>
  <c r="E385" i="13"/>
  <c r="H385" i="13" s="1" a="1"/>
  <c r="H385" i="13" s="1"/>
  <c r="E386" i="13"/>
  <c r="H386" i="13" s="1" a="1"/>
  <c r="H386" i="13" s="1"/>
  <c r="E387" i="13"/>
  <c r="H387" i="13" s="1" a="1"/>
  <c r="H387" i="13" s="1"/>
  <c r="E388" i="13"/>
  <c r="H388" i="13" s="1" a="1"/>
  <c r="H388" i="13" s="1"/>
  <c r="E389" i="13"/>
  <c r="H389" i="13" s="1" a="1"/>
  <c r="H389" i="13" s="1"/>
  <c r="E390" i="13"/>
  <c r="H390" i="13" s="1" a="1"/>
  <c r="H390" i="13" s="1"/>
  <c r="E391" i="13"/>
  <c r="H391" i="13" s="1" a="1"/>
  <c r="H391" i="13" s="1"/>
  <c r="E392" i="13"/>
  <c r="H392" i="13" s="1" a="1"/>
  <c r="H392" i="13" s="1"/>
  <c r="E393" i="13"/>
  <c r="H393" i="13" s="1" a="1"/>
  <c r="H393" i="13" s="1"/>
  <c r="E394" i="13"/>
  <c r="H394" i="13" s="1" a="1"/>
  <c r="H394" i="13" s="1"/>
  <c r="E395" i="13"/>
  <c r="H395" i="13" s="1" a="1"/>
  <c r="H395" i="13" s="1"/>
  <c r="E396" i="13"/>
  <c r="H396" i="13" s="1" a="1"/>
  <c r="H396" i="13" s="1"/>
  <c r="E397" i="13"/>
  <c r="H397" i="13" s="1" a="1"/>
  <c r="H397" i="13" s="1"/>
  <c r="E398" i="13"/>
  <c r="H398" i="13" s="1" a="1"/>
  <c r="H398" i="13" s="1"/>
  <c r="E399" i="13"/>
  <c r="H399" i="13" s="1" a="1"/>
  <c r="H399" i="13" s="1"/>
  <c r="E400" i="13"/>
  <c r="H400" i="13" s="1" a="1"/>
  <c r="H400" i="13" s="1"/>
  <c r="E401" i="13"/>
  <c r="H401" i="13" s="1" a="1"/>
  <c r="H401" i="13" s="1"/>
  <c r="E402" i="13"/>
  <c r="H402" i="13" s="1" a="1"/>
  <c r="H402" i="13" s="1"/>
  <c r="E403" i="13"/>
  <c r="H403" i="13" s="1" a="1"/>
  <c r="H403" i="13" s="1"/>
  <c r="E404" i="13"/>
  <c r="H404" i="13" s="1" a="1"/>
  <c r="H404" i="13" s="1"/>
  <c r="E405" i="13"/>
  <c r="H405" i="13" s="1" a="1"/>
  <c r="H405" i="13" s="1"/>
  <c r="E406" i="13"/>
  <c r="H406" i="13" s="1" a="1"/>
  <c r="H406" i="13" s="1"/>
  <c r="E407" i="13"/>
  <c r="H407" i="13" s="1" a="1"/>
  <c r="H407" i="13" s="1"/>
  <c r="E408" i="13"/>
  <c r="H408" i="13" s="1" a="1"/>
  <c r="H408" i="13" s="1"/>
  <c r="E409" i="13"/>
  <c r="H409" i="13" s="1" a="1"/>
  <c r="H409" i="13" s="1"/>
  <c r="E410" i="13"/>
  <c r="H410" i="13" s="1" a="1"/>
  <c r="H410" i="13" s="1"/>
  <c r="E411" i="13"/>
  <c r="H411" i="13" s="1" a="1"/>
  <c r="H411" i="13" s="1"/>
  <c r="E412" i="13"/>
  <c r="H412" i="13" s="1" a="1"/>
  <c r="H412" i="13" s="1"/>
  <c r="E413" i="13"/>
  <c r="H413" i="13" s="1" a="1"/>
  <c r="H413" i="13" s="1"/>
  <c r="E414" i="13"/>
  <c r="H414" i="13" s="1" a="1"/>
  <c r="H414" i="13" s="1"/>
  <c r="E415" i="13"/>
  <c r="H415" i="13" s="1" a="1"/>
  <c r="H415" i="13" s="1"/>
  <c r="E416" i="13"/>
  <c r="H416" i="13" s="1" a="1"/>
  <c r="H416" i="13" s="1"/>
  <c r="E417" i="13"/>
  <c r="H417" i="13" s="1" a="1"/>
  <c r="H417" i="13" s="1"/>
  <c r="E418" i="13"/>
  <c r="H418" i="13" s="1" a="1"/>
  <c r="H418" i="13" s="1"/>
  <c r="E419" i="13"/>
  <c r="H419" i="13" s="1" a="1"/>
  <c r="H419" i="13" s="1"/>
  <c r="E420" i="13"/>
  <c r="H420" i="13" s="1" a="1"/>
  <c r="H420" i="13" s="1"/>
  <c r="E421" i="13"/>
  <c r="H421" i="13" s="1" a="1"/>
  <c r="H421" i="13" s="1"/>
  <c r="E422" i="13"/>
  <c r="H422" i="13" s="1" a="1"/>
  <c r="H422" i="13" s="1"/>
  <c r="E423" i="13"/>
  <c r="H423" i="13" s="1" a="1"/>
  <c r="H423" i="13" s="1"/>
  <c r="E424" i="13"/>
  <c r="H424" i="13" s="1" a="1"/>
  <c r="H424" i="13" s="1"/>
  <c r="E425" i="13"/>
  <c r="H425" i="13" s="1" a="1"/>
  <c r="H425" i="13" s="1"/>
  <c r="E426" i="13"/>
  <c r="H426" i="13" s="1" a="1"/>
  <c r="H426" i="13" s="1"/>
  <c r="E427" i="13"/>
  <c r="H427" i="13" s="1" a="1"/>
  <c r="H427" i="13" s="1"/>
  <c r="E428" i="13"/>
  <c r="H428" i="13" s="1" a="1"/>
  <c r="H428" i="13" s="1"/>
  <c r="E429" i="13"/>
  <c r="H429" i="13" s="1" a="1"/>
  <c r="H429" i="13" s="1"/>
  <c r="E430" i="13"/>
  <c r="H430" i="13" s="1" a="1"/>
  <c r="H430" i="13" s="1"/>
  <c r="E431" i="13"/>
  <c r="H431" i="13" s="1" a="1"/>
  <c r="H431" i="13" s="1"/>
  <c r="E432" i="13"/>
  <c r="H432" i="13" s="1" a="1"/>
  <c r="H432" i="13" s="1"/>
  <c r="E433" i="13"/>
  <c r="H433" i="13" s="1" a="1"/>
  <c r="H433" i="13" s="1"/>
  <c r="E434" i="13"/>
  <c r="H434" i="13" s="1" a="1"/>
  <c r="H434" i="13" s="1"/>
  <c r="E435" i="13"/>
  <c r="H435" i="13" s="1" a="1"/>
  <c r="H435" i="13" s="1"/>
  <c r="E436" i="13"/>
  <c r="H436" i="13" s="1" a="1"/>
  <c r="H436" i="13" s="1"/>
  <c r="E437" i="13"/>
  <c r="H437" i="13" s="1" a="1"/>
  <c r="H437" i="13" s="1"/>
  <c r="E438" i="13"/>
  <c r="H438" i="13" s="1" a="1"/>
  <c r="H438" i="13" s="1"/>
  <c r="E439" i="13"/>
  <c r="H439" i="13" s="1" a="1"/>
  <c r="H439" i="13" s="1"/>
  <c r="E440" i="13"/>
  <c r="H440" i="13" s="1" a="1"/>
  <c r="H440" i="13" s="1"/>
  <c r="E441" i="13"/>
  <c r="H441" i="13" s="1" a="1"/>
  <c r="H441" i="13" s="1"/>
  <c r="E442" i="13"/>
  <c r="H442" i="13" s="1" a="1"/>
  <c r="H442" i="13" s="1"/>
  <c r="E443" i="13"/>
  <c r="H443" i="13" s="1" a="1"/>
  <c r="H443" i="13" s="1"/>
  <c r="E444" i="13"/>
  <c r="H444" i="13" s="1" a="1"/>
  <c r="H444" i="13" s="1"/>
  <c r="E445" i="13"/>
  <c r="H445" i="13" s="1" a="1"/>
  <c r="H445" i="13" s="1"/>
  <c r="E446" i="13"/>
  <c r="H446" i="13" s="1" a="1"/>
  <c r="H446" i="13" s="1"/>
  <c r="E447" i="13"/>
  <c r="H447" i="13" s="1" a="1"/>
  <c r="H447" i="13" s="1"/>
  <c r="E448" i="13"/>
  <c r="H448" i="13" s="1" a="1"/>
  <c r="H448" i="13" s="1"/>
  <c r="E449" i="13"/>
  <c r="H449" i="13" s="1" a="1"/>
  <c r="H449" i="13" s="1"/>
  <c r="E450" i="13"/>
  <c r="H450" i="13" s="1" a="1"/>
  <c r="H450" i="13" s="1"/>
  <c r="E451" i="13"/>
  <c r="H451" i="13" s="1" a="1"/>
  <c r="H451" i="13" s="1"/>
  <c r="E452" i="13"/>
  <c r="H452" i="13" s="1" a="1"/>
  <c r="H452" i="13" s="1"/>
  <c r="E453" i="13"/>
  <c r="H453" i="13" s="1" a="1"/>
  <c r="H453" i="13" s="1"/>
  <c r="E454" i="13"/>
  <c r="H454" i="13" s="1" a="1"/>
  <c r="H454" i="13" s="1"/>
  <c r="E455" i="13"/>
  <c r="H455" i="13" s="1" a="1"/>
  <c r="H455" i="13" s="1"/>
  <c r="E456" i="13"/>
  <c r="H456" i="13" s="1" a="1"/>
  <c r="H456" i="13" s="1"/>
  <c r="E457" i="13"/>
  <c r="H457" i="13" s="1" a="1"/>
  <c r="H457" i="13" s="1"/>
  <c r="E458" i="13"/>
  <c r="H458" i="13" s="1" a="1"/>
  <c r="H458" i="13" s="1"/>
  <c r="E459" i="13"/>
  <c r="H459" i="13" s="1" a="1"/>
  <c r="H459" i="13" s="1"/>
  <c r="E460" i="13"/>
  <c r="H460" i="13" s="1" a="1"/>
  <c r="H460" i="13" s="1"/>
  <c r="E461" i="13"/>
  <c r="H461" i="13" s="1" a="1"/>
  <c r="H461" i="13" s="1"/>
  <c r="E462" i="13"/>
  <c r="H462" i="13" s="1" a="1"/>
  <c r="H462" i="13" s="1"/>
  <c r="E463" i="13"/>
  <c r="H463" i="13" s="1" a="1"/>
  <c r="H463" i="13" s="1"/>
  <c r="E464" i="13"/>
  <c r="H464" i="13" s="1" a="1"/>
  <c r="H464" i="13" s="1"/>
  <c r="E465" i="13"/>
  <c r="H465" i="13" s="1" a="1"/>
  <c r="H465" i="13" s="1"/>
  <c r="E466" i="13"/>
  <c r="H466" i="13" s="1" a="1"/>
  <c r="H466" i="13" s="1"/>
  <c r="E467" i="13"/>
  <c r="H467" i="13" s="1" a="1"/>
  <c r="H467" i="13" s="1"/>
  <c r="E468" i="13"/>
  <c r="H468" i="13" s="1" a="1"/>
  <c r="H468" i="13" s="1"/>
  <c r="E469" i="13"/>
  <c r="H469" i="13" s="1" a="1"/>
  <c r="H469" i="13" s="1"/>
  <c r="E470" i="13"/>
  <c r="H470" i="13" s="1" a="1"/>
  <c r="H470" i="13" s="1"/>
  <c r="E471" i="13"/>
  <c r="H471" i="13" s="1" a="1"/>
  <c r="H471" i="13" s="1"/>
  <c r="E472" i="13"/>
  <c r="H472" i="13" s="1" a="1"/>
  <c r="H472" i="13" s="1"/>
  <c r="E473" i="13"/>
  <c r="H473" i="13" s="1" a="1"/>
  <c r="H473" i="13" s="1"/>
  <c r="E474" i="13"/>
  <c r="H474" i="13" s="1" a="1"/>
  <c r="H474" i="13" s="1"/>
  <c r="E475" i="13"/>
  <c r="H475" i="13" s="1" a="1"/>
  <c r="H475" i="13" s="1"/>
  <c r="E476" i="13"/>
  <c r="H476" i="13" s="1" a="1"/>
  <c r="H476" i="13" s="1"/>
  <c r="E477" i="13"/>
  <c r="H477" i="13" s="1" a="1"/>
  <c r="H477" i="13" s="1"/>
  <c r="E478" i="13"/>
  <c r="H478" i="13" s="1" a="1"/>
  <c r="H478" i="13" s="1"/>
  <c r="E479" i="13"/>
  <c r="H479" i="13" s="1" a="1"/>
  <c r="H479" i="13" s="1"/>
  <c r="E480" i="13"/>
  <c r="H480" i="13" s="1" a="1"/>
  <c r="H480" i="13" s="1"/>
  <c r="E481" i="13"/>
  <c r="H481" i="13" s="1" a="1"/>
  <c r="H481" i="13" s="1"/>
  <c r="E482" i="13"/>
  <c r="H482" i="13" s="1" a="1"/>
  <c r="H482" i="13" s="1"/>
  <c r="E483" i="13"/>
  <c r="H483" i="13" s="1" a="1"/>
  <c r="H483" i="13" s="1"/>
  <c r="E484" i="13"/>
  <c r="H484" i="13" s="1" a="1"/>
  <c r="H484" i="13" s="1"/>
  <c r="E485" i="13"/>
  <c r="H485" i="13" s="1" a="1"/>
  <c r="H485" i="13" s="1"/>
  <c r="E486" i="13"/>
  <c r="H486" i="13" s="1" a="1"/>
  <c r="H486" i="13" s="1"/>
  <c r="E487" i="13"/>
  <c r="H487" i="13" s="1" a="1"/>
  <c r="H487" i="13" s="1"/>
  <c r="E488" i="13"/>
  <c r="H488" i="13" s="1" a="1"/>
  <c r="H488" i="13" s="1"/>
  <c r="E489" i="13"/>
  <c r="H489" i="13" s="1" a="1"/>
  <c r="H489" i="13" s="1"/>
  <c r="E490" i="13"/>
  <c r="H490" i="13" s="1" a="1"/>
  <c r="H490" i="13" s="1"/>
  <c r="E491" i="13"/>
  <c r="H491" i="13" s="1" a="1"/>
  <c r="H491" i="13" s="1"/>
  <c r="E492" i="13"/>
  <c r="H492" i="13" s="1" a="1"/>
  <c r="H492" i="13" s="1"/>
  <c r="E493" i="13"/>
  <c r="H493" i="13" s="1" a="1"/>
  <c r="H493" i="13" s="1"/>
  <c r="E494" i="13"/>
  <c r="H494" i="13" s="1" a="1"/>
  <c r="H494" i="13" s="1"/>
  <c r="E495" i="13"/>
  <c r="H495" i="13" s="1" a="1"/>
  <c r="H495" i="13" s="1"/>
  <c r="E496" i="13"/>
  <c r="H496" i="13" s="1" a="1"/>
  <c r="H496" i="13" s="1"/>
  <c r="E497" i="13"/>
  <c r="H497" i="13" s="1" a="1"/>
  <c r="H497" i="13" s="1"/>
  <c r="E498" i="13"/>
  <c r="H498" i="13" s="1" a="1"/>
  <c r="H498" i="13" s="1"/>
  <c r="E499" i="13"/>
  <c r="H499" i="13" s="1" a="1"/>
  <c r="H499" i="13" s="1"/>
  <c r="E500" i="13"/>
  <c r="H500" i="13" s="1" a="1"/>
  <c r="H500" i="13" s="1"/>
  <c r="E501" i="13"/>
  <c r="H501" i="13" s="1" a="1"/>
  <c r="H501" i="13" s="1"/>
  <c r="E502" i="13"/>
  <c r="H502" i="13" s="1" a="1"/>
  <c r="H502" i="13" s="1"/>
  <c r="E503" i="13"/>
  <c r="H503" i="13" s="1" a="1"/>
  <c r="H503" i="13" s="1"/>
  <c r="E504" i="13"/>
  <c r="H504" i="13" s="1" a="1"/>
  <c r="H504" i="13" s="1"/>
  <c r="E505" i="13"/>
  <c r="E506" i="13"/>
  <c r="E507" i="13"/>
  <c r="E508" i="13"/>
  <c r="H508" i="13" s="1" a="1"/>
  <c r="H508" i="13" s="1"/>
  <c r="E509" i="13"/>
  <c r="H509" i="13" s="1" a="1"/>
  <c r="H509" i="13" s="1"/>
  <c r="E510" i="13"/>
  <c r="H510" i="13" s="1" a="1"/>
  <c r="H510" i="13" s="1"/>
  <c r="E511" i="13"/>
  <c r="E512" i="13"/>
  <c r="E513" i="13"/>
  <c r="H513" i="13" s="1" a="1"/>
  <c r="H513" i="13" s="1"/>
  <c r="E514" i="13"/>
  <c r="H514" i="13" s="1" a="1"/>
  <c r="H514" i="13" s="1"/>
  <c r="E515" i="13"/>
  <c r="H515" i="13" s="1" a="1"/>
  <c r="H515" i="13" s="1"/>
  <c r="E516" i="13"/>
  <c r="H516" i="13" s="1" a="1"/>
  <c r="H516" i="13" s="1"/>
  <c r="E517" i="13"/>
  <c r="E518" i="13"/>
  <c r="H518" i="13" s="1" a="1"/>
  <c r="H518" i="13" s="1"/>
  <c r="E519" i="13"/>
  <c r="H519" i="13" s="1" a="1"/>
  <c r="H519" i="13" s="1"/>
  <c r="E520" i="13"/>
  <c r="H520" i="13" s="1" a="1"/>
  <c r="H520" i="13" s="1"/>
  <c r="E521" i="13"/>
  <c r="H521" i="13" s="1" a="1"/>
  <c r="H521" i="13" s="1"/>
  <c r="E522" i="13"/>
  <c r="H522" i="13" s="1" a="1"/>
  <c r="H522" i="13" s="1"/>
  <c r="E523" i="13"/>
  <c r="E524" i="13"/>
  <c r="E525" i="13"/>
  <c r="E526" i="13"/>
  <c r="E527" i="13"/>
  <c r="H527" i="13" s="1" a="1"/>
  <c r="H527" i="13" s="1"/>
  <c r="E528" i="13"/>
  <c r="E529" i="13"/>
  <c r="H529" i="13" s="1" a="1"/>
  <c r="H529" i="13" s="1"/>
  <c r="E530" i="13"/>
  <c r="H530" i="13" s="1" a="1"/>
  <c r="H530" i="13" s="1"/>
  <c r="E531" i="13"/>
  <c r="H531" i="13" s="1" a="1"/>
  <c r="H531" i="13" s="1"/>
  <c r="E532" i="13"/>
  <c r="E533" i="13"/>
  <c r="H533" i="13" s="1" a="1"/>
  <c r="H533" i="13" s="1"/>
  <c r="E534" i="13"/>
  <c r="H534" i="13" s="1" a="1"/>
  <c r="H534" i="13" s="1"/>
  <c r="E535" i="13"/>
  <c r="H535" i="13" s="1" a="1"/>
  <c r="H535" i="13" s="1"/>
  <c r="E536" i="13"/>
  <c r="H536" i="13" s="1" a="1"/>
  <c r="H536" i="13" s="1"/>
  <c r="E537" i="13"/>
  <c r="H537" i="13" s="1" a="1"/>
  <c r="H537" i="13" s="1"/>
  <c r="E538" i="13"/>
  <c r="H538" i="13" s="1" a="1"/>
  <c r="H538" i="13" s="1"/>
  <c r="E539" i="13"/>
  <c r="H539" i="13" s="1" a="1"/>
  <c r="H539" i="13" s="1"/>
  <c r="E540" i="13"/>
  <c r="H540" i="13" s="1" a="1"/>
  <c r="H540" i="13" s="1"/>
  <c r="E541" i="13"/>
  <c r="H541" i="13" s="1" a="1"/>
  <c r="H541" i="13" s="1"/>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H555" i="13" s="1" a="1"/>
  <c r="H555" i="13" s="1"/>
  <c r="E556" i="13"/>
  <c r="H556" i="13" s="1" a="1"/>
  <c r="H556" i="13" s="1"/>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E581" i="13"/>
  <c r="H581" i="13" s="1" a="1"/>
  <c r="H581" i="13" s="1"/>
  <c r="E582" i="13"/>
  <c r="H582" i="13" s="1" a="1"/>
  <c r="H582" i="13" s="1"/>
  <c r="E583" i="13"/>
  <c r="H583" i="13" s="1" a="1"/>
  <c r="H583" i="13" s="1"/>
  <c r="E584" i="13"/>
  <c r="H584" i="13" s="1" a="1"/>
  <c r="H584" i="13" s="1"/>
  <c r="E585" i="13"/>
  <c r="H585" i="13" s="1" a="1"/>
  <c r="H585" i="13" s="1"/>
  <c r="E586" i="13"/>
  <c r="H586" i="13" s="1" a="1"/>
  <c r="H586" i="13" s="1"/>
  <c r="E587" i="13"/>
  <c r="H587" i="13" s="1" a="1"/>
  <c r="H587" i="13" s="1"/>
  <c r="E588" i="13"/>
  <c r="H588" i="13" s="1" a="1"/>
  <c r="H588" i="13" s="1"/>
  <c r="E589" i="13"/>
  <c r="H589" i="13" s="1" a="1"/>
  <c r="H589" i="13" s="1"/>
  <c r="E590" i="13"/>
  <c r="H590" i="13" s="1" a="1"/>
  <c r="H590" i="13" s="1"/>
  <c r="E591" i="13"/>
  <c r="H591" i="13" s="1" a="1"/>
  <c r="H591" i="13" s="1"/>
  <c r="E592" i="13"/>
  <c r="H592" i="13" s="1" a="1"/>
  <c r="H592" i="13" s="1"/>
  <c r="E593" i="13"/>
  <c r="H593" i="13" s="1" a="1"/>
  <c r="H593" i="13" s="1"/>
  <c r="E594" i="13"/>
  <c r="H594" i="13" s="1" a="1"/>
  <c r="H594" i="13" s="1"/>
  <c r="E595" i="13"/>
  <c r="H595" i="13" s="1" a="1"/>
  <c r="H595" i="13" s="1"/>
  <c r="E596" i="13"/>
  <c r="H596" i="13" s="1" a="1"/>
  <c r="H596" i="13" s="1"/>
  <c r="E597" i="13"/>
  <c r="H597" i="13" s="1" a="1"/>
  <c r="H597" i="13" s="1"/>
  <c r="E598" i="13"/>
  <c r="H598" i="13" s="1" a="1"/>
  <c r="H598" i="13" s="1"/>
  <c r="E599" i="13"/>
  <c r="H599" i="13" s="1" a="1"/>
  <c r="H599" i="13" s="1"/>
  <c r="E600" i="13"/>
  <c r="H600" i="13" s="1" a="1"/>
  <c r="H600" i="13" s="1"/>
  <c r="E601" i="13"/>
  <c r="H601" i="13" s="1" a="1"/>
  <c r="H601" i="13" s="1"/>
  <c r="E602" i="13"/>
  <c r="H602" i="13" s="1" a="1"/>
  <c r="H602" i="13" s="1"/>
  <c r="E603" i="13"/>
  <c r="H603" i="13" s="1" a="1"/>
  <c r="H603" i="13" s="1"/>
  <c r="E604" i="13"/>
  <c r="H604" i="13" s="1" a="1"/>
  <c r="H604" i="13" s="1"/>
  <c r="E605" i="13"/>
  <c r="H605" i="13" s="1" a="1"/>
  <c r="H605" i="13" s="1"/>
  <c r="E606" i="13"/>
  <c r="H606" i="13" s="1" a="1"/>
  <c r="H606" i="13" s="1"/>
  <c r="E607" i="13"/>
  <c r="H607" i="13" s="1" a="1"/>
  <c r="H607" i="13" s="1"/>
  <c r="E608" i="13"/>
  <c r="H608" i="13" s="1" a="1"/>
  <c r="H608" i="13" s="1"/>
  <c r="E609" i="13"/>
  <c r="H609" i="13" s="1" a="1"/>
  <c r="H609" i="13" s="1"/>
  <c r="E610" i="13"/>
  <c r="H610" i="13" s="1" a="1"/>
  <c r="H610" i="13" s="1"/>
  <c r="E611" i="13"/>
  <c r="H611" i="13" s="1" a="1"/>
  <c r="H611" i="13" s="1"/>
  <c r="E612" i="13"/>
  <c r="H612" i="13" s="1" a="1"/>
  <c r="H612" i="13" s="1"/>
  <c r="E613" i="13"/>
  <c r="H613" i="13" s="1" a="1"/>
  <c r="H613" i="13" s="1"/>
  <c r="E614" i="13"/>
  <c r="H614" i="13" s="1" a="1"/>
  <c r="H614" i="13" s="1"/>
  <c r="E615" i="13"/>
  <c r="H615" i="13" s="1" a="1"/>
  <c r="H615" i="13" s="1"/>
  <c r="E616" i="13"/>
  <c r="H616" i="13" s="1" a="1"/>
  <c r="H616" i="13" s="1"/>
  <c r="E617" i="13"/>
  <c r="H617" i="13" s="1" a="1"/>
  <c r="H617" i="13" s="1"/>
  <c r="E618" i="13"/>
  <c r="H618" i="13" s="1" a="1"/>
  <c r="H618" i="13" s="1"/>
  <c r="E619" i="13"/>
  <c r="H619" i="13" s="1" a="1"/>
  <c r="H619" i="13" s="1"/>
  <c r="E620" i="13"/>
  <c r="H620" i="13" s="1" a="1"/>
  <c r="H620" i="13" s="1"/>
  <c r="E621" i="13"/>
  <c r="H621" i="13" s="1" a="1"/>
  <c r="H621" i="13" s="1"/>
  <c r="E622" i="13"/>
  <c r="H622" i="13" s="1" a="1"/>
  <c r="H622" i="13" s="1"/>
  <c r="E623" i="13"/>
  <c r="H623" i="13" s="1" a="1"/>
  <c r="H623" i="13" s="1"/>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E713" i="13"/>
  <c r="E714" i="13"/>
  <c r="E715" i="13"/>
  <c r="E716" i="13"/>
  <c r="E717" i="13"/>
  <c r="E718" i="13"/>
  <c r="E719" i="13"/>
  <c r="H719" i="13" s="1" a="1"/>
  <c r="H719" i="13" s="1"/>
  <c r="E720" i="13"/>
  <c r="H720" i="13" s="1" a="1"/>
  <c r="H720" i="13" s="1"/>
  <c r="E721" i="13"/>
  <c r="H721" i="13" s="1" a="1"/>
  <c r="H721" i="13" s="1"/>
  <c r="E722" i="13"/>
  <c r="H722" i="13" s="1" a="1"/>
  <c r="H722" i="13" s="1"/>
  <c r="E723" i="13"/>
  <c r="H723" i="13" s="1" a="1"/>
  <c r="H723" i="13" s="1"/>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s="1"/>
  <c r="G445" i="13" s="1"/>
  <c r="I445" i="13" s="1"/>
  <c r="K445" i="13"/>
  <c r="L445" i="13"/>
  <c r="M445" i="13"/>
  <c r="N445" i="13"/>
  <c r="O445" i="13"/>
  <c r="P445" i="13"/>
  <c r="Q445" i="13"/>
  <c r="R445" i="13"/>
  <c r="S445" i="13"/>
  <c r="T445" i="13"/>
  <c r="U445" i="13"/>
  <c r="V445" i="13"/>
  <c r="W445" i="13"/>
  <c r="X445" i="13"/>
  <c r="D446" i="13" a="1"/>
  <c r="D446" i="13" s="1"/>
  <c r="G446" i="13" s="1"/>
  <c r="I446" i="13" s="1"/>
  <c r="K446" i="13"/>
  <c r="L446" i="13"/>
  <c r="M446" i="13"/>
  <c r="N446" i="13"/>
  <c r="O446" i="13"/>
  <c r="P446" i="13"/>
  <c r="Q446" i="13"/>
  <c r="R446" i="13"/>
  <c r="S446" i="13"/>
  <c r="T446" i="13"/>
  <c r="U446" i="13"/>
  <c r="V446" i="13"/>
  <c r="W446" i="13"/>
  <c r="X446" i="13"/>
  <c r="D447" i="13" a="1"/>
  <c r="D447" i="13" s="1"/>
  <c r="G447" i="13" s="1"/>
  <c r="I447" i="13" s="1"/>
  <c r="K447" i="13"/>
  <c r="L447" i="13"/>
  <c r="M447" i="13"/>
  <c r="N447" i="13"/>
  <c r="O447" i="13"/>
  <c r="P447" i="13"/>
  <c r="Q447" i="13"/>
  <c r="R447" i="13"/>
  <c r="S447" i="13"/>
  <c r="T447" i="13"/>
  <c r="U447" i="13"/>
  <c r="V447" i="13"/>
  <c r="W447" i="13"/>
  <c r="X447" i="13"/>
  <c r="D448" i="13" a="1"/>
  <c r="D448" i="13" s="1"/>
  <c r="G448" i="13" s="1"/>
  <c r="I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K450" i="13"/>
  <c r="L450" i="13"/>
  <c r="M450" i="13"/>
  <c r="N450" i="13"/>
  <c r="O450" i="13"/>
  <c r="P450" i="13"/>
  <c r="Q450" i="13"/>
  <c r="R450" i="13"/>
  <c r="S450" i="13"/>
  <c r="T450" i="13"/>
  <c r="U450" i="13"/>
  <c r="V450" i="13"/>
  <c r="W450" i="13"/>
  <c r="X450" i="13"/>
  <c r="D451" i="13" a="1"/>
  <c r="D451" i="13" s="1"/>
  <c r="G451" i="13" s="1"/>
  <c r="I451" i="13" s="1"/>
  <c r="K451" i="13"/>
  <c r="L451" i="13"/>
  <c r="M451" i="13"/>
  <c r="N451" i="13"/>
  <c r="O451" i="13"/>
  <c r="P451" i="13"/>
  <c r="Q451" i="13"/>
  <c r="R451" i="13"/>
  <c r="S451" i="13"/>
  <c r="T451" i="13"/>
  <c r="U451" i="13"/>
  <c r="V451" i="13"/>
  <c r="W451" i="13"/>
  <c r="X451" i="13"/>
  <c r="D452" i="13" a="1"/>
  <c r="D452" i="13" s="1"/>
  <c r="G452" i="13" s="1"/>
  <c r="I452" i="13" s="1"/>
  <c r="K452" i="13"/>
  <c r="L452" i="13"/>
  <c r="M452" i="13"/>
  <c r="N452" i="13"/>
  <c r="O452" i="13"/>
  <c r="P452" i="13"/>
  <c r="Q452" i="13"/>
  <c r="R452" i="13"/>
  <c r="S452" i="13"/>
  <c r="T452" i="13"/>
  <c r="U452" i="13"/>
  <c r="V452" i="13"/>
  <c r="W452" i="13"/>
  <c r="X452" i="13"/>
  <c r="D453" i="13" a="1"/>
  <c r="D453" i="13" s="1"/>
  <c r="G453" i="13" s="1"/>
  <c r="I453" i="13" s="1"/>
  <c r="K453" i="13"/>
  <c r="L453" i="13"/>
  <c r="M453" i="13"/>
  <c r="N453" i="13"/>
  <c r="O453" i="13"/>
  <c r="P453" i="13"/>
  <c r="Q453" i="13"/>
  <c r="R453" i="13"/>
  <c r="S453" i="13"/>
  <c r="T453" i="13"/>
  <c r="U453" i="13"/>
  <c r="V453" i="13"/>
  <c r="W453" i="13"/>
  <c r="X453" i="13"/>
  <c r="D454" i="13" a="1"/>
  <c r="D454" i="13" s="1"/>
  <c r="G454" i="13" s="1"/>
  <c r="I454" i="13" s="1"/>
  <c r="K454" i="13"/>
  <c r="L454" i="13"/>
  <c r="M454" i="13"/>
  <c r="N454" i="13"/>
  <c r="O454" i="13"/>
  <c r="P454" i="13"/>
  <c r="Q454" i="13"/>
  <c r="R454" i="13"/>
  <c r="S454" i="13"/>
  <c r="T454" i="13"/>
  <c r="U454" i="13"/>
  <c r="V454" i="13"/>
  <c r="W454" i="13"/>
  <c r="X454" i="13"/>
  <c r="D455" i="13" a="1"/>
  <c r="D455" i="13" s="1"/>
  <c r="G455" i="13" s="1"/>
  <c r="I455" i="13" s="1"/>
  <c r="K455" i="13"/>
  <c r="L455" i="13"/>
  <c r="M455" i="13"/>
  <c r="N455" i="13"/>
  <c r="O455" i="13"/>
  <c r="P455" i="13"/>
  <c r="Q455" i="13"/>
  <c r="R455" i="13"/>
  <c r="S455" i="13"/>
  <c r="T455" i="13"/>
  <c r="U455" i="13"/>
  <c r="V455" i="13"/>
  <c r="W455" i="13"/>
  <c r="X455" i="13"/>
  <c r="D456" i="13" a="1"/>
  <c r="D456" i="13" s="1"/>
  <c r="G456" i="13" s="1"/>
  <c r="I456" i="13" s="1"/>
  <c r="K456" i="13"/>
  <c r="L456" i="13"/>
  <c r="M456" i="13"/>
  <c r="N456" i="13"/>
  <c r="O456" i="13"/>
  <c r="P456" i="13"/>
  <c r="Q456" i="13"/>
  <c r="R456" i="13"/>
  <c r="S456" i="13"/>
  <c r="T456" i="13"/>
  <c r="U456" i="13"/>
  <c r="V456" i="13"/>
  <c r="W456" i="13"/>
  <c r="X456" i="13"/>
  <c r="D457" i="13" a="1"/>
  <c r="D457" i="13" s="1"/>
  <c r="G457" i="13" s="1"/>
  <c r="I457" i="13" s="1"/>
  <c r="K457" i="13"/>
  <c r="L457" i="13"/>
  <c r="M457" i="13"/>
  <c r="N457" i="13"/>
  <c r="O457" i="13"/>
  <c r="P457" i="13"/>
  <c r="Q457" i="13"/>
  <c r="R457" i="13"/>
  <c r="S457" i="13"/>
  <c r="T457" i="13"/>
  <c r="U457" i="13"/>
  <c r="V457" i="13"/>
  <c r="W457" i="13"/>
  <c r="X457" i="13"/>
  <c r="D458" i="13" a="1"/>
  <c r="D458" i="13" s="1"/>
  <c r="G458" i="13" s="1"/>
  <c r="I458" i="13" s="1"/>
  <c r="K458" i="13"/>
  <c r="L458" i="13"/>
  <c r="M458" i="13"/>
  <c r="N458" i="13"/>
  <c r="O458" i="13"/>
  <c r="P458" i="13"/>
  <c r="Q458" i="13"/>
  <c r="R458" i="13"/>
  <c r="S458" i="13"/>
  <c r="T458" i="13"/>
  <c r="U458" i="13"/>
  <c r="V458" i="13"/>
  <c r="W458" i="13"/>
  <c r="X458" i="13"/>
  <c r="D459" i="13" a="1"/>
  <c r="D459" i="13" s="1"/>
  <c r="G459" i="13" s="1"/>
  <c r="I459" i="13" s="1"/>
  <c r="K459" i="13"/>
  <c r="L459" i="13"/>
  <c r="M459" i="13"/>
  <c r="N459" i="13"/>
  <c r="O459" i="13"/>
  <c r="P459" i="13"/>
  <c r="Q459" i="13"/>
  <c r="R459" i="13"/>
  <c r="S459" i="13"/>
  <c r="T459" i="13"/>
  <c r="U459" i="13"/>
  <c r="V459" i="13"/>
  <c r="W459" i="13"/>
  <c r="X459" i="13"/>
  <c r="D460" i="13" a="1"/>
  <c r="D460" i="13" s="1"/>
  <c r="G460" i="13" s="1"/>
  <c r="I460" i="13" s="1"/>
  <c r="K460" i="13"/>
  <c r="L460" i="13"/>
  <c r="M460" i="13"/>
  <c r="N460" i="13"/>
  <c r="O460" i="13"/>
  <c r="P460" i="13"/>
  <c r="Q460" i="13"/>
  <c r="R460" i="13"/>
  <c r="S460" i="13"/>
  <c r="T460" i="13"/>
  <c r="U460" i="13"/>
  <c r="V460" i="13"/>
  <c r="W460" i="13"/>
  <c r="X460" i="13"/>
  <c r="D461" i="13" a="1"/>
  <c r="D461" i="13" s="1"/>
  <c r="G461" i="13" s="1"/>
  <c r="I461" i="13" s="1"/>
  <c r="K461" i="13"/>
  <c r="L461" i="13"/>
  <c r="M461" i="13"/>
  <c r="N461" i="13"/>
  <c r="O461" i="13"/>
  <c r="P461" i="13"/>
  <c r="Q461" i="13"/>
  <c r="R461" i="13"/>
  <c r="S461" i="13"/>
  <c r="T461" i="13"/>
  <c r="U461" i="13"/>
  <c r="V461" i="13"/>
  <c r="W461" i="13"/>
  <c r="X461" i="13"/>
  <c r="D462" i="13" a="1"/>
  <c r="D462" i="13" s="1"/>
  <c r="G462" i="13" s="1"/>
  <c r="I462" i="13" s="1"/>
  <c r="K462" i="13"/>
  <c r="L462" i="13"/>
  <c r="M462" i="13"/>
  <c r="N462" i="13"/>
  <c r="O462" i="13"/>
  <c r="P462" i="13"/>
  <c r="Q462" i="13"/>
  <c r="R462" i="13"/>
  <c r="S462" i="13"/>
  <c r="T462" i="13"/>
  <c r="U462" i="13"/>
  <c r="V462" i="13"/>
  <c r="W462" i="13"/>
  <c r="X462" i="13"/>
  <c r="D463" i="13" a="1"/>
  <c r="D463" i="13" s="1"/>
  <c r="G463" i="13" s="1"/>
  <c r="I463" i="13" s="1"/>
  <c r="K463" i="13"/>
  <c r="L463" i="13"/>
  <c r="M463" i="13"/>
  <c r="N463" i="13"/>
  <c r="O463" i="13"/>
  <c r="P463" i="13"/>
  <c r="Q463" i="13"/>
  <c r="R463" i="13"/>
  <c r="S463" i="13"/>
  <c r="T463" i="13"/>
  <c r="U463" i="13"/>
  <c r="V463" i="13"/>
  <c r="W463" i="13"/>
  <c r="X463" i="13"/>
  <c r="D464" i="13" a="1"/>
  <c r="D464" i="13" s="1"/>
  <c r="G464" i="13" s="1"/>
  <c r="I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s="1"/>
  <c r="G468" i="13" s="1"/>
  <c r="I468" i="13" s="1"/>
  <c r="K468" i="13"/>
  <c r="L468" i="13"/>
  <c r="M468" i="13"/>
  <c r="N468" i="13"/>
  <c r="O468" i="13"/>
  <c r="P468" i="13"/>
  <c r="Q468" i="13"/>
  <c r="R468" i="13"/>
  <c r="S468" i="13"/>
  <c r="T468" i="13"/>
  <c r="U468" i="13"/>
  <c r="V468" i="13"/>
  <c r="W468" i="13"/>
  <c r="X468" i="13"/>
  <c r="D469" i="13" a="1"/>
  <c r="D469" i="13" s="1"/>
  <c r="G469" i="13" s="1"/>
  <c r="I469" i="13" s="1"/>
  <c r="K469" i="13"/>
  <c r="L469" i="13"/>
  <c r="M469" i="13"/>
  <c r="N469" i="13"/>
  <c r="O469" i="13"/>
  <c r="P469" i="13"/>
  <c r="Q469" i="13"/>
  <c r="R469" i="13"/>
  <c r="S469" i="13"/>
  <c r="T469" i="13"/>
  <c r="U469" i="13"/>
  <c r="V469" i="13"/>
  <c r="W469" i="13"/>
  <c r="X469" i="13"/>
  <c r="D470" i="13" a="1"/>
  <c r="D470" i="13" s="1"/>
  <c r="G470" i="13" s="1"/>
  <c r="I470" i="13" s="1"/>
  <c r="K470" i="13"/>
  <c r="L470" i="13"/>
  <c r="M470" i="13"/>
  <c r="N470" i="13"/>
  <c r="O470" i="13"/>
  <c r="P470" i="13"/>
  <c r="Q470" i="13"/>
  <c r="R470" i="13"/>
  <c r="S470" i="13"/>
  <c r="T470" i="13"/>
  <c r="U470" i="13"/>
  <c r="V470" i="13"/>
  <c r="W470" i="13"/>
  <c r="X470" i="13"/>
  <c r="D471" i="13" a="1"/>
  <c r="D471" i="13" s="1"/>
  <c r="G471" i="13" s="1"/>
  <c r="I471" i="13" s="1"/>
  <c r="K471" i="13"/>
  <c r="L471" i="13"/>
  <c r="M471" i="13"/>
  <c r="N471" i="13"/>
  <c r="O471" i="13"/>
  <c r="P471" i="13"/>
  <c r="Q471" i="13"/>
  <c r="R471" i="13"/>
  <c r="S471" i="13"/>
  <c r="T471" i="13"/>
  <c r="U471" i="13"/>
  <c r="V471" i="13"/>
  <c r="W471" i="13"/>
  <c r="X471" i="13"/>
  <c r="D472" i="13" a="1"/>
  <c r="D472" i="13" s="1"/>
  <c r="G472" i="13" s="1"/>
  <c r="I472" i="13" s="1"/>
  <c r="K472" i="13"/>
  <c r="L472" i="13"/>
  <c r="M472" i="13"/>
  <c r="N472" i="13"/>
  <c r="O472" i="13"/>
  <c r="P472" i="13"/>
  <c r="Q472" i="13"/>
  <c r="R472" i="13"/>
  <c r="S472" i="13"/>
  <c r="T472" i="13"/>
  <c r="U472" i="13"/>
  <c r="V472" i="13"/>
  <c r="W472" i="13"/>
  <c r="X472" i="13"/>
  <c r="D473" i="13" a="1"/>
  <c r="D473" i="13" s="1"/>
  <c r="G473" i="13" s="1"/>
  <c r="I473" i="13" s="1"/>
  <c r="K473" i="13"/>
  <c r="L473" i="13"/>
  <c r="M473" i="13"/>
  <c r="N473" i="13"/>
  <c r="O473" i="13"/>
  <c r="P473" i="13"/>
  <c r="Q473" i="13"/>
  <c r="R473" i="13"/>
  <c r="S473" i="13"/>
  <c r="T473" i="13"/>
  <c r="U473" i="13"/>
  <c r="V473" i="13"/>
  <c r="W473" i="13"/>
  <c r="X473" i="13"/>
  <c r="D474" i="13" a="1"/>
  <c r="D474" i="13" s="1"/>
  <c r="G474" i="13" s="1"/>
  <c r="I474" i="13" s="1"/>
  <c r="K474" i="13"/>
  <c r="L474" i="13"/>
  <c r="M474" i="13"/>
  <c r="N474" i="13"/>
  <c r="O474" i="13"/>
  <c r="P474" i="13"/>
  <c r="Q474" i="13"/>
  <c r="R474" i="13"/>
  <c r="S474" i="13"/>
  <c r="T474" i="13"/>
  <c r="U474" i="13"/>
  <c r="V474" i="13"/>
  <c r="W474" i="13"/>
  <c r="X474" i="13"/>
  <c r="D475" i="13" a="1"/>
  <c r="D475" i="13" s="1"/>
  <c r="G475" i="13" s="1"/>
  <c r="I475" i="13" s="1"/>
  <c r="K475" i="13"/>
  <c r="L475" i="13"/>
  <c r="M475" i="13"/>
  <c r="N475" i="13"/>
  <c r="O475" i="13"/>
  <c r="P475" i="13"/>
  <c r="Q475" i="13"/>
  <c r="R475" i="13"/>
  <c r="S475" i="13"/>
  <c r="T475" i="13"/>
  <c r="U475" i="13"/>
  <c r="V475" i="13"/>
  <c r="W475" i="13"/>
  <c r="X475" i="13"/>
  <c r="D476" i="13" a="1"/>
  <c r="D476" i="13" s="1"/>
  <c r="G476" i="13" s="1"/>
  <c r="I476" i="13" s="1"/>
  <c r="K476" i="13"/>
  <c r="L476" i="13"/>
  <c r="M476" i="13"/>
  <c r="N476" i="13"/>
  <c r="O476" i="13"/>
  <c r="P476" i="13"/>
  <c r="Q476" i="13"/>
  <c r="R476" i="13"/>
  <c r="S476" i="13"/>
  <c r="T476" i="13"/>
  <c r="U476" i="13"/>
  <c r="V476" i="13"/>
  <c r="W476" i="13"/>
  <c r="X476" i="13"/>
  <c r="D477" i="13" a="1"/>
  <c r="D477" i="13" s="1"/>
  <c r="G477" i="13" s="1"/>
  <c r="I477" i="13" s="1"/>
  <c r="K477" i="13"/>
  <c r="L477" i="13"/>
  <c r="M477" i="13"/>
  <c r="N477" i="13"/>
  <c r="O477" i="13"/>
  <c r="P477" i="13"/>
  <c r="Q477" i="13"/>
  <c r="R477" i="13"/>
  <c r="S477" i="13"/>
  <c r="T477" i="13"/>
  <c r="U477" i="13"/>
  <c r="V477" i="13"/>
  <c r="W477" i="13"/>
  <c r="X477" i="13"/>
  <c r="D478" i="13" a="1"/>
  <c r="D478" i="13" s="1"/>
  <c r="G478" i="13" s="1"/>
  <c r="I478" i="13" s="1"/>
  <c r="K478" i="13"/>
  <c r="L478" i="13"/>
  <c r="M478" i="13"/>
  <c r="N478" i="13"/>
  <c r="O478" i="13"/>
  <c r="P478" i="13"/>
  <c r="Q478" i="13"/>
  <c r="R478" i="13"/>
  <c r="S478" i="13"/>
  <c r="T478" i="13"/>
  <c r="U478" i="13"/>
  <c r="V478" i="13"/>
  <c r="W478" i="13"/>
  <c r="X478" i="13"/>
  <c r="D479" i="13" a="1"/>
  <c r="D479" i="13" s="1"/>
  <c r="G479" i="13" s="1"/>
  <c r="I479" i="13" s="1"/>
  <c r="K479" i="13"/>
  <c r="L479" i="13"/>
  <c r="M479" i="13"/>
  <c r="N479" i="13"/>
  <c r="O479" i="13"/>
  <c r="P479" i="13"/>
  <c r="Q479" i="13"/>
  <c r="R479" i="13"/>
  <c r="S479" i="13"/>
  <c r="T479" i="13"/>
  <c r="U479" i="13"/>
  <c r="V479" i="13"/>
  <c r="W479" i="13"/>
  <c r="X479" i="13"/>
  <c r="D480" i="13" a="1"/>
  <c r="D480" i="13" s="1"/>
  <c r="G480" i="13" s="1"/>
  <c r="I480" i="13" s="1"/>
  <c r="K480" i="13"/>
  <c r="L480" i="13"/>
  <c r="M480" i="13"/>
  <c r="N480" i="13"/>
  <c r="O480" i="13"/>
  <c r="P480" i="13"/>
  <c r="Q480" i="13"/>
  <c r="R480" i="13"/>
  <c r="S480" i="13"/>
  <c r="T480" i="13"/>
  <c r="U480" i="13"/>
  <c r="V480" i="13"/>
  <c r="W480" i="13"/>
  <c r="X480" i="13"/>
  <c r="D481" i="13" a="1"/>
  <c r="D481" i="13" s="1"/>
  <c r="G481" i="13" s="1"/>
  <c r="I481" i="13" s="1"/>
  <c r="K481" i="13"/>
  <c r="L481" i="13"/>
  <c r="M481" i="13"/>
  <c r="N481" i="13"/>
  <c r="O481" i="13"/>
  <c r="P481" i="13"/>
  <c r="Q481" i="13"/>
  <c r="R481" i="13"/>
  <c r="S481" i="13"/>
  <c r="T481" i="13"/>
  <c r="U481" i="13"/>
  <c r="V481" i="13"/>
  <c r="W481" i="13"/>
  <c r="X481" i="13"/>
  <c r="D482" i="13" a="1"/>
  <c r="D482" i="13" s="1"/>
  <c r="G482" i="13" s="1"/>
  <c r="I482" i="13" s="1"/>
  <c r="K482" i="13"/>
  <c r="L482" i="13"/>
  <c r="M482" i="13"/>
  <c r="N482" i="13"/>
  <c r="O482" i="13"/>
  <c r="P482" i="13"/>
  <c r="Q482" i="13"/>
  <c r="R482" i="13"/>
  <c r="S482" i="13"/>
  <c r="T482" i="13"/>
  <c r="U482" i="13"/>
  <c r="V482" i="13"/>
  <c r="W482" i="13"/>
  <c r="X482" i="13"/>
  <c r="D483" i="13" a="1"/>
  <c r="D483" i="13" s="1"/>
  <c r="G483" i="13" s="1"/>
  <c r="I483" i="13" s="1"/>
  <c r="K483" i="13"/>
  <c r="L483" i="13"/>
  <c r="M483" i="13"/>
  <c r="N483" i="13"/>
  <c r="O483" i="13"/>
  <c r="P483" i="13"/>
  <c r="Q483" i="13"/>
  <c r="R483" i="13"/>
  <c r="S483" i="13"/>
  <c r="T483" i="13"/>
  <c r="U483" i="13"/>
  <c r="V483" i="13"/>
  <c r="W483" i="13"/>
  <c r="X483" i="13"/>
  <c r="D484" i="13" a="1"/>
  <c r="D484" i="13" s="1"/>
  <c r="G484" i="13" s="1"/>
  <c r="I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s="1"/>
  <c r="G486" i="13" s="1"/>
  <c r="I486" i="13" s="1"/>
  <c r="K486" i="13"/>
  <c r="L486" i="13"/>
  <c r="M486" i="13"/>
  <c r="N486" i="13"/>
  <c r="O486" i="13"/>
  <c r="P486" i="13"/>
  <c r="Q486" i="13"/>
  <c r="R486" i="13"/>
  <c r="S486" i="13"/>
  <c r="T486" i="13"/>
  <c r="U486" i="13"/>
  <c r="V486" i="13"/>
  <c r="W486" i="13"/>
  <c r="X486" i="13"/>
  <c r="D487" i="13" a="1"/>
  <c r="D487" i="13" s="1"/>
  <c r="G487" i="13" s="1"/>
  <c r="I487" i="13" s="1"/>
  <c r="K487" i="13"/>
  <c r="L487" i="13"/>
  <c r="M487" i="13"/>
  <c r="N487" i="13"/>
  <c r="O487" i="13"/>
  <c r="P487" i="13"/>
  <c r="Q487" i="13"/>
  <c r="R487" i="13"/>
  <c r="S487" i="13"/>
  <c r="T487" i="13"/>
  <c r="U487" i="13"/>
  <c r="V487" i="13"/>
  <c r="W487" i="13"/>
  <c r="X487" i="13"/>
  <c r="D488" i="13" a="1"/>
  <c r="D488" i="13" s="1"/>
  <c r="G488" i="13" s="1"/>
  <c r="I488" i="13" s="1"/>
  <c r="K488" i="13"/>
  <c r="L488" i="13"/>
  <c r="M488" i="13"/>
  <c r="N488" i="13"/>
  <c r="O488" i="13"/>
  <c r="P488" i="13"/>
  <c r="Q488" i="13"/>
  <c r="R488" i="13"/>
  <c r="S488" i="13"/>
  <c r="T488" i="13"/>
  <c r="U488" i="13"/>
  <c r="V488" i="13"/>
  <c r="W488" i="13"/>
  <c r="X488" i="13"/>
  <c r="D489" i="13" a="1"/>
  <c r="D489" i="13" s="1"/>
  <c r="G489" i="13" s="1"/>
  <c r="I489" i="13" s="1"/>
  <c r="K489" i="13"/>
  <c r="L489" i="13"/>
  <c r="M489" i="13"/>
  <c r="N489" i="13"/>
  <c r="O489" i="13"/>
  <c r="P489" i="13"/>
  <c r="Q489" i="13"/>
  <c r="R489" i="13"/>
  <c r="S489" i="13"/>
  <c r="T489" i="13"/>
  <c r="U489" i="13"/>
  <c r="V489" i="13"/>
  <c r="W489" i="13"/>
  <c r="X489" i="13"/>
  <c r="D490" i="13" a="1"/>
  <c r="D490" i="13" s="1"/>
  <c r="G490" i="13" s="1"/>
  <c r="I490" i="13" s="1"/>
  <c r="K490" i="13"/>
  <c r="L490" i="13"/>
  <c r="M490" i="13"/>
  <c r="N490" i="13"/>
  <c r="O490" i="13"/>
  <c r="P490" i="13"/>
  <c r="Q490" i="13"/>
  <c r="R490" i="13"/>
  <c r="S490" i="13"/>
  <c r="T490" i="13"/>
  <c r="U490" i="13"/>
  <c r="V490" i="13"/>
  <c r="W490" i="13"/>
  <c r="X490" i="13"/>
  <c r="D491" i="13" a="1"/>
  <c r="D491" i="13" s="1"/>
  <c r="G491" i="13" s="1"/>
  <c r="I491" i="13" s="1"/>
  <c r="K491" i="13"/>
  <c r="L491" i="13"/>
  <c r="M491" i="13"/>
  <c r="N491" i="13"/>
  <c r="O491" i="13"/>
  <c r="P491" i="13"/>
  <c r="Q491" i="13"/>
  <c r="R491" i="13"/>
  <c r="S491" i="13"/>
  <c r="T491" i="13"/>
  <c r="U491" i="13"/>
  <c r="V491" i="13"/>
  <c r="W491" i="13"/>
  <c r="X491" i="13"/>
  <c r="D492" i="13" a="1"/>
  <c r="D492" i="13" s="1"/>
  <c r="G492" i="13" s="1"/>
  <c r="I492" i="13" s="1"/>
  <c r="K492" i="13"/>
  <c r="L492" i="13"/>
  <c r="M492" i="13"/>
  <c r="N492" i="13"/>
  <c r="O492" i="13"/>
  <c r="P492" i="13"/>
  <c r="Q492" i="13"/>
  <c r="R492" i="13"/>
  <c r="S492" i="13"/>
  <c r="T492" i="13"/>
  <c r="U492" i="13"/>
  <c r="V492" i="13"/>
  <c r="W492" i="13"/>
  <c r="X492" i="13"/>
  <c r="D493" i="13" a="1"/>
  <c r="D493" i="13" s="1"/>
  <c r="G493" i="13" s="1"/>
  <c r="I493" i="13" s="1"/>
  <c r="K493" i="13"/>
  <c r="L493" i="13"/>
  <c r="M493" i="13"/>
  <c r="N493" i="13"/>
  <c r="O493" i="13"/>
  <c r="P493" i="13"/>
  <c r="Q493" i="13"/>
  <c r="R493" i="13"/>
  <c r="S493" i="13"/>
  <c r="T493" i="13"/>
  <c r="U493" i="13"/>
  <c r="V493" i="13"/>
  <c r="W493" i="13"/>
  <c r="X493" i="13"/>
  <c r="D494" i="13" a="1"/>
  <c r="D494" i="13" s="1"/>
  <c r="G494" i="13" s="1"/>
  <c r="I494" i="13" s="1"/>
  <c r="K494" i="13"/>
  <c r="L494" i="13"/>
  <c r="M494" i="13"/>
  <c r="N494" i="13"/>
  <c r="O494" i="13"/>
  <c r="P494" i="13"/>
  <c r="Q494" i="13"/>
  <c r="R494" i="13"/>
  <c r="S494" i="13"/>
  <c r="T494" i="13"/>
  <c r="U494" i="13"/>
  <c r="V494" i="13"/>
  <c r="W494" i="13"/>
  <c r="X494" i="13"/>
  <c r="D495" i="13" a="1"/>
  <c r="D495" i="13" s="1"/>
  <c r="G495" i="13" s="1"/>
  <c r="I495" i="13" s="1"/>
  <c r="K495" i="13"/>
  <c r="L495" i="13"/>
  <c r="M495" i="13"/>
  <c r="N495" i="13"/>
  <c r="O495" i="13"/>
  <c r="P495" i="13"/>
  <c r="Q495" i="13"/>
  <c r="R495" i="13"/>
  <c r="S495" i="13"/>
  <c r="T495" i="13"/>
  <c r="U495" i="13"/>
  <c r="V495" i="13"/>
  <c r="W495" i="13"/>
  <c r="X495" i="13"/>
  <c r="D496" i="13" a="1"/>
  <c r="D496" i="13" s="1"/>
  <c r="G496" i="13" s="1"/>
  <c r="I496" i="13" s="1"/>
  <c r="K496" i="13"/>
  <c r="L496" i="13"/>
  <c r="M496" i="13"/>
  <c r="N496" i="13"/>
  <c r="O496" i="13"/>
  <c r="P496" i="13"/>
  <c r="Q496" i="13"/>
  <c r="R496" i="13"/>
  <c r="S496" i="13"/>
  <c r="T496" i="13"/>
  <c r="U496" i="13"/>
  <c r="V496" i="13"/>
  <c r="W496" i="13"/>
  <c r="X496" i="13"/>
  <c r="D497" i="13" a="1"/>
  <c r="D497" i="13" s="1"/>
  <c r="G497" i="13" s="1"/>
  <c r="I497" i="13" s="1"/>
  <c r="K497" i="13"/>
  <c r="L497" i="13"/>
  <c r="M497" i="13"/>
  <c r="N497" i="13"/>
  <c r="O497" i="13"/>
  <c r="P497" i="13"/>
  <c r="Q497" i="13"/>
  <c r="R497" i="13"/>
  <c r="S497" i="13"/>
  <c r="T497" i="13"/>
  <c r="U497" i="13"/>
  <c r="V497" i="13"/>
  <c r="W497" i="13"/>
  <c r="X497" i="13"/>
  <c r="D498" i="13" a="1"/>
  <c r="D498" i="13" s="1"/>
  <c r="G498" i="13" s="1"/>
  <c r="I498" i="13" s="1"/>
  <c r="K498" i="13"/>
  <c r="L498" i="13"/>
  <c r="M498" i="13"/>
  <c r="N498" i="13"/>
  <c r="O498" i="13"/>
  <c r="P498" i="13"/>
  <c r="Q498" i="13"/>
  <c r="R498" i="13"/>
  <c r="S498" i="13"/>
  <c r="T498" i="13"/>
  <c r="U498" i="13"/>
  <c r="V498" i="13"/>
  <c r="W498" i="13"/>
  <c r="X498" i="13"/>
  <c r="D499" i="13" a="1"/>
  <c r="D499" i="13" s="1"/>
  <c r="G499" i="13" s="1"/>
  <c r="I499" i="13" s="1"/>
  <c r="K499" i="13"/>
  <c r="L499" i="13"/>
  <c r="M499" i="13"/>
  <c r="N499" i="13"/>
  <c r="O499" i="13"/>
  <c r="P499" i="13"/>
  <c r="Q499" i="13"/>
  <c r="R499" i="13"/>
  <c r="S499" i="13"/>
  <c r="T499" i="13"/>
  <c r="U499" i="13"/>
  <c r="V499" i="13"/>
  <c r="W499" i="13"/>
  <c r="X499" i="13"/>
  <c r="D500" i="13" a="1"/>
  <c r="D500" i="13" s="1"/>
  <c r="G500" i="13" s="1"/>
  <c r="I500" i="13" s="1"/>
  <c r="K500" i="13"/>
  <c r="L500" i="13"/>
  <c r="M500" i="13"/>
  <c r="N500" i="13"/>
  <c r="O500" i="13"/>
  <c r="P500" i="13"/>
  <c r="Q500" i="13"/>
  <c r="R500" i="13"/>
  <c r="S500" i="13"/>
  <c r="T500" i="13"/>
  <c r="U500" i="13"/>
  <c r="V500" i="13"/>
  <c r="W500" i="13"/>
  <c r="X500" i="13"/>
  <c r="D501" i="13" a="1"/>
  <c r="D501" i="13" s="1"/>
  <c r="G501" i="13" s="1"/>
  <c r="I501" i="13" s="1"/>
  <c r="K501" i="13"/>
  <c r="L501" i="13"/>
  <c r="M501" i="13"/>
  <c r="N501" i="13"/>
  <c r="O501" i="13"/>
  <c r="P501" i="13"/>
  <c r="Q501" i="13"/>
  <c r="R501" i="13"/>
  <c r="S501" i="13"/>
  <c r="T501" i="13"/>
  <c r="U501" i="13"/>
  <c r="V501" i="13"/>
  <c r="W501" i="13"/>
  <c r="X501" i="13"/>
  <c r="D502" i="13" a="1"/>
  <c r="D502" i="13" s="1"/>
  <c r="G502" i="13" s="1"/>
  <c r="I502" i="13" s="1"/>
  <c r="K502" i="13"/>
  <c r="L502" i="13"/>
  <c r="M502" i="13"/>
  <c r="N502" i="13"/>
  <c r="O502" i="13"/>
  <c r="P502" i="13"/>
  <c r="Q502" i="13"/>
  <c r="R502" i="13"/>
  <c r="S502" i="13"/>
  <c r="T502" i="13"/>
  <c r="U502" i="13"/>
  <c r="V502" i="13"/>
  <c r="W502" i="13"/>
  <c r="X502" i="13"/>
  <c r="D503" i="13" a="1"/>
  <c r="D503" i="13" s="1"/>
  <c r="G503" i="13" s="1"/>
  <c r="I503" i="13" s="1"/>
  <c r="K503" i="13"/>
  <c r="L503" i="13"/>
  <c r="M503" i="13"/>
  <c r="N503" i="13"/>
  <c r="O503" i="13"/>
  <c r="P503" i="13"/>
  <c r="Q503" i="13"/>
  <c r="R503" i="13"/>
  <c r="S503" i="13"/>
  <c r="T503" i="13"/>
  <c r="U503" i="13"/>
  <c r="V503" i="13"/>
  <c r="W503" i="13"/>
  <c r="X503" i="13"/>
  <c r="D504" i="13" a="1"/>
  <c r="D504" i="13" s="1"/>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s="1"/>
  <c r="K505" i="13"/>
  <c r="L505" i="13"/>
  <c r="M505" i="13"/>
  <c r="N505" i="13"/>
  <c r="O505" i="13"/>
  <c r="P505" i="13"/>
  <c r="Q505" i="13"/>
  <c r="R505" i="13"/>
  <c r="S505" i="13"/>
  <c r="T505" i="13"/>
  <c r="U505" i="13"/>
  <c r="V505" i="13"/>
  <c r="W505" i="13"/>
  <c r="X505" i="13"/>
  <c r="D506" i="13" a="1"/>
  <c r="D506" i="13" s="1"/>
  <c r="G506" i="13" s="1"/>
  <c r="I506" i="13" s="1"/>
  <c r="H506" i="13" a="1"/>
  <c r="H506" i="13" s="1"/>
  <c r="K506" i="13"/>
  <c r="L506" i="13"/>
  <c r="M506" i="13"/>
  <c r="N506" i="13"/>
  <c r="O506" i="13"/>
  <c r="P506" i="13"/>
  <c r="Q506" i="13"/>
  <c r="R506" i="13"/>
  <c r="S506" i="13"/>
  <c r="T506" i="13"/>
  <c r="U506" i="13"/>
  <c r="V506" i="13"/>
  <c r="W506" i="13"/>
  <c r="X506" i="13"/>
  <c r="D507" i="13" a="1"/>
  <c r="D507" i="13" s="1"/>
  <c r="G507" i="13" s="1"/>
  <c r="I507" i="13" s="1"/>
  <c r="H507" i="13" a="1"/>
  <c r="H507" i="13" s="1"/>
  <c r="K507" i="13"/>
  <c r="L507" i="13"/>
  <c r="M507" i="13"/>
  <c r="N507" i="13"/>
  <c r="O507" i="13"/>
  <c r="P507" i="13"/>
  <c r="Q507" i="13"/>
  <c r="R507" i="13"/>
  <c r="S507" i="13"/>
  <c r="T507" i="13"/>
  <c r="U507" i="13"/>
  <c r="V507" i="13"/>
  <c r="W507" i="13"/>
  <c r="X507" i="13"/>
  <c r="D508" i="13" a="1"/>
  <c r="D508" i="13" s="1"/>
  <c r="G508" i="13" s="1"/>
  <c r="I508" i="13" s="1"/>
  <c r="K508" i="13"/>
  <c r="L508" i="13"/>
  <c r="M508" i="13"/>
  <c r="N508" i="13"/>
  <c r="O508" i="13"/>
  <c r="P508" i="13"/>
  <c r="Q508" i="13"/>
  <c r="R508" i="13"/>
  <c r="S508" i="13"/>
  <c r="T508" i="13"/>
  <c r="U508" i="13"/>
  <c r="V508" i="13"/>
  <c r="W508" i="13"/>
  <c r="X508" i="13"/>
  <c r="D509" i="13" a="1"/>
  <c r="D509" i="13" s="1"/>
  <c r="G509" i="13" s="1"/>
  <c r="I509" i="13" s="1"/>
  <c r="K509" i="13"/>
  <c r="L509" i="13"/>
  <c r="M509" i="13"/>
  <c r="N509" i="13"/>
  <c r="O509" i="13"/>
  <c r="P509" i="13"/>
  <c r="Q509" i="13"/>
  <c r="R509" i="13"/>
  <c r="S509" i="13"/>
  <c r="T509" i="13"/>
  <c r="U509" i="13"/>
  <c r="V509" i="13"/>
  <c r="W509" i="13"/>
  <c r="X509" i="13"/>
  <c r="D510" i="13" a="1"/>
  <c r="D510" i="13" s="1"/>
  <c r="G510" i="13" s="1"/>
  <c r="I510" i="13" s="1"/>
  <c r="K510" i="13"/>
  <c r="L510" i="13"/>
  <c r="M510" i="13"/>
  <c r="N510" i="13"/>
  <c r="O510" i="13"/>
  <c r="P510" i="13"/>
  <c r="Q510" i="13"/>
  <c r="R510" i="13"/>
  <c r="S510" i="13"/>
  <c r="T510" i="13"/>
  <c r="U510" i="13"/>
  <c r="V510" i="13"/>
  <c r="W510" i="13"/>
  <c r="X510" i="13"/>
  <c r="D511" i="13" a="1"/>
  <c r="D511" i="13" s="1"/>
  <c r="G511" i="13" s="1"/>
  <c r="I511" i="13" s="1"/>
  <c r="H511" i="13" a="1"/>
  <c r="H511" i="13" s="1"/>
  <c r="K511" i="13"/>
  <c r="L511" i="13"/>
  <c r="M511" i="13"/>
  <c r="N511" i="13"/>
  <c r="O511" i="13"/>
  <c r="P511" i="13"/>
  <c r="Q511" i="13"/>
  <c r="R511" i="13"/>
  <c r="S511" i="13"/>
  <c r="T511" i="13"/>
  <c r="U511" i="13"/>
  <c r="V511" i="13"/>
  <c r="W511" i="13"/>
  <c r="X511" i="13"/>
  <c r="D512" i="13" a="1"/>
  <c r="D512" i="13" s="1"/>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s="1"/>
  <c r="G516" i="13" s="1"/>
  <c r="I516" i="13" s="1"/>
  <c r="K516" i="13"/>
  <c r="L516" i="13"/>
  <c r="M516" i="13"/>
  <c r="N516" i="13"/>
  <c r="O516" i="13"/>
  <c r="P516" i="13"/>
  <c r="Q516" i="13"/>
  <c r="R516" i="13"/>
  <c r="S516" i="13"/>
  <c r="T516" i="13"/>
  <c r="U516" i="13"/>
  <c r="V516" i="13"/>
  <c r="W516" i="13"/>
  <c r="X516" i="13"/>
  <c r="D517" i="13" a="1"/>
  <c r="D517" i="13" s="1"/>
  <c r="G517" i="13" s="1"/>
  <c r="I517" i="13" s="1"/>
  <c r="H517" i="13" a="1"/>
  <c r="H517" i="13" s="1"/>
  <c r="K517" i="13"/>
  <c r="L517" i="13"/>
  <c r="M517" i="13"/>
  <c r="N517" i="13"/>
  <c r="O517" i="13"/>
  <c r="P517" i="13"/>
  <c r="Q517" i="13"/>
  <c r="R517" i="13"/>
  <c r="S517" i="13"/>
  <c r="T517" i="13"/>
  <c r="U517" i="13"/>
  <c r="V517" i="13"/>
  <c r="W517" i="13"/>
  <c r="X517" i="13"/>
  <c r="D518" i="13" a="1"/>
  <c r="D518" i="13" s="1"/>
  <c r="G518" i="13" s="1"/>
  <c r="I518" i="13" s="1"/>
  <c r="K518" i="13"/>
  <c r="L518" i="13"/>
  <c r="M518" i="13"/>
  <c r="N518" i="13"/>
  <c r="O518" i="13"/>
  <c r="P518" i="13"/>
  <c r="Q518" i="13"/>
  <c r="R518" i="13"/>
  <c r="S518" i="13"/>
  <c r="T518" i="13"/>
  <c r="U518" i="13"/>
  <c r="V518" i="13"/>
  <c r="W518" i="13"/>
  <c r="X518" i="13"/>
  <c r="D519" i="13" a="1"/>
  <c r="D519" i="13" s="1"/>
  <c r="G519" i="13" s="1"/>
  <c r="I519" i="13" s="1"/>
  <c r="K519" i="13"/>
  <c r="L519" i="13"/>
  <c r="M519" i="13"/>
  <c r="N519" i="13"/>
  <c r="O519" i="13"/>
  <c r="P519" i="13"/>
  <c r="Q519" i="13"/>
  <c r="R519" i="13"/>
  <c r="S519" i="13"/>
  <c r="T519" i="13"/>
  <c r="U519" i="13"/>
  <c r="V519" i="13"/>
  <c r="W519" i="13"/>
  <c r="X519" i="13"/>
  <c r="D520" i="13" a="1"/>
  <c r="D520" i="13" s="1"/>
  <c r="G520" i="13" s="1"/>
  <c r="I520" i="13" s="1"/>
  <c r="K520" i="13"/>
  <c r="L520" i="13"/>
  <c r="M520" i="13"/>
  <c r="N520" i="13"/>
  <c r="O520" i="13"/>
  <c r="P520" i="13"/>
  <c r="Q520" i="13"/>
  <c r="R520" i="13"/>
  <c r="S520" i="13"/>
  <c r="T520" i="13"/>
  <c r="U520" i="13"/>
  <c r="V520" i="13"/>
  <c r="W520" i="13"/>
  <c r="X520" i="13"/>
  <c r="D521" i="13" a="1"/>
  <c r="D521" i="13" s="1"/>
  <c r="G521" i="13" s="1"/>
  <c r="I521" i="13" s="1"/>
  <c r="K521" i="13"/>
  <c r="L521" i="13"/>
  <c r="M521" i="13"/>
  <c r="N521" i="13"/>
  <c r="O521" i="13"/>
  <c r="P521" i="13"/>
  <c r="Q521" i="13"/>
  <c r="R521" i="13"/>
  <c r="S521" i="13"/>
  <c r="T521" i="13"/>
  <c r="U521" i="13"/>
  <c r="V521" i="13"/>
  <c r="W521" i="13"/>
  <c r="X521" i="13"/>
  <c r="D522" i="13" a="1"/>
  <c r="D522" i="13" s="1"/>
  <c r="G522" i="13" s="1"/>
  <c r="I522" i="13" s="1"/>
  <c r="K522" i="13"/>
  <c r="L522" i="13"/>
  <c r="M522" i="13"/>
  <c r="N522" i="13"/>
  <c r="O522" i="13"/>
  <c r="P522" i="13"/>
  <c r="Q522" i="13"/>
  <c r="R522" i="13"/>
  <c r="S522" i="13"/>
  <c r="T522" i="13"/>
  <c r="U522" i="13"/>
  <c r="V522" i="13"/>
  <c r="W522" i="13"/>
  <c r="X522" i="13"/>
  <c r="D523" i="13" a="1"/>
  <c r="D523" i="13" s="1"/>
  <c r="G523" i="13" s="1"/>
  <c r="I523" i="13" s="1"/>
  <c r="H523" i="13" a="1"/>
  <c r="H523" i="13" s="1"/>
  <c r="K523" i="13"/>
  <c r="L523" i="13"/>
  <c r="M523" i="13"/>
  <c r="N523" i="13"/>
  <c r="O523" i="13"/>
  <c r="P523" i="13"/>
  <c r="Q523" i="13"/>
  <c r="R523" i="13"/>
  <c r="S523" i="13"/>
  <c r="T523" i="13"/>
  <c r="U523" i="13"/>
  <c r="V523" i="13"/>
  <c r="W523" i="13"/>
  <c r="X523" i="13"/>
  <c r="D524" i="13" a="1"/>
  <c r="D524" i="13" s="1"/>
  <c r="G524" i="13" s="1"/>
  <c r="I524" i="13" s="1"/>
  <c r="H524" i="13" a="1"/>
  <c r="H524" i="13" s="1"/>
  <c r="K524" i="13"/>
  <c r="L524" i="13"/>
  <c r="M524" i="13"/>
  <c r="N524" i="13"/>
  <c r="O524" i="13"/>
  <c r="P524" i="13"/>
  <c r="Q524" i="13"/>
  <c r="R524" i="13"/>
  <c r="S524" i="13"/>
  <c r="T524" i="13"/>
  <c r="U524" i="13"/>
  <c r="V524" i="13"/>
  <c r="W524" i="13"/>
  <c r="X524" i="13"/>
  <c r="D525" i="13" a="1"/>
  <c r="D525" i="13" s="1"/>
  <c r="G525" i="13" s="1"/>
  <c r="I525" i="13" s="1"/>
  <c r="H525" i="13" a="1"/>
  <c r="H525" i="13" s="1"/>
  <c r="K525" i="13"/>
  <c r="L525" i="13"/>
  <c r="M525" i="13"/>
  <c r="N525" i="13"/>
  <c r="O525" i="13"/>
  <c r="P525" i="13"/>
  <c r="Q525" i="13"/>
  <c r="R525" i="13"/>
  <c r="S525" i="13"/>
  <c r="T525" i="13"/>
  <c r="U525" i="13"/>
  <c r="V525" i="13"/>
  <c r="W525" i="13"/>
  <c r="X525" i="13"/>
  <c r="D526" i="13" a="1"/>
  <c r="D526" i="13" s="1"/>
  <c r="G526" i="13" s="1"/>
  <c r="I526" i="13" s="1"/>
  <c r="H526" i="13" a="1"/>
  <c r="H526" i="13" s="1"/>
  <c r="K526" i="13"/>
  <c r="L526" i="13"/>
  <c r="M526" i="13"/>
  <c r="N526" i="13"/>
  <c r="O526" i="13"/>
  <c r="P526" i="13"/>
  <c r="Q526" i="13"/>
  <c r="R526" i="13"/>
  <c r="S526" i="13"/>
  <c r="T526" i="13"/>
  <c r="U526" i="13"/>
  <c r="V526" i="13"/>
  <c r="W526" i="13"/>
  <c r="X526" i="13"/>
  <c r="D527" i="13" a="1"/>
  <c r="D527" i="13" s="1"/>
  <c r="G527" i="13" s="1"/>
  <c r="I527" i="13" s="1"/>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K529" i="13"/>
  <c r="L529" i="13"/>
  <c r="M529" i="13"/>
  <c r="N529" i="13"/>
  <c r="O529" i="13"/>
  <c r="P529" i="13"/>
  <c r="Q529" i="13"/>
  <c r="R529" i="13"/>
  <c r="S529" i="13"/>
  <c r="T529" i="13"/>
  <c r="U529" i="13"/>
  <c r="V529" i="13"/>
  <c r="W529" i="13"/>
  <c r="X529" i="13"/>
  <c r="D530" i="13" a="1"/>
  <c r="D530" i="13" s="1"/>
  <c r="G530" i="13" s="1"/>
  <c r="I530" i="13" s="1"/>
  <c r="K530" i="13"/>
  <c r="L530" i="13"/>
  <c r="M530" i="13"/>
  <c r="N530" i="13"/>
  <c r="O530" i="13"/>
  <c r="P530" i="13"/>
  <c r="Q530" i="13"/>
  <c r="R530" i="13"/>
  <c r="S530" i="13"/>
  <c r="T530" i="13"/>
  <c r="U530" i="13"/>
  <c r="V530" i="13"/>
  <c r="W530" i="13"/>
  <c r="X530" i="13"/>
  <c r="D531" i="13" a="1"/>
  <c r="D531" i="13" s="1"/>
  <c r="G531" i="13" s="1"/>
  <c r="I531" i="13" s="1"/>
  <c r="K531" i="13"/>
  <c r="L531" i="13"/>
  <c r="M531" i="13"/>
  <c r="N531" i="13"/>
  <c r="O531" i="13"/>
  <c r="P531" i="13"/>
  <c r="Q531" i="13"/>
  <c r="R531" i="13"/>
  <c r="S531" i="13"/>
  <c r="T531" i="13"/>
  <c r="U531" i="13"/>
  <c r="V531" i="13"/>
  <c r="W531" i="13"/>
  <c r="X531" i="13"/>
  <c r="D532" i="13" a="1"/>
  <c r="D532" i="13" s="1"/>
  <c r="G532" i="13" s="1"/>
  <c r="I532" i="13" s="1"/>
  <c r="H532" i="13" a="1"/>
  <c r="H532" i="13" s="1"/>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s="1"/>
  <c r="G534" i="13" s="1"/>
  <c r="I534" i="13" s="1"/>
  <c r="K534" i="13"/>
  <c r="L534" i="13"/>
  <c r="M534" i="13"/>
  <c r="N534" i="13"/>
  <c r="O534" i="13"/>
  <c r="P534" i="13"/>
  <c r="Q534" i="13"/>
  <c r="R534" i="13"/>
  <c r="S534" i="13"/>
  <c r="T534" i="13"/>
  <c r="U534" i="13"/>
  <c r="V534" i="13"/>
  <c r="W534" i="13"/>
  <c r="X534" i="13"/>
  <c r="D535" i="13" a="1"/>
  <c r="D535" i="13" s="1"/>
  <c r="G535" i="13" s="1"/>
  <c r="I535" i="13" s="1"/>
  <c r="K535" i="13"/>
  <c r="L535" i="13"/>
  <c r="M535" i="13"/>
  <c r="N535" i="13"/>
  <c r="O535" i="13"/>
  <c r="P535" i="13"/>
  <c r="Q535" i="13"/>
  <c r="R535" i="13"/>
  <c r="S535" i="13"/>
  <c r="T535" i="13"/>
  <c r="U535" i="13"/>
  <c r="V535" i="13"/>
  <c r="W535" i="13"/>
  <c r="X535" i="13"/>
  <c r="D536" i="13" a="1"/>
  <c r="D536" i="13" s="1"/>
  <c r="G536" i="13" s="1"/>
  <c r="I536" i="13" s="1"/>
  <c r="K536" i="13"/>
  <c r="L536" i="13"/>
  <c r="M536" i="13"/>
  <c r="N536" i="13"/>
  <c r="O536" i="13"/>
  <c r="P536" i="13"/>
  <c r="Q536" i="13"/>
  <c r="R536" i="13"/>
  <c r="S536" i="13"/>
  <c r="T536" i="13"/>
  <c r="U536" i="13"/>
  <c r="V536" i="13"/>
  <c r="W536" i="13"/>
  <c r="X536" i="13"/>
  <c r="D537" i="13" a="1"/>
  <c r="D537" i="13" s="1"/>
  <c r="G537" i="13" s="1"/>
  <c r="I537" i="13" s="1"/>
  <c r="K537" i="13"/>
  <c r="L537" i="13"/>
  <c r="M537" i="13"/>
  <c r="N537" i="13"/>
  <c r="O537" i="13"/>
  <c r="P537" i="13"/>
  <c r="Q537" i="13"/>
  <c r="R537" i="13"/>
  <c r="S537" i="13"/>
  <c r="T537" i="13"/>
  <c r="U537" i="13"/>
  <c r="V537" i="13"/>
  <c r="W537" i="13"/>
  <c r="X537" i="13"/>
  <c r="D538" i="13" a="1"/>
  <c r="D538" i="13" s="1"/>
  <c r="G538" i="13" s="1"/>
  <c r="I538" i="13" s="1"/>
  <c r="K538" i="13"/>
  <c r="L538" i="13"/>
  <c r="M538" i="13"/>
  <c r="N538" i="13"/>
  <c r="O538" i="13"/>
  <c r="P538" i="13"/>
  <c r="Q538" i="13"/>
  <c r="R538" i="13"/>
  <c r="S538" i="13"/>
  <c r="T538" i="13"/>
  <c r="U538" i="13"/>
  <c r="V538" i="13"/>
  <c r="W538" i="13"/>
  <c r="X538" i="13"/>
  <c r="D539" i="13" a="1"/>
  <c r="D539" i="13" s="1"/>
  <c r="G539" i="13" s="1"/>
  <c r="I539" i="13" s="1"/>
  <c r="K539" i="13"/>
  <c r="L539" i="13"/>
  <c r="M539" i="13"/>
  <c r="N539" i="13"/>
  <c r="O539" i="13"/>
  <c r="P539" i="13"/>
  <c r="Q539" i="13"/>
  <c r="R539" i="13"/>
  <c r="S539" i="13"/>
  <c r="T539" i="13"/>
  <c r="U539" i="13"/>
  <c r="V539" i="13"/>
  <c r="W539" i="13"/>
  <c r="X539" i="13"/>
  <c r="D540" i="13" a="1"/>
  <c r="D540" i="13" s="1"/>
  <c r="G540" i="13" s="1"/>
  <c r="I540" i="13" s="1"/>
  <c r="K540" i="13"/>
  <c r="L540" i="13"/>
  <c r="M540" i="13"/>
  <c r="N540" i="13"/>
  <c r="O540" i="13"/>
  <c r="P540" i="13"/>
  <c r="Q540" i="13"/>
  <c r="R540" i="13"/>
  <c r="S540" i="13"/>
  <c r="T540" i="13"/>
  <c r="U540" i="13"/>
  <c r="V540" i="13"/>
  <c r="W540" i="13"/>
  <c r="X540" i="13"/>
  <c r="D541" i="13" a="1"/>
  <c r="D541" i="13" s="1"/>
  <c r="G541" i="13" s="1"/>
  <c r="I541" i="13" s="1"/>
  <c r="K541" i="13"/>
  <c r="L541" i="13"/>
  <c r="M541" i="13"/>
  <c r="N541" i="13"/>
  <c r="O541" i="13"/>
  <c r="P541" i="13"/>
  <c r="Q541" i="13"/>
  <c r="R541" i="13"/>
  <c r="S541" i="13"/>
  <c r="T541" i="13"/>
  <c r="U541" i="13"/>
  <c r="V541" i="13"/>
  <c r="W541" i="13"/>
  <c r="X541" i="13"/>
  <c r="D542" i="13" a="1"/>
  <c r="D542" i="13" s="1"/>
  <c r="G542" i="13" s="1"/>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s="1"/>
  <c r="G548" i="13" s="1"/>
  <c r="I548" i="13" s="1"/>
  <c r="H548" i="13" a="1"/>
  <c r="H548" i="13" s="1"/>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s="1"/>
  <c r="G551" i="13" s="1"/>
  <c r="I551" i="13" s="1"/>
  <c r="K551" i="13"/>
  <c r="L551" i="13"/>
  <c r="M551" i="13"/>
  <c r="N551" i="13"/>
  <c r="O551" i="13"/>
  <c r="P551" i="13"/>
  <c r="Q551" i="13"/>
  <c r="R551" i="13"/>
  <c r="S551" i="13"/>
  <c r="T551" i="13"/>
  <c r="U551" i="13"/>
  <c r="V551" i="13"/>
  <c r="W551" i="13"/>
  <c r="X551" i="13"/>
  <c r="D552" i="13" a="1"/>
  <c r="D552" i="13" s="1"/>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s="1"/>
  <c r="G554" i="13" s="1"/>
  <c r="I554" i="13" s="1"/>
  <c r="H554" i="13" a="1"/>
  <c r="H554" i="13" s="1"/>
  <c r="K554" i="13"/>
  <c r="L554" i="13"/>
  <c r="M554" i="13"/>
  <c r="N554" i="13"/>
  <c r="O554" i="13"/>
  <c r="P554" i="13"/>
  <c r="Q554" i="13"/>
  <c r="R554" i="13"/>
  <c r="S554" i="13"/>
  <c r="T554" i="13"/>
  <c r="U554" i="13"/>
  <c r="V554" i="13"/>
  <c r="W554" i="13"/>
  <c r="X554" i="13"/>
  <c r="D555" i="13" a="1"/>
  <c r="D555" i="13" s="1"/>
  <c r="G555" i="13" s="1"/>
  <c r="I555" i="13" s="1"/>
  <c r="K555" i="13"/>
  <c r="L555" i="13"/>
  <c r="M555" i="13"/>
  <c r="N555" i="13"/>
  <c r="O555" i="13"/>
  <c r="P555" i="13"/>
  <c r="Q555" i="13"/>
  <c r="R555" i="13"/>
  <c r="S555" i="13"/>
  <c r="T555" i="13"/>
  <c r="U555" i="13"/>
  <c r="V555" i="13"/>
  <c r="W555" i="13"/>
  <c r="X555" i="13"/>
  <c r="D556" i="13" a="1"/>
  <c r="D556" i="13" s="1"/>
  <c r="G556" i="13" s="1"/>
  <c r="I556" i="13" s="1"/>
  <c r="K556" i="13"/>
  <c r="L556" i="13"/>
  <c r="M556" i="13"/>
  <c r="N556" i="13"/>
  <c r="O556" i="13"/>
  <c r="P556" i="13"/>
  <c r="Q556" i="13"/>
  <c r="R556" i="13"/>
  <c r="S556" i="13"/>
  <c r="T556" i="13"/>
  <c r="U556" i="13"/>
  <c r="V556" i="13"/>
  <c r="W556" i="13"/>
  <c r="X556" i="13"/>
  <c r="D557" i="13" a="1"/>
  <c r="D557" i="13" s="1"/>
  <c r="G557" i="13" s="1"/>
  <c r="I557" i="13" s="1"/>
  <c r="K557" i="13"/>
  <c r="L557" i="13"/>
  <c r="M557" i="13"/>
  <c r="N557" i="13"/>
  <c r="O557" i="13"/>
  <c r="P557" i="13"/>
  <c r="Q557" i="13"/>
  <c r="R557" i="13"/>
  <c r="S557" i="13"/>
  <c r="T557" i="13"/>
  <c r="U557" i="13"/>
  <c r="V557" i="13"/>
  <c r="W557" i="13"/>
  <c r="X557" i="13"/>
  <c r="D558" i="13" a="1"/>
  <c r="D558" i="13" s="1"/>
  <c r="G558" i="13" s="1"/>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s="1"/>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s="1"/>
  <c r="G566" i="13" s="1"/>
  <c r="I566" i="13" s="1"/>
  <c r="K566" i="13"/>
  <c r="L566" i="13"/>
  <c r="M566" i="13"/>
  <c r="N566" i="13"/>
  <c r="O566" i="13"/>
  <c r="P566" i="13"/>
  <c r="Q566" i="13"/>
  <c r="R566" i="13"/>
  <c r="S566" i="13"/>
  <c r="T566" i="13"/>
  <c r="U566" i="13"/>
  <c r="V566" i="13"/>
  <c r="W566" i="13"/>
  <c r="X566" i="13"/>
  <c r="D567" i="13" a="1"/>
  <c r="D567" i="13" s="1"/>
  <c r="G567" i="13" s="1"/>
  <c r="I567" i="13" s="1"/>
  <c r="K567" i="13"/>
  <c r="L567" i="13"/>
  <c r="M567" i="13"/>
  <c r="N567" i="13"/>
  <c r="O567" i="13"/>
  <c r="P567" i="13"/>
  <c r="Q567" i="13"/>
  <c r="R567" i="13"/>
  <c r="S567" i="13"/>
  <c r="T567" i="13"/>
  <c r="U567" i="13"/>
  <c r="V567" i="13"/>
  <c r="W567" i="13"/>
  <c r="X567" i="13"/>
  <c r="D568" i="13" a="1"/>
  <c r="D568" i="13" s="1"/>
  <c r="G568" i="13" s="1"/>
  <c r="I568" i="13" s="1"/>
  <c r="K568" i="13"/>
  <c r="L568" i="13"/>
  <c r="M568" i="13"/>
  <c r="N568" i="13"/>
  <c r="O568" i="13"/>
  <c r="P568" i="13"/>
  <c r="Q568" i="13"/>
  <c r="R568" i="13"/>
  <c r="S568" i="13"/>
  <c r="T568" i="13"/>
  <c r="U568" i="13"/>
  <c r="V568" i="13"/>
  <c r="W568" i="13"/>
  <c r="X568" i="13"/>
  <c r="D569" i="13" a="1"/>
  <c r="D569" i="13" s="1"/>
  <c r="G569" i="13" s="1"/>
  <c r="I569" i="13" s="1"/>
  <c r="H569" i="13" a="1"/>
  <c r="H569" i="13" s="1"/>
  <c r="K569" i="13"/>
  <c r="L569" i="13"/>
  <c r="M569" i="13"/>
  <c r="N569" i="13"/>
  <c r="O569" i="13"/>
  <c r="P569" i="13"/>
  <c r="Q569" i="13"/>
  <c r="R569" i="13"/>
  <c r="S569" i="13"/>
  <c r="T569" i="13"/>
  <c r="U569" i="13"/>
  <c r="V569" i="13"/>
  <c r="W569" i="13"/>
  <c r="X569" i="13"/>
  <c r="D570" i="13" a="1"/>
  <c r="D570" i="13" s="1"/>
  <c r="G570" i="13" s="1"/>
  <c r="I570" i="13" s="1"/>
  <c r="H570" i="13" a="1"/>
  <c r="H570" i="13" s="1"/>
  <c r="K570" i="13"/>
  <c r="L570" i="13"/>
  <c r="M570" i="13"/>
  <c r="N570" i="13"/>
  <c r="O570" i="13"/>
  <c r="P570" i="13"/>
  <c r="Q570" i="13"/>
  <c r="R570" i="13"/>
  <c r="S570" i="13"/>
  <c r="T570" i="13"/>
  <c r="U570" i="13"/>
  <c r="V570" i="13"/>
  <c r="W570" i="13"/>
  <c r="X570" i="13"/>
  <c r="D571" i="13" a="1"/>
  <c r="D571" i="13" s="1"/>
  <c r="G571" i="13" s="1"/>
  <c r="I571" i="13" s="1"/>
  <c r="H571" i="13" a="1"/>
  <c r="H571" i="13" s="1"/>
  <c r="K571" i="13"/>
  <c r="L571" i="13"/>
  <c r="M571" i="13"/>
  <c r="N571" i="13"/>
  <c r="O571" i="13"/>
  <c r="P571" i="13"/>
  <c r="Q571" i="13"/>
  <c r="R571" i="13"/>
  <c r="S571" i="13"/>
  <c r="T571" i="13"/>
  <c r="U571" i="13"/>
  <c r="V571" i="13"/>
  <c r="W571" i="13"/>
  <c r="X571" i="13"/>
  <c r="D572" i="13" a="1"/>
  <c r="D572" i="13" s="1"/>
  <c r="G572" i="13" s="1"/>
  <c r="I572" i="13" s="1"/>
  <c r="H572" i="13" a="1"/>
  <c r="H572" i="13" s="1"/>
  <c r="K572" i="13"/>
  <c r="L572" i="13"/>
  <c r="M572" i="13"/>
  <c r="N572" i="13"/>
  <c r="O572" i="13"/>
  <c r="P572" i="13"/>
  <c r="Q572" i="13"/>
  <c r="R572" i="13"/>
  <c r="S572" i="13"/>
  <c r="T572" i="13"/>
  <c r="U572" i="13"/>
  <c r="V572" i="13"/>
  <c r="W572" i="13"/>
  <c r="X572" i="13"/>
  <c r="D573" i="13" a="1"/>
  <c r="D573" i="13" s="1"/>
  <c r="G573" i="13" s="1"/>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s="1"/>
  <c r="G580" i="13" s="1"/>
  <c r="I580" i="13" s="1"/>
  <c r="H580" i="13" a="1"/>
  <c r="H580" i="13" s="1"/>
  <c r="K580" i="13"/>
  <c r="L580" i="13"/>
  <c r="M580" i="13"/>
  <c r="N580" i="13"/>
  <c r="O580" i="13"/>
  <c r="P580" i="13"/>
  <c r="Q580" i="13"/>
  <c r="R580" i="13"/>
  <c r="S580" i="13"/>
  <c r="T580" i="13"/>
  <c r="U580" i="13"/>
  <c r="V580" i="13"/>
  <c r="W580" i="13"/>
  <c r="X580" i="13"/>
  <c r="D581" i="13" a="1"/>
  <c r="D581" i="13" s="1"/>
  <c r="G581" i="13" s="1"/>
  <c r="I581" i="13" s="1"/>
  <c r="K581" i="13"/>
  <c r="L581" i="13"/>
  <c r="M581" i="13"/>
  <c r="N581" i="13"/>
  <c r="O581" i="13"/>
  <c r="P581" i="13"/>
  <c r="Q581" i="13"/>
  <c r="R581" i="13"/>
  <c r="S581" i="13"/>
  <c r="T581" i="13"/>
  <c r="U581" i="13"/>
  <c r="V581" i="13"/>
  <c r="W581" i="13"/>
  <c r="X581" i="13"/>
  <c r="D582" i="13" a="1"/>
  <c r="D582" i="13" s="1"/>
  <c r="G582" i="13" s="1"/>
  <c r="I582" i="13" s="1"/>
  <c r="K582" i="13"/>
  <c r="L582" i="13"/>
  <c r="M582" i="13"/>
  <c r="N582" i="13"/>
  <c r="O582" i="13"/>
  <c r="P582" i="13"/>
  <c r="Q582" i="13"/>
  <c r="R582" i="13"/>
  <c r="S582" i="13"/>
  <c r="T582" i="13"/>
  <c r="U582" i="13"/>
  <c r="V582" i="13"/>
  <c r="W582" i="13"/>
  <c r="X582" i="13"/>
  <c r="D583" i="13" a="1"/>
  <c r="D583" i="13" s="1"/>
  <c r="G583" i="13" s="1"/>
  <c r="I583" i="13" s="1"/>
  <c r="K583" i="13"/>
  <c r="L583" i="13"/>
  <c r="M583" i="13"/>
  <c r="N583" i="13"/>
  <c r="O583" i="13"/>
  <c r="P583" i="13"/>
  <c r="Q583" i="13"/>
  <c r="R583" i="13"/>
  <c r="S583" i="13"/>
  <c r="T583" i="13"/>
  <c r="U583" i="13"/>
  <c r="V583" i="13"/>
  <c r="W583" i="13"/>
  <c r="X583" i="13"/>
  <c r="D584" i="13" a="1"/>
  <c r="D584" i="13" s="1"/>
  <c r="G584" i="13" s="1"/>
  <c r="I584" i="13" s="1"/>
  <c r="K584" i="13"/>
  <c r="L584" i="13"/>
  <c r="M584" i="13"/>
  <c r="N584" i="13"/>
  <c r="O584" i="13"/>
  <c r="P584" i="13"/>
  <c r="Q584" i="13"/>
  <c r="R584" i="13"/>
  <c r="S584" i="13"/>
  <c r="T584" i="13"/>
  <c r="U584" i="13"/>
  <c r="V584" i="13"/>
  <c r="W584" i="13"/>
  <c r="X584" i="13"/>
  <c r="D585" i="13" a="1"/>
  <c r="D585" i="13" s="1"/>
  <c r="G585" i="13" s="1"/>
  <c r="I585" i="13" s="1"/>
  <c r="K585" i="13"/>
  <c r="L585" i="13"/>
  <c r="M585" i="13"/>
  <c r="N585" i="13"/>
  <c r="O585" i="13"/>
  <c r="P585" i="13"/>
  <c r="Q585" i="13"/>
  <c r="R585" i="13"/>
  <c r="S585" i="13"/>
  <c r="T585" i="13"/>
  <c r="U585" i="13"/>
  <c r="V585" i="13"/>
  <c r="W585" i="13"/>
  <c r="X585" i="13"/>
  <c r="D586" i="13" a="1"/>
  <c r="D586" i="13" s="1"/>
  <c r="G586" i="13" s="1"/>
  <c r="I586" i="13" s="1"/>
  <c r="K586" i="13"/>
  <c r="L586" i="13"/>
  <c r="M586" i="13"/>
  <c r="N586" i="13"/>
  <c r="O586" i="13"/>
  <c r="P586" i="13"/>
  <c r="Q586" i="13"/>
  <c r="R586" i="13"/>
  <c r="S586" i="13"/>
  <c r="T586" i="13"/>
  <c r="U586" i="13"/>
  <c r="V586" i="13"/>
  <c r="W586" i="13"/>
  <c r="X586" i="13"/>
  <c r="D587" i="13" a="1"/>
  <c r="D587" i="13" s="1"/>
  <c r="G587" i="13" s="1"/>
  <c r="I587" i="13" s="1"/>
  <c r="K587" i="13"/>
  <c r="L587" i="13"/>
  <c r="M587" i="13"/>
  <c r="N587" i="13"/>
  <c r="O587" i="13"/>
  <c r="P587" i="13"/>
  <c r="Q587" i="13"/>
  <c r="R587" i="13"/>
  <c r="S587" i="13"/>
  <c r="T587" i="13"/>
  <c r="U587" i="13"/>
  <c r="V587" i="13"/>
  <c r="W587" i="13"/>
  <c r="X587" i="13"/>
  <c r="D588" i="13" a="1"/>
  <c r="D588" i="13" s="1"/>
  <c r="G588" i="13" s="1"/>
  <c r="I588" i="13" s="1"/>
  <c r="K588" i="13"/>
  <c r="L588" i="13"/>
  <c r="M588" i="13"/>
  <c r="N588" i="13"/>
  <c r="O588" i="13"/>
  <c r="P588" i="13"/>
  <c r="Q588" i="13"/>
  <c r="R588" i="13"/>
  <c r="S588" i="13"/>
  <c r="T588" i="13"/>
  <c r="U588" i="13"/>
  <c r="V588" i="13"/>
  <c r="W588" i="13"/>
  <c r="X588" i="13"/>
  <c r="D589" i="13" a="1"/>
  <c r="D589" i="13" s="1"/>
  <c r="G589" i="13" s="1"/>
  <c r="I589" i="13" s="1"/>
  <c r="K589" i="13"/>
  <c r="L589" i="13"/>
  <c r="M589" i="13"/>
  <c r="N589" i="13"/>
  <c r="O589" i="13"/>
  <c r="P589" i="13"/>
  <c r="Q589" i="13"/>
  <c r="R589" i="13"/>
  <c r="S589" i="13"/>
  <c r="T589" i="13"/>
  <c r="U589" i="13"/>
  <c r="V589" i="13"/>
  <c r="W589" i="13"/>
  <c r="X589" i="13"/>
  <c r="D590" i="13" a="1"/>
  <c r="D590" i="13" s="1"/>
  <c r="G590" i="13" s="1"/>
  <c r="I590" i="13" s="1"/>
  <c r="K590" i="13"/>
  <c r="L590" i="13"/>
  <c r="M590" i="13"/>
  <c r="N590" i="13"/>
  <c r="O590" i="13"/>
  <c r="P590" i="13"/>
  <c r="Q590" i="13"/>
  <c r="R590" i="13"/>
  <c r="S590" i="13"/>
  <c r="T590" i="13"/>
  <c r="U590" i="13"/>
  <c r="V590" i="13"/>
  <c r="W590" i="13"/>
  <c r="X590" i="13"/>
  <c r="D591" i="13" a="1"/>
  <c r="D591" i="13" s="1"/>
  <c r="G591" i="13" s="1"/>
  <c r="I591" i="13" s="1"/>
  <c r="K591" i="13"/>
  <c r="L591" i="13"/>
  <c r="M591" i="13"/>
  <c r="N591" i="13"/>
  <c r="O591" i="13"/>
  <c r="P591" i="13"/>
  <c r="Q591" i="13"/>
  <c r="R591" i="13"/>
  <c r="S591" i="13"/>
  <c r="T591" i="13"/>
  <c r="U591" i="13"/>
  <c r="V591" i="13"/>
  <c r="W591" i="13"/>
  <c r="X591" i="13"/>
  <c r="D592" i="13" a="1"/>
  <c r="D592" i="13" s="1"/>
  <c r="G592" i="13" s="1"/>
  <c r="I592" i="13" s="1"/>
  <c r="K592" i="13"/>
  <c r="L592" i="13"/>
  <c r="M592" i="13"/>
  <c r="N592" i="13"/>
  <c r="O592" i="13"/>
  <c r="P592" i="13"/>
  <c r="Q592" i="13"/>
  <c r="R592" i="13"/>
  <c r="S592" i="13"/>
  <c r="T592" i="13"/>
  <c r="U592" i="13"/>
  <c r="V592" i="13"/>
  <c r="W592" i="13"/>
  <c r="X592" i="13"/>
  <c r="D593" i="13" a="1"/>
  <c r="D593" i="13" s="1"/>
  <c r="G593" i="13" s="1"/>
  <c r="I593" i="13" s="1"/>
  <c r="K593" i="13"/>
  <c r="L593" i="13"/>
  <c r="M593" i="13"/>
  <c r="N593" i="13"/>
  <c r="O593" i="13"/>
  <c r="P593" i="13"/>
  <c r="Q593" i="13"/>
  <c r="R593" i="13"/>
  <c r="S593" i="13"/>
  <c r="T593" i="13"/>
  <c r="U593" i="13"/>
  <c r="V593" i="13"/>
  <c r="W593" i="13"/>
  <c r="X593" i="13"/>
  <c r="D594" i="13" a="1"/>
  <c r="D594" i="13" s="1"/>
  <c r="G594" i="13" s="1"/>
  <c r="I594" i="13" s="1"/>
  <c r="K594" i="13"/>
  <c r="L594" i="13"/>
  <c r="M594" i="13"/>
  <c r="N594" i="13"/>
  <c r="O594" i="13"/>
  <c r="P594" i="13"/>
  <c r="Q594" i="13"/>
  <c r="R594" i="13"/>
  <c r="S594" i="13"/>
  <c r="T594" i="13"/>
  <c r="U594" i="13"/>
  <c r="V594" i="13"/>
  <c r="W594" i="13"/>
  <c r="X594" i="13"/>
  <c r="D595" i="13" a="1"/>
  <c r="D595" i="13" s="1"/>
  <c r="G595" i="13" s="1"/>
  <c r="I595" i="13" s="1"/>
  <c r="K595" i="13"/>
  <c r="L595" i="13"/>
  <c r="M595" i="13"/>
  <c r="N595" i="13"/>
  <c r="O595" i="13"/>
  <c r="P595" i="13"/>
  <c r="Q595" i="13"/>
  <c r="R595" i="13"/>
  <c r="S595" i="13"/>
  <c r="T595" i="13"/>
  <c r="U595" i="13"/>
  <c r="V595" i="13"/>
  <c r="W595" i="13"/>
  <c r="X595" i="13"/>
  <c r="D596" i="13" a="1"/>
  <c r="D596" i="13" s="1"/>
  <c r="G596" i="13" s="1"/>
  <c r="I596" i="13" s="1"/>
  <c r="K596" i="13"/>
  <c r="L596" i="13"/>
  <c r="M596" i="13"/>
  <c r="N596" i="13"/>
  <c r="O596" i="13"/>
  <c r="P596" i="13"/>
  <c r="Q596" i="13"/>
  <c r="R596" i="13"/>
  <c r="S596" i="13"/>
  <c r="T596" i="13"/>
  <c r="U596" i="13"/>
  <c r="V596" i="13"/>
  <c r="W596" i="13"/>
  <c r="X596" i="13"/>
  <c r="D597" i="13" a="1"/>
  <c r="D597" i="13" s="1"/>
  <c r="G597" i="13" s="1"/>
  <c r="I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s="1"/>
  <c r="G599" i="13" s="1"/>
  <c r="I599" i="13" s="1"/>
  <c r="K599" i="13"/>
  <c r="L599" i="13"/>
  <c r="M599" i="13"/>
  <c r="N599" i="13"/>
  <c r="O599" i="13"/>
  <c r="P599" i="13"/>
  <c r="Q599" i="13"/>
  <c r="R599" i="13"/>
  <c r="S599" i="13"/>
  <c r="T599" i="13"/>
  <c r="U599" i="13"/>
  <c r="V599" i="13"/>
  <c r="W599" i="13"/>
  <c r="X599" i="13"/>
  <c r="D600" i="13" a="1"/>
  <c r="D600" i="13" s="1"/>
  <c r="G600" i="13" s="1"/>
  <c r="I600" i="13" s="1"/>
  <c r="K600" i="13"/>
  <c r="L600" i="13"/>
  <c r="M600" i="13"/>
  <c r="N600" i="13"/>
  <c r="O600" i="13"/>
  <c r="P600" i="13"/>
  <c r="Q600" i="13"/>
  <c r="R600" i="13"/>
  <c r="S600" i="13"/>
  <c r="T600" i="13"/>
  <c r="U600" i="13"/>
  <c r="V600" i="13"/>
  <c r="W600" i="13"/>
  <c r="X600" i="13"/>
  <c r="D601" i="13" a="1"/>
  <c r="D601" i="13" s="1"/>
  <c r="G601" i="13" s="1"/>
  <c r="I601" i="13" s="1"/>
  <c r="K601" i="13"/>
  <c r="L601" i="13"/>
  <c r="M601" i="13"/>
  <c r="N601" i="13"/>
  <c r="O601" i="13"/>
  <c r="P601" i="13"/>
  <c r="Q601" i="13"/>
  <c r="R601" i="13"/>
  <c r="S601" i="13"/>
  <c r="T601" i="13"/>
  <c r="U601" i="13"/>
  <c r="V601" i="13"/>
  <c r="W601" i="13"/>
  <c r="X601" i="13"/>
  <c r="D602" i="13" a="1"/>
  <c r="D602" i="13" s="1"/>
  <c r="G602" i="13" s="1"/>
  <c r="I602" i="13" s="1"/>
  <c r="K602" i="13"/>
  <c r="L602" i="13"/>
  <c r="M602" i="13"/>
  <c r="N602" i="13"/>
  <c r="O602" i="13"/>
  <c r="P602" i="13"/>
  <c r="Q602" i="13"/>
  <c r="R602" i="13"/>
  <c r="S602" i="13"/>
  <c r="T602" i="13"/>
  <c r="U602" i="13"/>
  <c r="V602" i="13"/>
  <c r="W602" i="13"/>
  <c r="X602" i="13"/>
  <c r="D603" i="13" a="1"/>
  <c r="D603" i="13" s="1"/>
  <c r="G603" i="13" s="1"/>
  <c r="I603" i="13" s="1"/>
  <c r="K603" i="13"/>
  <c r="L603" i="13"/>
  <c r="M603" i="13"/>
  <c r="N603" i="13"/>
  <c r="O603" i="13"/>
  <c r="P603" i="13"/>
  <c r="Q603" i="13"/>
  <c r="R603" i="13"/>
  <c r="S603" i="13"/>
  <c r="T603" i="13"/>
  <c r="U603" i="13"/>
  <c r="V603" i="13"/>
  <c r="W603" i="13"/>
  <c r="X603" i="13"/>
  <c r="D604" i="13" a="1"/>
  <c r="D604" i="13" s="1"/>
  <c r="G604" i="13" s="1"/>
  <c r="I604" i="13" s="1"/>
  <c r="K604" i="13"/>
  <c r="L604" i="13"/>
  <c r="M604" i="13"/>
  <c r="N604" i="13"/>
  <c r="O604" i="13"/>
  <c r="P604" i="13"/>
  <c r="Q604" i="13"/>
  <c r="R604" i="13"/>
  <c r="S604" i="13"/>
  <c r="T604" i="13"/>
  <c r="U604" i="13"/>
  <c r="V604" i="13"/>
  <c r="W604" i="13"/>
  <c r="X604" i="13"/>
  <c r="D605" i="13" a="1"/>
  <c r="D605" i="13" s="1"/>
  <c r="G605" i="13" s="1"/>
  <c r="I605" i="13" s="1"/>
  <c r="K605" i="13"/>
  <c r="L605" i="13"/>
  <c r="M605" i="13"/>
  <c r="N605" i="13"/>
  <c r="O605" i="13"/>
  <c r="P605" i="13"/>
  <c r="Q605" i="13"/>
  <c r="R605" i="13"/>
  <c r="S605" i="13"/>
  <c r="T605" i="13"/>
  <c r="U605" i="13"/>
  <c r="V605" i="13"/>
  <c r="W605" i="13"/>
  <c r="X605" i="13"/>
  <c r="D606" i="13" a="1"/>
  <c r="D606" i="13" s="1"/>
  <c r="G606" i="13" s="1"/>
  <c r="I606" i="13" s="1"/>
  <c r="K606" i="13"/>
  <c r="L606" i="13"/>
  <c r="M606" i="13"/>
  <c r="N606" i="13"/>
  <c r="O606" i="13"/>
  <c r="P606" i="13"/>
  <c r="Q606" i="13"/>
  <c r="R606" i="13"/>
  <c r="S606" i="13"/>
  <c r="T606" i="13"/>
  <c r="U606" i="13"/>
  <c r="V606" i="13"/>
  <c r="W606" i="13"/>
  <c r="X606" i="13"/>
  <c r="D607" i="13" a="1"/>
  <c r="D607" i="13" s="1"/>
  <c r="G607" i="13" s="1"/>
  <c r="I607" i="13" s="1"/>
  <c r="K607" i="13"/>
  <c r="L607" i="13"/>
  <c r="M607" i="13"/>
  <c r="N607" i="13"/>
  <c r="O607" i="13"/>
  <c r="P607" i="13"/>
  <c r="Q607" i="13"/>
  <c r="R607" i="13"/>
  <c r="S607" i="13"/>
  <c r="T607" i="13"/>
  <c r="U607" i="13"/>
  <c r="V607" i="13"/>
  <c r="W607" i="13"/>
  <c r="X607" i="13"/>
  <c r="D608" i="13" a="1"/>
  <c r="D608" i="13" s="1"/>
  <c r="G608" i="13" s="1"/>
  <c r="I608" i="13" s="1"/>
  <c r="K608" i="13"/>
  <c r="L608" i="13"/>
  <c r="M608" i="13"/>
  <c r="N608" i="13"/>
  <c r="O608" i="13"/>
  <c r="P608" i="13"/>
  <c r="Q608" i="13"/>
  <c r="R608" i="13"/>
  <c r="S608" i="13"/>
  <c r="T608" i="13"/>
  <c r="U608" i="13"/>
  <c r="V608" i="13"/>
  <c r="W608" i="13"/>
  <c r="X608" i="13"/>
  <c r="D609" i="13" a="1"/>
  <c r="D609" i="13" s="1"/>
  <c r="G609" i="13" s="1"/>
  <c r="I609" i="13" s="1"/>
  <c r="K609" i="13"/>
  <c r="L609" i="13"/>
  <c r="M609" i="13"/>
  <c r="N609" i="13"/>
  <c r="O609" i="13"/>
  <c r="P609" i="13"/>
  <c r="Q609" i="13"/>
  <c r="R609" i="13"/>
  <c r="S609" i="13"/>
  <c r="T609" i="13"/>
  <c r="U609" i="13"/>
  <c r="V609" i="13"/>
  <c r="W609" i="13"/>
  <c r="X609" i="13"/>
  <c r="D610" i="13" a="1"/>
  <c r="D610" i="13" s="1"/>
  <c r="G610" i="13" s="1"/>
  <c r="I610" i="13" s="1"/>
  <c r="K610" i="13"/>
  <c r="L610" i="13"/>
  <c r="M610" i="13"/>
  <c r="N610" i="13"/>
  <c r="O610" i="13"/>
  <c r="P610" i="13"/>
  <c r="Q610" i="13"/>
  <c r="R610" i="13"/>
  <c r="S610" i="13"/>
  <c r="T610" i="13"/>
  <c r="U610" i="13"/>
  <c r="V610" i="13"/>
  <c r="W610" i="13"/>
  <c r="X610" i="13"/>
  <c r="D611" i="13" a="1"/>
  <c r="D611" i="13" s="1"/>
  <c r="G611" i="13" s="1"/>
  <c r="I611" i="13" s="1"/>
  <c r="K611" i="13"/>
  <c r="L611" i="13"/>
  <c r="M611" i="13"/>
  <c r="N611" i="13"/>
  <c r="O611" i="13"/>
  <c r="P611" i="13"/>
  <c r="Q611" i="13"/>
  <c r="R611" i="13"/>
  <c r="S611" i="13"/>
  <c r="T611" i="13"/>
  <c r="U611" i="13"/>
  <c r="V611" i="13"/>
  <c r="W611" i="13"/>
  <c r="X611" i="13"/>
  <c r="D612" i="13" a="1"/>
  <c r="D612" i="13" s="1"/>
  <c r="G612" i="13" s="1"/>
  <c r="I612" i="13" s="1"/>
  <c r="K612" i="13"/>
  <c r="L612" i="13"/>
  <c r="M612" i="13"/>
  <c r="N612" i="13"/>
  <c r="O612" i="13"/>
  <c r="P612" i="13"/>
  <c r="Q612" i="13"/>
  <c r="R612" i="13"/>
  <c r="S612" i="13"/>
  <c r="T612" i="13"/>
  <c r="U612" i="13"/>
  <c r="V612" i="13"/>
  <c r="W612" i="13"/>
  <c r="X612" i="13"/>
  <c r="D613" i="13" a="1"/>
  <c r="D613" i="13" s="1"/>
  <c r="G613" i="13" s="1"/>
  <c r="I613" i="13" s="1"/>
  <c r="K613" i="13"/>
  <c r="L613" i="13"/>
  <c r="M613" i="13"/>
  <c r="N613" i="13"/>
  <c r="O613" i="13"/>
  <c r="P613" i="13"/>
  <c r="Q613" i="13"/>
  <c r="R613" i="13"/>
  <c r="S613" i="13"/>
  <c r="T613" i="13"/>
  <c r="U613" i="13"/>
  <c r="V613" i="13"/>
  <c r="W613" i="13"/>
  <c r="X613" i="13"/>
  <c r="D614" i="13" a="1"/>
  <c r="D614" i="13" s="1"/>
  <c r="G614" i="13" s="1"/>
  <c r="I614" i="13" s="1"/>
  <c r="K614" i="13"/>
  <c r="L614" i="13"/>
  <c r="M614" i="13"/>
  <c r="N614" i="13"/>
  <c r="O614" i="13"/>
  <c r="P614" i="13"/>
  <c r="Q614" i="13"/>
  <c r="R614" i="13"/>
  <c r="S614" i="13"/>
  <c r="T614" i="13"/>
  <c r="U614" i="13"/>
  <c r="V614" i="13"/>
  <c r="W614" i="13"/>
  <c r="X614" i="13"/>
  <c r="D615" i="13" a="1"/>
  <c r="D615" i="13" s="1"/>
  <c r="G615" i="13" s="1"/>
  <c r="I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K617" i="13"/>
  <c r="L617" i="13"/>
  <c r="M617" i="13"/>
  <c r="N617" i="13"/>
  <c r="O617" i="13"/>
  <c r="P617" i="13"/>
  <c r="Q617" i="13"/>
  <c r="R617" i="13"/>
  <c r="S617" i="13"/>
  <c r="T617" i="13"/>
  <c r="U617" i="13"/>
  <c r="V617" i="13"/>
  <c r="W617" i="13"/>
  <c r="X617" i="13"/>
  <c r="D618" i="13" a="1"/>
  <c r="D618" i="13" s="1"/>
  <c r="G618" i="13" s="1"/>
  <c r="I618" i="13" s="1"/>
  <c r="K618" i="13"/>
  <c r="L618" i="13"/>
  <c r="M618" i="13"/>
  <c r="N618" i="13"/>
  <c r="O618" i="13"/>
  <c r="P618" i="13"/>
  <c r="Q618" i="13"/>
  <c r="R618" i="13"/>
  <c r="S618" i="13"/>
  <c r="T618" i="13"/>
  <c r="U618" i="13"/>
  <c r="V618" i="13"/>
  <c r="W618" i="13"/>
  <c r="X618" i="13"/>
  <c r="D619" i="13" a="1"/>
  <c r="D619" i="13" s="1"/>
  <c r="G619" i="13" s="1"/>
  <c r="I619" i="13" s="1"/>
  <c r="K619" i="13"/>
  <c r="L619" i="13"/>
  <c r="M619" i="13"/>
  <c r="N619" i="13"/>
  <c r="O619" i="13"/>
  <c r="P619" i="13"/>
  <c r="Q619" i="13"/>
  <c r="R619" i="13"/>
  <c r="S619" i="13"/>
  <c r="T619" i="13"/>
  <c r="U619" i="13"/>
  <c r="V619" i="13"/>
  <c r="W619" i="13"/>
  <c r="X619" i="13"/>
  <c r="D620" i="13" a="1"/>
  <c r="D620" i="13" s="1"/>
  <c r="G620" i="13" s="1"/>
  <c r="I620" i="13" s="1"/>
  <c r="K620" i="13"/>
  <c r="L620" i="13"/>
  <c r="M620" i="13"/>
  <c r="N620" i="13"/>
  <c r="O620" i="13"/>
  <c r="P620" i="13"/>
  <c r="Q620" i="13"/>
  <c r="R620" i="13"/>
  <c r="S620" i="13"/>
  <c r="T620" i="13"/>
  <c r="U620" i="13"/>
  <c r="V620" i="13"/>
  <c r="W620" i="13"/>
  <c r="X620" i="13"/>
  <c r="D621" i="13" a="1"/>
  <c r="D621" i="13" s="1"/>
  <c r="G621" i="13" s="1"/>
  <c r="I621" i="13" s="1"/>
  <c r="K621" i="13"/>
  <c r="L621" i="13"/>
  <c r="M621" i="13"/>
  <c r="N621" i="13"/>
  <c r="O621" i="13"/>
  <c r="P621" i="13"/>
  <c r="Q621" i="13"/>
  <c r="R621" i="13"/>
  <c r="S621" i="13"/>
  <c r="T621" i="13"/>
  <c r="U621" i="13"/>
  <c r="V621" i="13"/>
  <c r="W621" i="13"/>
  <c r="X621" i="13"/>
  <c r="D622" i="13" a="1"/>
  <c r="D622" i="13" s="1"/>
  <c r="G622" i="13" s="1"/>
  <c r="I622" i="13" s="1"/>
  <c r="K622" i="13"/>
  <c r="L622" i="13"/>
  <c r="M622" i="13"/>
  <c r="N622" i="13"/>
  <c r="O622" i="13"/>
  <c r="P622" i="13"/>
  <c r="Q622" i="13"/>
  <c r="R622" i="13"/>
  <c r="S622" i="13"/>
  <c r="T622" i="13"/>
  <c r="U622" i="13"/>
  <c r="V622" i="13"/>
  <c r="W622" i="13"/>
  <c r="X622" i="13"/>
  <c r="D623" i="13" a="1"/>
  <c r="D623" i="13" s="1"/>
  <c r="G623" i="13" s="1"/>
  <c r="I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s="1"/>
  <c r="G628" i="13" s="1"/>
  <c r="I628" i="13" s="1"/>
  <c r="H628" i="13" a="1"/>
  <c r="H628" i="13" s="1"/>
  <c r="K628" i="13"/>
  <c r="L628" i="13"/>
  <c r="M628" i="13"/>
  <c r="N628" i="13"/>
  <c r="O628" i="13"/>
  <c r="P628" i="13"/>
  <c r="Q628" i="13"/>
  <c r="R628" i="13"/>
  <c r="S628" i="13"/>
  <c r="T628" i="13"/>
  <c r="U628" i="13"/>
  <c r="V628" i="13"/>
  <c r="W628" i="13"/>
  <c r="X628" i="13"/>
  <c r="D629" i="13" a="1"/>
  <c r="D629" i="13" s="1"/>
  <c r="G629" i="13" s="1"/>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s="1"/>
  <c r="G631" i="13" s="1"/>
  <c r="I631" i="13" s="1"/>
  <c r="H631" i="13" a="1"/>
  <c r="H631" i="13" s="1"/>
  <c r="K631" i="13"/>
  <c r="L631" i="13"/>
  <c r="M631" i="13"/>
  <c r="N631" i="13"/>
  <c r="O631" i="13"/>
  <c r="P631" i="13"/>
  <c r="Q631" i="13"/>
  <c r="R631" i="13"/>
  <c r="S631" i="13"/>
  <c r="T631" i="13"/>
  <c r="U631" i="13"/>
  <c r="V631" i="13"/>
  <c r="W631" i="13"/>
  <c r="X631" i="13"/>
  <c r="D632" i="13" a="1"/>
  <c r="D632" i="13" s="1"/>
  <c r="G632" i="13" s="1"/>
  <c r="I632" i="13" s="1"/>
  <c r="H632" i="13" a="1"/>
  <c r="H632" i="13" s="1"/>
  <c r="K632" i="13"/>
  <c r="L632" i="13"/>
  <c r="M632" i="13"/>
  <c r="N632" i="13"/>
  <c r="O632" i="13"/>
  <c r="P632" i="13"/>
  <c r="Q632" i="13"/>
  <c r="R632" i="13"/>
  <c r="S632" i="13"/>
  <c r="T632" i="13"/>
  <c r="U632" i="13"/>
  <c r="V632" i="13"/>
  <c r="W632" i="13"/>
  <c r="X632" i="13"/>
  <c r="D633" i="13" a="1"/>
  <c r="D633" i="13" s="1"/>
  <c r="G633" i="13" s="1"/>
  <c r="I633" i="13" s="1"/>
  <c r="H633" i="13" a="1"/>
  <c r="H633" i="13" s="1"/>
  <c r="K633" i="13"/>
  <c r="L633" i="13"/>
  <c r="M633" i="13"/>
  <c r="N633" i="13"/>
  <c r="O633" i="13"/>
  <c r="P633" i="13"/>
  <c r="Q633" i="13"/>
  <c r="R633" i="13"/>
  <c r="S633" i="13"/>
  <c r="T633" i="13"/>
  <c r="U633" i="13"/>
  <c r="V633" i="13"/>
  <c r="W633" i="13"/>
  <c r="X633" i="13"/>
  <c r="D634" i="13" a="1"/>
  <c r="D634" i="13" s="1"/>
  <c r="G634" i="13" s="1"/>
  <c r="I634" i="13" s="1"/>
  <c r="H634" i="13" a="1"/>
  <c r="H634" i="13" s="1"/>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s="1"/>
  <c r="G636" i="13" s="1"/>
  <c r="I636" i="13" s="1"/>
  <c r="H636" i="13" a="1"/>
  <c r="H636" i="13" s="1"/>
  <c r="K636" i="13"/>
  <c r="L636" i="13"/>
  <c r="M636" i="13"/>
  <c r="N636" i="13"/>
  <c r="O636" i="13"/>
  <c r="P636" i="13"/>
  <c r="Q636" i="13"/>
  <c r="R636" i="13"/>
  <c r="S636" i="13"/>
  <c r="T636" i="13"/>
  <c r="U636" i="13"/>
  <c r="V636" i="13"/>
  <c r="W636" i="13"/>
  <c r="X636" i="13"/>
  <c r="D637" i="13" a="1"/>
  <c r="D637" i="13" s="1"/>
  <c r="G637" i="13" s="1"/>
  <c r="I637" i="13" s="1"/>
  <c r="H637" i="13" a="1"/>
  <c r="H637" i="13" s="1"/>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s="1"/>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I643" i="13" s="1"/>
  <c r="H643" i="13" a="1"/>
  <c r="H643" i="13" s="1"/>
  <c r="K643" i="13"/>
  <c r="L643" i="13"/>
  <c r="M643" i="13"/>
  <c r="N643" i="13"/>
  <c r="O643" i="13"/>
  <c r="P643" i="13"/>
  <c r="Q643" i="13"/>
  <c r="R643" i="13"/>
  <c r="S643" i="13"/>
  <c r="T643" i="13"/>
  <c r="U643" i="13"/>
  <c r="V643" i="13"/>
  <c r="W643" i="13"/>
  <c r="X643" i="13"/>
  <c r="D644" i="13" a="1"/>
  <c r="D644" i="13" s="1"/>
  <c r="G644" i="13" s="1"/>
  <c r="I644" i="13" s="1"/>
  <c r="H644" i="13" a="1"/>
  <c r="H644" i="13" s="1"/>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I646" i="13" s="1"/>
  <c r="H646" i="13" a="1"/>
  <c r="H646" i="13" s="1"/>
  <c r="K646" i="13"/>
  <c r="L646" i="13"/>
  <c r="M646" i="13"/>
  <c r="N646" i="13"/>
  <c r="O646" i="13"/>
  <c r="P646" i="13"/>
  <c r="Q646" i="13"/>
  <c r="R646" i="13"/>
  <c r="S646" i="13"/>
  <c r="T646" i="13"/>
  <c r="U646" i="13"/>
  <c r="V646" i="13"/>
  <c r="W646" i="13"/>
  <c r="X646" i="13"/>
  <c r="D647" i="13" a="1"/>
  <c r="D647" i="13" s="1"/>
  <c r="G647" i="13" s="1"/>
  <c r="I647" i="13" s="1"/>
  <c r="K647" i="13"/>
  <c r="L647" i="13"/>
  <c r="M647" i="13"/>
  <c r="N647" i="13"/>
  <c r="O647" i="13"/>
  <c r="P647" i="13"/>
  <c r="Q647" i="13"/>
  <c r="R647" i="13"/>
  <c r="S647" i="13"/>
  <c r="T647" i="13"/>
  <c r="U647" i="13"/>
  <c r="V647" i="13"/>
  <c r="W647" i="13"/>
  <c r="X647" i="13"/>
  <c r="D648" i="13" a="1"/>
  <c r="D648" i="13" s="1"/>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s="1"/>
  <c r="G650" i="13" s="1"/>
  <c r="I650" i="13" s="1"/>
  <c r="H650" i="13" a="1"/>
  <c r="H650" i="13" s="1"/>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s="1"/>
  <c r="G652" i="13" s="1"/>
  <c r="I652" i="13" s="1"/>
  <c r="H652" i="13" a="1"/>
  <c r="H652" i="13" s="1"/>
  <c r="K652" i="13"/>
  <c r="L652" i="13"/>
  <c r="M652" i="13"/>
  <c r="N652" i="13"/>
  <c r="O652" i="13"/>
  <c r="P652" i="13"/>
  <c r="Q652" i="13"/>
  <c r="R652" i="13"/>
  <c r="S652" i="13"/>
  <c r="T652" i="13"/>
  <c r="U652" i="13"/>
  <c r="V652" i="13"/>
  <c r="W652" i="13"/>
  <c r="X652" i="13"/>
  <c r="D653" i="13" a="1"/>
  <c r="D653" i="13" s="1"/>
  <c r="G653" i="13" s="1"/>
  <c r="I653" i="13" s="1"/>
  <c r="H653" i="13" a="1"/>
  <c r="H653" i="13" s="1"/>
  <c r="K653" i="13"/>
  <c r="L653" i="13"/>
  <c r="M653" i="13"/>
  <c r="N653" i="13"/>
  <c r="O653" i="13"/>
  <c r="P653" i="13"/>
  <c r="Q653" i="13"/>
  <c r="R653" i="13"/>
  <c r="S653" i="13"/>
  <c r="T653" i="13"/>
  <c r="U653" i="13"/>
  <c r="V653" i="13"/>
  <c r="W653" i="13"/>
  <c r="X653" i="13"/>
  <c r="D654" i="13" a="1"/>
  <c r="D654" i="13" s="1"/>
  <c r="G654" i="13" s="1"/>
  <c r="I654" i="13" s="1"/>
  <c r="H654" i="13" a="1"/>
  <c r="H654" i="13" s="1"/>
  <c r="K654" i="13"/>
  <c r="L654" i="13"/>
  <c r="M654" i="13"/>
  <c r="N654" i="13"/>
  <c r="O654" i="13"/>
  <c r="P654" i="13"/>
  <c r="Q654" i="13"/>
  <c r="R654" i="13"/>
  <c r="S654" i="13"/>
  <c r="T654" i="13"/>
  <c r="U654" i="13"/>
  <c r="V654" i="13"/>
  <c r="W654" i="13"/>
  <c r="X654" i="13"/>
  <c r="D655" i="13" a="1"/>
  <c r="D655" i="13" s="1"/>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s="1"/>
  <c r="G657" i="13" s="1"/>
  <c r="I657" i="13" s="1"/>
  <c r="H657" i="13" a="1"/>
  <c r="H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s="1"/>
  <c r="G660" i="13" s="1"/>
  <c r="I660" i="13" s="1"/>
  <c r="H660" i="13" a="1"/>
  <c r="H660" i="13" s="1"/>
  <c r="K660" i="13"/>
  <c r="L660" i="13"/>
  <c r="M660" i="13"/>
  <c r="N660" i="13"/>
  <c r="O660" i="13"/>
  <c r="P660" i="13"/>
  <c r="Q660" i="13"/>
  <c r="R660" i="13"/>
  <c r="S660" i="13"/>
  <c r="T660" i="13"/>
  <c r="U660" i="13"/>
  <c r="V660" i="13"/>
  <c r="W660" i="13"/>
  <c r="X660" i="13"/>
  <c r="D661" i="13" a="1"/>
  <c r="D661" i="13" s="1"/>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s="1"/>
  <c r="G663" i="13" s="1"/>
  <c r="I663" i="13" s="1"/>
  <c r="K663" i="13"/>
  <c r="L663" i="13"/>
  <c r="M663" i="13"/>
  <c r="N663" i="13"/>
  <c r="O663" i="13"/>
  <c r="P663" i="13"/>
  <c r="Q663" i="13"/>
  <c r="R663" i="13"/>
  <c r="S663" i="13"/>
  <c r="T663" i="13"/>
  <c r="U663" i="13"/>
  <c r="V663" i="13"/>
  <c r="W663" i="13"/>
  <c r="X663" i="13"/>
  <c r="D664" i="13" a="1"/>
  <c r="D664" i="13" s="1"/>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s="1"/>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s="1"/>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s="1"/>
  <c r="K673" i="13"/>
  <c r="L673" i="13"/>
  <c r="M673" i="13"/>
  <c r="N673" i="13"/>
  <c r="O673" i="13"/>
  <c r="P673" i="13"/>
  <c r="Q673" i="13"/>
  <c r="R673" i="13"/>
  <c r="S673" i="13"/>
  <c r="T673" i="13"/>
  <c r="U673" i="13"/>
  <c r="V673" i="13"/>
  <c r="W673" i="13"/>
  <c r="X673" i="13"/>
  <c r="D674" i="13" a="1"/>
  <c r="D674" i="13" s="1"/>
  <c r="G674" i="13" s="1"/>
  <c r="I674" i="13" s="1"/>
  <c r="H674" i="13" a="1"/>
  <c r="H674" i="13" s="1"/>
  <c r="K674" i="13"/>
  <c r="L674" i="13"/>
  <c r="M674" i="13"/>
  <c r="N674" i="13"/>
  <c r="O674" i="13"/>
  <c r="P674" i="13"/>
  <c r="Q674" i="13"/>
  <c r="R674" i="13"/>
  <c r="S674" i="13"/>
  <c r="T674" i="13"/>
  <c r="U674" i="13"/>
  <c r="V674" i="13"/>
  <c r="W674" i="13"/>
  <c r="X674" i="13"/>
  <c r="D675" i="13" a="1"/>
  <c r="D675" i="13" s="1"/>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s="1"/>
  <c r="G680" i="13" s="1"/>
  <c r="I680" i="13" s="1"/>
  <c r="K680" i="13"/>
  <c r="L680" i="13"/>
  <c r="M680" i="13"/>
  <c r="N680" i="13"/>
  <c r="O680" i="13"/>
  <c r="P680" i="13"/>
  <c r="Q680" i="13"/>
  <c r="R680" i="13"/>
  <c r="S680" i="13"/>
  <c r="T680" i="13"/>
  <c r="U680" i="13"/>
  <c r="V680" i="13"/>
  <c r="W680" i="13"/>
  <c r="X680" i="13"/>
  <c r="D681" i="13" a="1"/>
  <c r="D681" i="13" s="1"/>
  <c r="G681" i="13" s="1"/>
  <c r="I681" i="13" s="1"/>
  <c r="H681" i="13" a="1"/>
  <c r="H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s="1"/>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s="1"/>
  <c r="G686" i="13" s="1"/>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s="1"/>
  <c r="G690" i="13" s="1"/>
  <c r="I690" i="13" s="1"/>
  <c r="K690" i="13"/>
  <c r="L690" i="13"/>
  <c r="M690" i="13"/>
  <c r="N690" i="13"/>
  <c r="O690" i="13"/>
  <c r="P690" i="13"/>
  <c r="Q690" i="13"/>
  <c r="R690" i="13"/>
  <c r="S690" i="13"/>
  <c r="T690" i="13"/>
  <c r="U690" i="13"/>
  <c r="V690" i="13"/>
  <c r="W690" i="13"/>
  <c r="X690" i="13"/>
  <c r="D691" i="13" a="1"/>
  <c r="D691" i="13" s="1"/>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s="1"/>
  <c r="K693" i="13"/>
  <c r="L693" i="13"/>
  <c r="M693" i="13"/>
  <c r="N693" i="13"/>
  <c r="O693" i="13"/>
  <c r="P693" i="13"/>
  <c r="Q693" i="13"/>
  <c r="R693" i="13"/>
  <c r="S693" i="13"/>
  <c r="T693" i="13"/>
  <c r="U693" i="13"/>
  <c r="V693" i="13"/>
  <c r="W693" i="13"/>
  <c r="X693" i="13"/>
  <c r="D694" i="13" a="1"/>
  <c r="D694" i="13" s="1"/>
  <c r="G694" i="13" s="1"/>
  <c r="I694" i="13" s="1"/>
  <c r="H694" i="13" a="1"/>
  <c r="H694" i="13" s="1"/>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s="1"/>
  <c r="G696" i="13" s="1"/>
  <c r="I696" i="13" s="1"/>
  <c r="K696" i="13"/>
  <c r="L696" i="13"/>
  <c r="M696" i="13"/>
  <c r="N696" i="13"/>
  <c r="O696" i="13"/>
  <c r="P696" i="13"/>
  <c r="Q696" i="13"/>
  <c r="R696" i="13"/>
  <c r="S696" i="13"/>
  <c r="T696" i="13"/>
  <c r="U696" i="13"/>
  <c r="V696" i="13"/>
  <c r="W696" i="13"/>
  <c r="X696" i="13"/>
  <c r="D697" i="13" a="1"/>
  <c r="D697" i="13" s="1"/>
  <c r="G697" i="13" s="1"/>
  <c r="I697" i="13" s="1"/>
  <c r="H697" i="13" a="1"/>
  <c r="H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s="1"/>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s="1"/>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s="1"/>
  <c r="G706" i="13" s="1"/>
  <c r="I706" i="13" s="1"/>
  <c r="K706" i="13"/>
  <c r="L706" i="13"/>
  <c r="M706" i="13"/>
  <c r="N706" i="13"/>
  <c r="O706" i="13"/>
  <c r="P706" i="13"/>
  <c r="Q706" i="13"/>
  <c r="R706" i="13"/>
  <c r="S706" i="13"/>
  <c r="T706" i="13"/>
  <c r="U706" i="13"/>
  <c r="V706" i="13"/>
  <c r="W706" i="13"/>
  <c r="X706" i="13"/>
  <c r="D707" i="13" a="1"/>
  <c r="D707" i="13" s="1"/>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s="1"/>
  <c r="G712" i="13" s="1"/>
  <c r="I712" i="13" s="1"/>
  <c r="H712" i="13" a="1"/>
  <c r="H712" i="13" s="1"/>
  <c r="K712" i="13"/>
  <c r="L712" i="13"/>
  <c r="M712" i="13"/>
  <c r="N712" i="13"/>
  <c r="O712" i="13"/>
  <c r="P712" i="13"/>
  <c r="Q712" i="13"/>
  <c r="R712" i="13"/>
  <c r="S712" i="13"/>
  <c r="T712" i="13"/>
  <c r="U712" i="13"/>
  <c r="V712" i="13"/>
  <c r="W712" i="13"/>
  <c r="X712" i="13"/>
  <c r="D713" i="13" a="1"/>
  <c r="D713" i="13" s="1"/>
  <c r="G713" i="13" s="1"/>
  <c r="I713" i="13" s="1"/>
  <c r="H713" i="13" a="1"/>
  <c r="H713" i="13" s="1"/>
  <c r="K713" i="13"/>
  <c r="L713" i="13"/>
  <c r="M713" i="13"/>
  <c r="N713" i="13"/>
  <c r="O713" i="13"/>
  <c r="P713" i="13"/>
  <c r="Q713" i="13"/>
  <c r="R713" i="13"/>
  <c r="S713" i="13"/>
  <c r="T713" i="13"/>
  <c r="U713" i="13"/>
  <c r="V713" i="13"/>
  <c r="W713" i="13"/>
  <c r="X713" i="13"/>
  <c r="D714" i="13" a="1"/>
  <c r="D714" i="13" s="1"/>
  <c r="G714" i="13" s="1"/>
  <c r="I714" i="13" s="1"/>
  <c r="H714" i="13" a="1"/>
  <c r="H714" i="13" s="1"/>
  <c r="K714" i="13"/>
  <c r="L714" i="13"/>
  <c r="M714" i="13"/>
  <c r="N714" i="13"/>
  <c r="O714" i="13"/>
  <c r="P714" i="13"/>
  <c r="Q714" i="13"/>
  <c r="R714" i="13"/>
  <c r="S714" i="13"/>
  <c r="T714" i="13"/>
  <c r="U714" i="13"/>
  <c r="V714" i="13"/>
  <c r="W714" i="13"/>
  <c r="X714" i="13"/>
  <c r="D715" i="13" a="1"/>
  <c r="D715" i="13" s="1"/>
  <c r="G715" i="13" s="1"/>
  <c r="I715" i="13" s="1"/>
  <c r="H715" i="13" a="1"/>
  <c r="H715" i="13" s="1"/>
  <c r="K715" i="13"/>
  <c r="L715" i="13"/>
  <c r="M715" i="13"/>
  <c r="N715" i="13"/>
  <c r="O715" i="13"/>
  <c r="P715" i="13"/>
  <c r="Q715" i="13"/>
  <c r="R715" i="13"/>
  <c r="S715" i="13"/>
  <c r="T715" i="13"/>
  <c r="U715" i="13"/>
  <c r="V715" i="13"/>
  <c r="W715" i="13"/>
  <c r="X715" i="13"/>
  <c r="D716" i="13" a="1"/>
  <c r="D716" i="13" s="1"/>
  <c r="G716" i="13" s="1"/>
  <c r="I716" i="13" s="1"/>
  <c r="H716" i="13" a="1"/>
  <c r="H716" i="13" s="1"/>
  <c r="K716" i="13"/>
  <c r="L716" i="13"/>
  <c r="M716" i="13"/>
  <c r="N716" i="13"/>
  <c r="O716" i="13"/>
  <c r="P716" i="13"/>
  <c r="Q716" i="13"/>
  <c r="R716" i="13"/>
  <c r="S716" i="13"/>
  <c r="T716" i="13"/>
  <c r="U716" i="13"/>
  <c r="V716" i="13"/>
  <c r="W716" i="13"/>
  <c r="X716" i="13"/>
  <c r="D717" i="13" a="1"/>
  <c r="D717" i="13" s="1"/>
  <c r="G717" i="13" s="1"/>
  <c r="I717" i="13" s="1"/>
  <c r="H717" i="13" a="1"/>
  <c r="H717" i="13" s="1"/>
  <c r="K717" i="13"/>
  <c r="L717" i="13"/>
  <c r="M717" i="13"/>
  <c r="N717" i="13"/>
  <c r="O717" i="13"/>
  <c r="P717" i="13"/>
  <c r="Q717" i="13"/>
  <c r="R717" i="13"/>
  <c r="S717" i="13"/>
  <c r="T717" i="13"/>
  <c r="U717" i="13"/>
  <c r="V717" i="13"/>
  <c r="W717" i="13"/>
  <c r="X717" i="13"/>
  <c r="D718" i="13" a="1"/>
  <c r="D718" i="13" s="1"/>
  <c r="G718" i="13" s="1"/>
  <c r="I718" i="13" s="1"/>
  <c r="H718" i="13" a="1"/>
  <c r="H718" i="13" s="1"/>
  <c r="K718" i="13"/>
  <c r="L718" i="13"/>
  <c r="M718" i="13"/>
  <c r="N718" i="13"/>
  <c r="O718" i="13"/>
  <c r="P718" i="13"/>
  <c r="Q718" i="13"/>
  <c r="R718" i="13"/>
  <c r="S718" i="13"/>
  <c r="T718" i="13"/>
  <c r="U718" i="13"/>
  <c r="V718" i="13"/>
  <c r="W718" i="13"/>
  <c r="X718" i="13"/>
  <c r="D719" i="13" a="1"/>
  <c r="D719" i="13" s="1"/>
  <c r="G719" i="13" s="1"/>
  <c r="I719" i="13" s="1"/>
  <c r="K719" i="13"/>
  <c r="L719" i="13"/>
  <c r="M719" i="13"/>
  <c r="N719" i="13"/>
  <c r="O719" i="13"/>
  <c r="P719" i="13"/>
  <c r="Q719" i="13"/>
  <c r="R719" i="13"/>
  <c r="S719" i="13"/>
  <c r="T719" i="13"/>
  <c r="U719" i="13"/>
  <c r="V719" i="13"/>
  <c r="W719" i="13"/>
  <c r="X719" i="13"/>
  <c r="D720" i="13" a="1"/>
  <c r="D720" i="13" s="1"/>
  <c r="G720" i="13" s="1"/>
  <c r="I720" i="13" s="1"/>
  <c r="K720" i="13"/>
  <c r="L720" i="13"/>
  <c r="M720" i="13"/>
  <c r="N720" i="13"/>
  <c r="O720" i="13"/>
  <c r="P720" i="13"/>
  <c r="Q720" i="13"/>
  <c r="R720" i="13"/>
  <c r="S720" i="13"/>
  <c r="T720" i="13"/>
  <c r="U720" i="13"/>
  <c r="V720" i="13"/>
  <c r="W720" i="13"/>
  <c r="X720" i="13"/>
  <c r="D721" i="13" a="1"/>
  <c r="D721" i="13" s="1"/>
  <c r="G721" i="13" s="1"/>
  <c r="I721" i="13" s="1"/>
  <c r="K721" i="13"/>
  <c r="L721" i="13"/>
  <c r="M721" i="13"/>
  <c r="N721" i="13"/>
  <c r="O721" i="13"/>
  <c r="P721" i="13"/>
  <c r="Q721" i="13"/>
  <c r="R721" i="13"/>
  <c r="S721" i="13"/>
  <c r="T721" i="13"/>
  <c r="U721" i="13"/>
  <c r="V721" i="13"/>
  <c r="W721" i="13"/>
  <c r="X721" i="13"/>
  <c r="D722" i="13" a="1"/>
  <c r="D722" i="13" s="1"/>
  <c r="G722" i="13" s="1"/>
  <c r="I722" i="13" s="1"/>
  <c r="K722" i="13"/>
  <c r="L722" i="13"/>
  <c r="M722" i="13"/>
  <c r="N722" i="13"/>
  <c r="O722" i="13"/>
  <c r="P722" i="13"/>
  <c r="Q722" i="13"/>
  <c r="R722" i="13"/>
  <c r="S722" i="13"/>
  <c r="T722" i="13"/>
  <c r="U722" i="13"/>
  <c r="V722" i="13"/>
  <c r="W722" i="13"/>
  <c r="X722" i="13"/>
  <c r="D723" i="13" a="1"/>
  <c r="D723" i="13" s="1"/>
  <c r="G723" i="13" s="1"/>
  <c r="I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725" i="10"/>
  <c r="AC726" i="10"/>
  <c r="AC727" i="10"/>
  <c r="AC728" i="10"/>
  <c r="AC729" i="10"/>
  <c r="AC730" i="10"/>
  <c r="AC731" i="10"/>
  <c r="AC732" i="10"/>
  <c r="AC733" i="10"/>
  <c r="AC734" i="10"/>
  <c r="AC735" i="10"/>
  <c r="AC736" i="10"/>
  <c r="AC737" i="10"/>
  <c r="AC738" i="10"/>
  <c r="AC739" i="10"/>
  <c r="AC740" i="10"/>
  <c r="AC741" i="10"/>
  <c r="AC742" i="10"/>
  <c r="AC743" i="10"/>
  <c r="AC744" i="10"/>
  <c r="AC745" i="10"/>
  <c r="AC746" i="10"/>
  <c r="AC747" i="10"/>
  <c r="AC748" i="10"/>
  <c r="AC749" i="10"/>
  <c r="AC750" i="10"/>
  <c r="AC751" i="10"/>
  <c r="AC752" i="10"/>
  <c r="AC753" i="10"/>
  <c r="AC754" i="10"/>
  <c r="AC755" i="10"/>
  <c r="AC756" i="10"/>
  <c r="AC757" i="10"/>
  <c r="AC758"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C15" i="10" s="1"/>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C689" i="10" s="1"/>
  <c r="AD690" i="10"/>
  <c r="AC690" i="10" s="1"/>
  <c r="AD691" i="10"/>
  <c r="AC691" i="10" s="1"/>
  <c r="AD692" i="10"/>
  <c r="AC692" i="10" s="1"/>
  <c r="AD693" i="10"/>
  <c r="AC693" i="10" s="1"/>
  <c r="AD694" i="10"/>
  <c r="AC694" i="10" s="1"/>
  <c r="AD695" i="10"/>
  <c r="AC695" i="10" s="1"/>
  <c r="AD696" i="10"/>
  <c r="AC696" i="10" s="1"/>
  <c r="AD697" i="10"/>
  <c r="AC697" i="10" s="1"/>
  <c r="AD698" i="10"/>
  <c r="AC698" i="10" s="1"/>
  <c r="AD699" i="10"/>
  <c r="AC699" i="10" s="1"/>
  <c r="AD700" i="10"/>
  <c r="AC700" i="10" s="1"/>
  <c r="AD701" i="10"/>
  <c r="AC701" i="10" s="1"/>
  <c r="AD702" i="10"/>
  <c r="AC702" i="10" s="1"/>
  <c r="AD703" i="10"/>
  <c r="AC703" i="10" s="1"/>
  <c r="AD704" i="10"/>
  <c r="AC704" i="10" s="1"/>
  <c r="AD705" i="10"/>
  <c r="AC705" i="10" s="1"/>
  <c r="AD706" i="10"/>
  <c r="AC706" i="10" s="1"/>
  <c r="AD707" i="10"/>
  <c r="AC707" i="10" s="1"/>
  <c r="AD708" i="10"/>
  <c r="AC708" i="10" s="1"/>
  <c r="AD709" i="10"/>
  <c r="AC709" i="10" s="1"/>
  <c r="AD710" i="10"/>
  <c r="AC710" i="10" s="1"/>
  <c r="AD711" i="10"/>
  <c r="AC711" i="10" s="1"/>
  <c r="AD712" i="10"/>
  <c r="AC712" i="10" s="1"/>
  <c r="AD713" i="10"/>
  <c r="AC713" i="10" s="1"/>
  <c r="AD714" i="10"/>
  <c r="AC714" i="10" s="1"/>
  <c r="AD715" i="10"/>
  <c r="AC715" i="10" s="1"/>
  <c r="AD716" i="10"/>
  <c r="AC716" i="10" s="1"/>
  <c r="AD717" i="10"/>
  <c r="AC717" i="10" s="1"/>
  <c r="AD718" i="10"/>
  <c r="AC718" i="10" s="1"/>
  <c r="AD719" i="10"/>
  <c r="AC719" i="10" s="1"/>
  <c r="AD720" i="10"/>
  <c r="AC720" i="10" s="1"/>
  <c r="AD721" i="10"/>
  <c r="AC721" i="10" s="1"/>
  <c r="AD722" i="10"/>
  <c r="AC722" i="10" s="1"/>
  <c r="AD723" i="10"/>
  <c r="AC723" i="10" s="1"/>
  <c r="AD724" i="10"/>
  <c r="AC724" i="10" s="1"/>
  <c r="AD725" i="10"/>
  <c r="AD726" i="10"/>
  <c r="AD727" i="10"/>
  <c r="AD728" i="10"/>
  <c r="AD729" i="10"/>
  <c r="AD730" i="10"/>
  <c r="AD731" i="10"/>
  <c r="AD732" i="10"/>
  <c r="AD733" i="10"/>
  <c r="AD734" i="10"/>
  <c r="AD735" i="10"/>
  <c r="AD736" i="10"/>
  <c r="AD737" i="10"/>
  <c r="AD738" i="10"/>
  <c r="AD739" i="10"/>
  <c r="AD740" i="10"/>
  <c r="AD741" i="10"/>
  <c r="AD742" i="10"/>
  <c r="AD743" i="10"/>
  <c r="AD744" i="10"/>
  <c r="AD745" i="10"/>
  <c r="AD746" i="10"/>
  <c r="AD747" i="10"/>
  <c r="AD748" i="10"/>
  <c r="AD749" i="10"/>
  <c r="AD750" i="10"/>
  <c r="AD751" i="10"/>
  <c r="AD752" i="10"/>
  <c r="AD753" i="10"/>
  <c r="AD754" i="10"/>
  <c r="AD755" i="10"/>
  <c r="AD756" i="10"/>
  <c r="AD757" i="10"/>
  <c r="AD758" i="10"/>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E303" i="13" s="1"/>
  <c r="H303" i="13" s="1" a="1"/>
  <c r="H303" i="13" s="1"/>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D444" i="13" a="1"/>
  <c r="D444" i="13" s="1"/>
  <c r="G444" i="13" s="1"/>
  <c r="I444" i="13" s="1"/>
  <c r="X443" i="13"/>
  <c r="W443" i="13"/>
  <c r="V443" i="13"/>
  <c r="U443" i="13"/>
  <c r="T443" i="13"/>
  <c r="S443" i="13"/>
  <c r="R443" i="13"/>
  <c r="Q443" i="13"/>
  <c r="P443" i="13"/>
  <c r="O443" i="13"/>
  <c r="N443" i="13"/>
  <c r="M443" i="13"/>
  <c r="L443" i="13"/>
  <c r="K443" i="13"/>
  <c r="D443" i="13" a="1"/>
  <c r="D443" i="13" s="1"/>
  <c r="G443" i="13" s="1"/>
  <c r="I443" i="13" s="1"/>
  <c r="X442" i="13"/>
  <c r="W442" i="13"/>
  <c r="V442" i="13"/>
  <c r="U442" i="13"/>
  <c r="T442" i="13"/>
  <c r="S442" i="13"/>
  <c r="R442" i="13"/>
  <c r="Q442" i="13"/>
  <c r="P442" i="13"/>
  <c r="O442" i="13"/>
  <c r="N442" i="13"/>
  <c r="M442" i="13"/>
  <c r="L442" i="13"/>
  <c r="K442" i="13"/>
  <c r="D442" i="13" a="1"/>
  <c r="D442" i="13" s="1"/>
  <c r="G442" i="13" s="1"/>
  <c r="I442" i="13" s="1"/>
  <c r="X441" i="13"/>
  <c r="W441" i="13"/>
  <c r="V441" i="13"/>
  <c r="U441" i="13"/>
  <c r="T441" i="13"/>
  <c r="S441" i="13"/>
  <c r="R441" i="13"/>
  <c r="Q441" i="13"/>
  <c r="P441" i="13"/>
  <c r="O441" i="13"/>
  <c r="N441" i="13"/>
  <c r="M441" i="13"/>
  <c r="L441" i="13"/>
  <c r="K441" i="13"/>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D436" i="13" a="1"/>
  <c r="D436" i="13" s="1"/>
  <c r="G436" i="13" s="1"/>
  <c r="I436" i="13" s="1"/>
  <c r="X435" i="13"/>
  <c r="W435" i="13"/>
  <c r="V435" i="13"/>
  <c r="U435" i="13"/>
  <c r="T435" i="13"/>
  <c r="S435" i="13"/>
  <c r="R435" i="13"/>
  <c r="Q435" i="13"/>
  <c r="P435" i="13"/>
  <c r="O435" i="13"/>
  <c r="N435" i="13"/>
  <c r="M435" i="13"/>
  <c r="L435" i="13"/>
  <c r="K435" i="13"/>
  <c r="D435" i="13" a="1"/>
  <c r="D435" i="13" s="1"/>
  <c r="G435" i="13" s="1"/>
  <c r="I435" i="13" s="1"/>
  <c r="X434" i="13"/>
  <c r="W434" i="13"/>
  <c r="V434" i="13"/>
  <c r="U434" i="13"/>
  <c r="T434" i="13"/>
  <c r="S434" i="13"/>
  <c r="R434" i="13"/>
  <c r="Q434" i="13"/>
  <c r="P434" i="13"/>
  <c r="O434" i="13"/>
  <c r="N434" i="13"/>
  <c r="M434" i="13"/>
  <c r="L434" i="13"/>
  <c r="K434" i="13"/>
  <c r="D434" i="13" a="1"/>
  <c r="D434" i="13" s="1"/>
  <c r="G434" i="13" s="1"/>
  <c r="I434" i="13" s="1"/>
  <c r="X433" i="13"/>
  <c r="W433" i="13"/>
  <c r="V433" i="13"/>
  <c r="U433" i="13"/>
  <c r="T433" i="13"/>
  <c r="S433" i="13"/>
  <c r="R433" i="13"/>
  <c r="Q433" i="13"/>
  <c r="P433" i="13"/>
  <c r="O433" i="13"/>
  <c r="N433" i="13"/>
  <c r="M433" i="13"/>
  <c r="L433" i="13"/>
  <c r="K433" i="13"/>
  <c r="D433" i="13" a="1"/>
  <c r="D433" i="13" s="1"/>
  <c r="G433" i="13" s="1"/>
  <c r="I433" i="13" s="1"/>
  <c r="X432" i="13"/>
  <c r="W432" i="13"/>
  <c r="V432" i="13"/>
  <c r="U432" i="13"/>
  <c r="T432" i="13"/>
  <c r="S432" i="13"/>
  <c r="R432" i="13"/>
  <c r="Q432" i="13"/>
  <c r="P432" i="13"/>
  <c r="O432" i="13"/>
  <c r="N432" i="13"/>
  <c r="M432" i="13"/>
  <c r="L432" i="13"/>
  <c r="K432" i="13"/>
  <c r="D432" i="13" a="1"/>
  <c r="D432" i="13" s="1"/>
  <c r="G432" i="13" s="1"/>
  <c r="I432" i="13" s="1"/>
  <c r="X431" i="13"/>
  <c r="W431" i="13"/>
  <c r="V431" i="13"/>
  <c r="U431" i="13"/>
  <c r="T431" i="13"/>
  <c r="S431" i="13"/>
  <c r="R431" i="13"/>
  <c r="Q431" i="13"/>
  <c r="P431" i="13"/>
  <c r="O431" i="13"/>
  <c r="N431" i="13"/>
  <c r="M431" i="13"/>
  <c r="L431" i="13"/>
  <c r="K431" i="13"/>
  <c r="D431" i="13" a="1"/>
  <c r="D431" i="13" s="1"/>
  <c r="G431" i="13" s="1"/>
  <c r="I431" i="13" s="1"/>
  <c r="X430" i="13"/>
  <c r="W430" i="13"/>
  <c r="V430" i="13"/>
  <c r="U430" i="13"/>
  <c r="T430" i="13"/>
  <c r="S430" i="13"/>
  <c r="R430" i="13"/>
  <c r="Q430" i="13"/>
  <c r="P430" i="13"/>
  <c r="O430" i="13"/>
  <c r="N430" i="13"/>
  <c r="M430" i="13"/>
  <c r="L430" i="13"/>
  <c r="K430" i="13"/>
  <c r="D430" i="13" a="1"/>
  <c r="D430" i="13" s="1"/>
  <c r="G430" i="13" s="1"/>
  <c r="I430" i="13" s="1"/>
  <c r="X429" i="13"/>
  <c r="W429" i="13"/>
  <c r="V429" i="13"/>
  <c r="U429" i="13"/>
  <c r="T429" i="13"/>
  <c r="S429" i="13"/>
  <c r="R429" i="13"/>
  <c r="Q429" i="13"/>
  <c r="P429" i="13"/>
  <c r="O429" i="13"/>
  <c r="N429" i="13"/>
  <c r="M429" i="13"/>
  <c r="L429" i="13"/>
  <c r="K429" i="13"/>
  <c r="D429" i="13" a="1"/>
  <c r="D429" i="13" s="1"/>
  <c r="G429" i="13" s="1"/>
  <c r="I429" i="13" s="1"/>
  <c r="X428" i="13"/>
  <c r="W428" i="13"/>
  <c r="V428" i="13"/>
  <c r="U428" i="13"/>
  <c r="T428" i="13"/>
  <c r="S428" i="13"/>
  <c r="R428" i="13"/>
  <c r="Q428" i="13"/>
  <c r="P428" i="13"/>
  <c r="O428" i="13"/>
  <c r="N428" i="13"/>
  <c r="M428" i="13"/>
  <c r="L428" i="13"/>
  <c r="K428" i="13"/>
  <c r="D428" i="13" a="1"/>
  <c r="D428" i="13" s="1"/>
  <c r="G428" i="13" s="1"/>
  <c r="I428" i="13" s="1"/>
  <c r="X427" i="13"/>
  <c r="W427" i="13"/>
  <c r="V427" i="13"/>
  <c r="U427" i="13"/>
  <c r="T427" i="13"/>
  <c r="S427" i="13"/>
  <c r="R427" i="13"/>
  <c r="Q427" i="13"/>
  <c r="P427" i="13"/>
  <c r="O427" i="13"/>
  <c r="N427" i="13"/>
  <c r="M427" i="13"/>
  <c r="L427" i="13"/>
  <c r="K427" i="13"/>
  <c r="D427" i="13" a="1"/>
  <c r="D427" i="13" s="1"/>
  <c r="G427" i="13" s="1"/>
  <c r="I427" i="13" s="1"/>
  <c r="X426" i="13"/>
  <c r="W426" i="13"/>
  <c r="V426" i="13"/>
  <c r="U426" i="13"/>
  <c r="T426" i="13"/>
  <c r="S426" i="13"/>
  <c r="R426" i="13"/>
  <c r="Q426" i="13"/>
  <c r="P426" i="13"/>
  <c r="O426" i="13"/>
  <c r="N426" i="13"/>
  <c r="M426" i="13"/>
  <c r="L426" i="13"/>
  <c r="K426" i="13"/>
  <c r="D426" i="13" a="1"/>
  <c r="D426" i="13" s="1"/>
  <c r="G426" i="13" s="1"/>
  <c r="I426" i="13" s="1"/>
  <c r="X425" i="13"/>
  <c r="W425" i="13"/>
  <c r="V425" i="13"/>
  <c r="U425" i="13"/>
  <c r="T425" i="13"/>
  <c r="S425" i="13"/>
  <c r="R425" i="13"/>
  <c r="Q425" i="13"/>
  <c r="P425" i="13"/>
  <c r="O425" i="13"/>
  <c r="N425" i="13"/>
  <c r="M425" i="13"/>
  <c r="L425" i="13"/>
  <c r="K425" i="13"/>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D420" i="13" a="1"/>
  <c r="D420" i="13" s="1"/>
  <c r="G420" i="13" s="1"/>
  <c r="I420" i="13" s="1"/>
  <c r="X419" i="13"/>
  <c r="W419" i="13"/>
  <c r="V419" i="13"/>
  <c r="U419" i="13"/>
  <c r="T419" i="13"/>
  <c r="S419" i="13"/>
  <c r="R419" i="13"/>
  <c r="Q419" i="13"/>
  <c r="P419" i="13"/>
  <c r="O419" i="13"/>
  <c r="N419" i="13"/>
  <c r="M419" i="13"/>
  <c r="L419" i="13"/>
  <c r="K419" i="13"/>
  <c r="D419" i="13" a="1"/>
  <c r="D419" i="13" s="1"/>
  <c r="G419" i="13" s="1"/>
  <c r="I419" i="13" s="1"/>
  <c r="X418" i="13"/>
  <c r="W418" i="13"/>
  <c r="V418" i="13"/>
  <c r="U418" i="13"/>
  <c r="T418" i="13"/>
  <c r="S418" i="13"/>
  <c r="R418" i="13"/>
  <c r="Q418" i="13"/>
  <c r="P418" i="13"/>
  <c r="O418" i="13"/>
  <c r="N418" i="13"/>
  <c r="M418" i="13"/>
  <c r="L418" i="13"/>
  <c r="K418" i="13"/>
  <c r="D418" i="13" a="1"/>
  <c r="D418" i="13" s="1"/>
  <c r="G418" i="13" s="1"/>
  <c r="I418" i="13" s="1"/>
  <c r="X417" i="13"/>
  <c r="W417" i="13"/>
  <c r="V417" i="13"/>
  <c r="U417" i="13"/>
  <c r="T417" i="13"/>
  <c r="S417" i="13"/>
  <c r="R417" i="13"/>
  <c r="Q417" i="13"/>
  <c r="P417" i="13"/>
  <c r="O417" i="13"/>
  <c r="N417" i="13"/>
  <c r="M417" i="13"/>
  <c r="L417" i="13"/>
  <c r="K417" i="13"/>
  <c r="D417" i="13" a="1"/>
  <c r="D417" i="13" s="1"/>
  <c r="G417" i="13" s="1"/>
  <c r="I417" i="13" s="1"/>
  <c r="X416" i="13"/>
  <c r="W416" i="13"/>
  <c r="V416" i="13"/>
  <c r="U416" i="13"/>
  <c r="T416" i="13"/>
  <c r="S416" i="13"/>
  <c r="R416" i="13"/>
  <c r="Q416" i="13"/>
  <c r="P416" i="13"/>
  <c r="O416" i="13"/>
  <c r="N416" i="13"/>
  <c r="M416" i="13"/>
  <c r="L416" i="13"/>
  <c r="K416" i="13"/>
  <c r="D416" i="13" a="1"/>
  <c r="D416" i="13" s="1"/>
  <c r="G416" i="13" s="1"/>
  <c r="I416" i="13" s="1"/>
  <c r="X415" i="13"/>
  <c r="W415" i="13"/>
  <c r="V415" i="13"/>
  <c r="U415" i="13"/>
  <c r="T415" i="13"/>
  <c r="S415" i="13"/>
  <c r="R415" i="13"/>
  <c r="Q415" i="13"/>
  <c r="P415" i="13"/>
  <c r="O415" i="13"/>
  <c r="N415" i="13"/>
  <c r="M415" i="13"/>
  <c r="L415" i="13"/>
  <c r="K415" i="13"/>
  <c r="D415" i="13" a="1"/>
  <c r="D415" i="13" s="1"/>
  <c r="G415" i="13" s="1"/>
  <c r="I415" i="13" s="1"/>
  <c r="X414" i="13"/>
  <c r="W414" i="13"/>
  <c r="V414" i="13"/>
  <c r="U414" i="13"/>
  <c r="T414" i="13"/>
  <c r="S414" i="13"/>
  <c r="R414" i="13"/>
  <c r="Q414" i="13"/>
  <c r="P414" i="13"/>
  <c r="O414" i="13"/>
  <c r="N414" i="13"/>
  <c r="M414" i="13"/>
  <c r="L414" i="13"/>
  <c r="K414" i="13"/>
  <c r="D414" i="13" a="1"/>
  <c r="D414" i="13" s="1"/>
  <c r="G414" i="13" s="1"/>
  <c r="I414" i="13" s="1"/>
  <c r="X413" i="13"/>
  <c r="W413" i="13"/>
  <c r="V413" i="13"/>
  <c r="U413" i="13"/>
  <c r="T413" i="13"/>
  <c r="S413" i="13"/>
  <c r="R413" i="13"/>
  <c r="Q413" i="13"/>
  <c r="P413" i="13"/>
  <c r="O413" i="13"/>
  <c r="N413" i="13"/>
  <c r="M413" i="13"/>
  <c r="L413" i="13"/>
  <c r="K413" i="13"/>
  <c r="D413" i="13" a="1"/>
  <c r="D413" i="13" s="1"/>
  <c r="G413" i="13" s="1"/>
  <c r="I413" i="13" s="1"/>
  <c r="X412" i="13"/>
  <c r="W412" i="13"/>
  <c r="V412" i="13"/>
  <c r="U412" i="13"/>
  <c r="T412" i="13"/>
  <c r="S412" i="13"/>
  <c r="R412" i="13"/>
  <c r="Q412" i="13"/>
  <c r="P412" i="13"/>
  <c r="O412" i="13"/>
  <c r="N412" i="13"/>
  <c r="M412" i="13"/>
  <c r="L412" i="13"/>
  <c r="K412" i="13"/>
  <c r="D412" i="13" a="1"/>
  <c r="D412" i="13" s="1"/>
  <c r="G412" i="13" s="1"/>
  <c r="I412" i="13" s="1"/>
  <c r="X411" i="13"/>
  <c r="W411" i="13"/>
  <c r="V411" i="13"/>
  <c r="U411" i="13"/>
  <c r="T411" i="13"/>
  <c r="S411" i="13"/>
  <c r="R411" i="13"/>
  <c r="Q411" i="13"/>
  <c r="P411" i="13"/>
  <c r="O411" i="13"/>
  <c r="N411" i="13"/>
  <c r="M411" i="13"/>
  <c r="L411" i="13"/>
  <c r="K411" i="13"/>
  <c r="D411" i="13" a="1"/>
  <c r="D411" i="13" s="1"/>
  <c r="G411" i="13" s="1"/>
  <c r="I411" i="13" s="1"/>
  <c r="X410" i="13"/>
  <c r="W410" i="13"/>
  <c r="V410" i="13"/>
  <c r="U410" i="13"/>
  <c r="T410" i="13"/>
  <c r="S410" i="13"/>
  <c r="R410" i="13"/>
  <c r="Q410" i="13"/>
  <c r="P410" i="13"/>
  <c r="O410" i="13"/>
  <c r="N410" i="13"/>
  <c r="M410" i="13"/>
  <c r="L410" i="13"/>
  <c r="K410" i="13"/>
  <c r="D410" i="13" a="1"/>
  <c r="D410" i="13" s="1"/>
  <c r="G410" i="13" s="1"/>
  <c r="I410" i="13" s="1"/>
  <c r="X409" i="13"/>
  <c r="W409" i="13"/>
  <c r="V409" i="13"/>
  <c r="U409" i="13"/>
  <c r="T409" i="13"/>
  <c r="S409" i="13"/>
  <c r="R409" i="13"/>
  <c r="Q409" i="13"/>
  <c r="P409" i="13"/>
  <c r="O409" i="13"/>
  <c r="N409" i="13"/>
  <c r="M409" i="13"/>
  <c r="L409" i="13"/>
  <c r="K409" i="13"/>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D404" i="13" a="1"/>
  <c r="D404" i="13" s="1"/>
  <c r="G404" i="13" s="1"/>
  <c r="I404" i="13" s="1"/>
  <c r="X403" i="13"/>
  <c r="W403" i="13"/>
  <c r="V403" i="13"/>
  <c r="U403" i="13"/>
  <c r="T403" i="13"/>
  <c r="S403" i="13"/>
  <c r="R403" i="13"/>
  <c r="Q403" i="13"/>
  <c r="P403" i="13"/>
  <c r="O403" i="13"/>
  <c r="N403" i="13"/>
  <c r="M403" i="13"/>
  <c r="L403" i="13"/>
  <c r="K403" i="13"/>
  <c r="D403" i="13" a="1"/>
  <c r="D403" i="13" s="1"/>
  <c r="G403" i="13" s="1"/>
  <c r="I403" i="13" s="1"/>
  <c r="X402" i="13"/>
  <c r="W402" i="13"/>
  <c r="V402" i="13"/>
  <c r="U402" i="13"/>
  <c r="T402" i="13"/>
  <c r="S402" i="13"/>
  <c r="R402" i="13"/>
  <c r="Q402" i="13"/>
  <c r="P402" i="13"/>
  <c r="O402" i="13"/>
  <c r="N402" i="13"/>
  <c r="M402" i="13"/>
  <c r="L402" i="13"/>
  <c r="K402" i="13"/>
  <c r="D402" i="13" a="1"/>
  <c r="D402" i="13" s="1"/>
  <c r="G402" i="13" s="1"/>
  <c r="I402" i="13" s="1"/>
  <c r="X401" i="13"/>
  <c r="W401" i="13"/>
  <c r="V401" i="13"/>
  <c r="U401" i="13"/>
  <c r="T401" i="13"/>
  <c r="S401" i="13"/>
  <c r="R401" i="13"/>
  <c r="Q401" i="13"/>
  <c r="P401" i="13"/>
  <c r="O401" i="13"/>
  <c r="N401" i="13"/>
  <c r="M401" i="13"/>
  <c r="L401" i="13"/>
  <c r="K401" i="13"/>
  <c r="D401" i="13" a="1"/>
  <c r="D401" i="13" s="1"/>
  <c r="G401" i="13" s="1"/>
  <c r="I401" i="13" s="1"/>
  <c r="X400" i="13"/>
  <c r="W400" i="13"/>
  <c r="V400" i="13"/>
  <c r="U400" i="13"/>
  <c r="T400" i="13"/>
  <c r="S400" i="13"/>
  <c r="R400" i="13"/>
  <c r="Q400" i="13"/>
  <c r="P400" i="13"/>
  <c r="O400" i="13"/>
  <c r="N400" i="13"/>
  <c r="M400" i="13"/>
  <c r="L400" i="13"/>
  <c r="K400" i="13"/>
  <c r="D400" i="13" a="1"/>
  <c r="D400" i="13" s="1"/>
  <c r="G400" i="13" s="1"/>
  <c r="I400" i="13" s="1"/>
  <c r="X399" i="13"/>
  <c r="W399" i="13"/>
  <c r="V399" i="13"/>
  <c r="U399" i="13"/>
  <c r="T399" i="13"/>
  <c r="S399" i="13"/>
  <c r="R399" i="13"/>
  <c r="Q399" i="13"/>
  <c r="P399" i="13"/>
  <c r="O399" i="13"/>
  <c r="N399" i="13"/>
  <c r="M399" i="13"/>
  <c r="L399" i="13"/>
  <c r="K399" i="13"/>
  <c r="D399" i="13" a="1"/>
  <c r="D399" i="13" s="1"/>
  <c r="G399" i="13" s="1"/>
  <c r="I399" i="13" s="1"/>
  <c r="X398" i="13"/>
  <c r="W398" i="13"/>
  <c r="V398" i="13"/>
  <c r="U398" i="13"/>
  <c r="T398" i="13"/>
  <c r="S398" i="13"/>
  <c r="R398" i="13"/>
  <c r="Q398" i="13"/>
  <c r="P398" i="13"/>
  <c r="O398" i="13"/>
  <c r="N398" i="13"/>
  <c r="M398" i="13"/>
  <c r="L398" i="13"/>
  <c r="K398" i="13"/>
  <c r="D398" i="13" a="1"/>
  <c r="D398" i="13" s="1"/>
  <c r="G398" i="13" s="1"/>
  <c r="I398" i="13" s="1"/>
  <c r="X397" i="13"/>
  <c r="W397" i="13"/>
  <c r="V397" i="13"/>
  <c r="U397" i="13"/>
  <c r="T397" i="13"/>
  <c r="S397" i="13"/>
  <c r="R397" i="13"/>
  <c r="Q397" i="13"/>
  <c r="P397" i="13"/>
  <c r="O397" i="13"/>
  <c r="N397" i="13"/>
  <c r="M397" i="13"/>
  <c r="L397" i="13"/>
  <c r="K397" i="13"/>
  <c r="D397" i="13" a="1"/>
  <c r="D397" i="13" s="1"/>
  <c r="G397" i="13" s="1"/>
  <c r="I397" i="13" s="1"/>
  <c r="X396" i="13"/>
  <c r="W396" i="13"/>
  <c r="V396" i="13"/>
  <c r="U396" i="13"/>
  <c r="T396" i="13"/>
  <c r="S396" i="13"/>
  <c r="R396" i="13"/>
  <c r="Q396" i="13"/>
  <c r="P396" i="13"/>
  <c r="O396" i="13"/>
  <c r="N396" i="13"/>
  <c r="M396" i="13"/>
  <c r="L396" i="13"/>
  <c r="K396" i="13"/>
  <c r="D396" i="13" a="1"/>
  <c r="D396" i="13" s="1"/>
  <c r="G396" i="13" s="1"/>
  <c r="I396" i="13" s="1"/>
  <c r="X395" i="13"/>
  <c r="W395" i="13"/>
  <c r="V395" i="13"/>
  <c r="U395" i="13"/>
  <c r="T395" i="13"/>
  <c r="S395" i="13"/>
  <c r="R395" i="13"/>
  <c r="Q395" i="13"/>
  <c r="P395" i="13"/>
  <c r="O395" i="13"/>
  <c r="N395" i="13"/>
  <c r="M395" i="13"/>
  <c r="L395" i="13"/>
  <c r="K395" i="13"/>
  <c r="D395" i="13" a="1"/>
  <c r="D395" i="13" s="1"/>
  <c r="G395" i="13" s="1"/>
  <c r="I395" i="13" s="1"/>
  <c r="X394" i="13"/>
  <c r="W394" i="13"/>
  <c r="V394" i="13"/>
  <c r="U394" i="13"/>
  <c r="T394" i="13"/>
  <c r="S394" i="13"/>
  <c r="R394" i="13"/>
  <c r="Q394" i="13"/>
  <c r="P394" i="13"/>
  <c r="O394" i="13"/>
  <c r="N394" i="13"/>
  <c r="M394" i="13"/>
  <c r="L394" i="13"/>
  <c r="K394" i="13"/>
  <c r="D394" i="13" a="1"/>
  <c r="D394" i="13" s="1"/>
  <c r="G394" i="13" s="1"/>
  <c r="I394" i="13" s="1"/>
  <c r="X393" i="13"/>
  <c r="W393" i="13"/>
  <c r="V393" i="13"/>
  <c r="U393" i="13"/>
  <c r="T393" i="13"/>
  <c r="S393" i="13"/>
  <c r="R393" i="13"/>
  <c r="Q393" i="13"/>
  <c r="P393" i="13"/>
  <c r="O393" i="13"/>
  <c r="N393" i="13"/>
  <c r="M393" i="13"/>
  <c r="L393" i="13"/>
  <c r="K393" i="13"/>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D388" i="13" a="1"/>
  <c r="D388" i="13" s="1"/>
  <c r="G388" i="13" s="1"/>
  <c r="I388" i="13" s="1"/>
  <c r="X387" i="13"/>
  <c r="W387" i="13"/>
  <c r="V387" i="13"/>
  <c r="U387" i="13"/>
  <c r="T387" i="13"/>
  <c r="S387" i="13"/>
  <c r="R387" i="13"/>
  <c r="Q387" i="13"/>
  <c r="P387" i="13"/>
  <c r="O387" i="13"/>
  <c r="N387" i="13"/>
  <c r="M387" i="13"/>
  <c r="L387" i="13"/>
  <c r="K387" i="13"/>
  <c r="D387" i="13" a="1"/>
  <c r="D387" i="13" s="1"/>
  <c r="G387" i="13" s="1"/>
  <c r="I387" i="13" s="1"/>
  <c r="X386" i="13"/>
  <c r="W386" i="13"/>
  <c r="V386" i="13"/>
  <c r="U386" i="13"/>
  <c r="T386" i="13"/>
  <c r="S386" i="13"/>
  <c r="R386" i="13"/>
  <c r="Q386" i="13"/>
  <c r="P386" i="13"/>
  <c r="O386" i="13"/>
  <c r="N386" i="13"/>
  <c r="M386" i="13"/>
  <c r="L386" i="13"/>
  <c r="K386" i="13"/>
  <c r="D386" i="13" a="1"/>
  <c r="D386" i="13" s="1"/>
  <c r="G386" i="13" s="1"/>
  <c r="I386" i="13" s="1"/>
  <c r="X385" i="13"/>
  <c r="W385" i="13"/>
  <c r="V385" i="13"/>
  <c r="U385" i="13"/>
  <c r="T385" i="13"/>
  <c r="S385" i="13"/>
  <c r="R385" i="13"/>
  <c r="Q385" i="13"/>
  <c r="P385" i="13"/>
  <c r="O385" i="13"/>
  <c r="N385" i="13"/>
  <c r="M385" i="13"/>
  <c r="L385" i="13"/>
  <c r="K385" i="13"/>
  <c r="D385" i="13" a="1"/>
  <c r="D385" i="13" s="1"/>
  <c r="G385" i="13" s="1"/>
  <c r="I385" i="13" s="1"/>
  <c r="X384" i="13"/>
  <c r="W384" i="13"/>
  <c r="V384" i="13"/>
  <c r="U384" i="13"/>
  <c r="T384" i="13"/>
  <c r="S384" i="13"/>
  <c r="R384" i="13"/>
  <c r="Q384" i="13"/>
  <c r="P384" i="13"/>
  <c r="O384" i="13"/>
  <c r="N384" i="13"/>
  <c r="M384" i="13"/>
  <c r="L384" i="13"/>
  <c r="K384" i="13"/>
  <c r="D384" i="13" a="1"/>
  <c r="D384" i="13" s="1"/>
  <c r="G384" i="13" s="1"/>
  <c r="I384" i="13" s="1"/>
  <c r="X383" i="13"/>
  <c r="W383" i="13"/>
  <c r="V383" i="13"/>
  <c r="U383" i="13"/>
  <c r="T383" i="13"/>
  <c r="S383" i="13"/>
  <c r="R383" i="13"/>
  <c r="Q383" i="13"/>
  <c r="P383" i="13"/>
  <c r="O383" i="13"/>
  <c r="N383" i="13"/>
  <c r="M383" i="13"/>
  <c r="L383" i="13"/>
  <c r="K383" i="13"/>
  <c r="D383" i="13" a="1"/>
  <c r="D383" i="13" s="1"/>
  <c r="G383" i="13" s="1"/>
  <c r="I383" i="13" s="1"/>
  <c r="X382" i="13"/>
  <c r="W382" i="13"/>
  <c r="V382" i="13"/>
  <c r="U382" i="13"/>
  <c r="T382" i="13"/>
  <c r="S382" i="13"/>
  <c r="R382" i="13"/>
  <c r="Q382" i="13"/>
  <c r="P382" i="13"/>
  <c r="O382" i="13"/>
  <c r="N382" i="13"/>
  <c r="M382" i="13"/>
  <c r="L382" i="13"/>
  <c r="K382" i="13"/>
  <c r="D382" i="13" a="1"/>
  <c r="D382" i="13" s="1"/>
  <c r="G382" i="13" s="1"/>
  <c r="I382" i="13" s="1"/>
  <c r="X381" i="13"/>
  <c r="W381" i="13"/>
  <c r="V381" i="13"/>
  <c r="U381" i="13"/>
  <c r="T381" i="13"/>
  <c r="S381" i="13"/>
  <c r="R381" i="13"/>
  <c r="Q381" i="13"/>
  <c r="P381" i="13"/>
  <c r="O381" i="13"/>
  <c r="N381" i="13"/>
  <c r="M381" i="13"/>
  <c r="L381" i="13"/>
  <c r="K381" i="13"/>
  <c r="D381" i="13" a="1"/>
  <c r="D381" i="13" s="1"/>
  <c r="G381" i="13" s="1"/>
  <c r="I381" i="13" s="1"/>
  <c r="X380" i="13"/>
  <c r="W380" i="13"/>
  <c r="V380" i="13"/>
  <c r="U380" i="13"/>
  <c r="T380" i="13"/>
  <c r="S380" i="13"/>
  <c r="R380" i="13"/>
  <c r="Q380" i="13"/>
  <c r="P380" i="13"/>
  <c r="O380" i="13"/>
  <c r="N380" i="13"/>
  <c r="M380" i="13"/>
  <c r="L380" i="13"/>
  <c r="K380" i="13"/>
  <c r="D380" i="13" a="1"/>
  <c r="D380" i="13" s="1"/>
  <c r="G380" i="13" s="1"/>
  <c r="I380" i="13" s="1"/>
  <c r="X379" i="13"/>
  <c r="W379" i="13"/>
  <c r="V379" i="13"/>
  <c r="U379" i="13"/>
  <c r="T379" i="13"/>
  <c r="S379" i="13"/>
  <c r="R379" i="13"/>
  <c r="Q379" i="13"/>
  <c r="P379" i="13"/>
  <c r="O379" i="13"/>
  <c r="N379" i="13"/>
  <c r="M379" i="13"/>
  <c r="L379" i="13"/>
  <c r="K379" i="13"/>
  <c r="D379" i="13" a="1"/>
  <c r="D379" i="13" s="1"/>
  <c r="G379" i="13" s="1"/>
  <c r="I379" i="13" s="1"/>
  <c r="X378" i="13"/>
  <c r="W378" i="13"/>
  <c r="V378" i="13"/>
  <c r="U378" i="13"/>
  <c r="T378" i="13"/>
  <c r="S378" i="13"/>
  <c r="R378" i="13"/>
  <c r="Q378" i="13"/>
  <c r="P378" i="13"/>
  <c r="O378" i="13"/>
  <c r="N378" i="13"/>
  <c r="M378" i="13"/>
  <c r="L378" i="13"/>
  <c r="K378" i="13"/>
  <c r="D378" i="13" a="1"/>
  <c r="D378" i="13" s="1"/>
  <c r="G378" i="13" s="1"/>
  <c r="I378" i="13" s="1"/>
  <c r="X377" i="13"/>
  <c r="W377" i="13"/>
  <c r="V377" i="13"/>
  <c r="U377" i="13"/>
  <c r="T377" i="13"/>
  <c r="S377" i="13"/>
  <c r="R377" i="13"/>
  <c r="Q377" i="13"/>
  <c r="P377" i="13"/>
  <c r="O377" i="13"/>
  <c r="N377" i="13"/>
  <c r="M377" i="13"/>
  <c r="L377" i="13"/>
  <c r="K377" i="13"/>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D372" i="13" a="1"/>
  <c r="D372" i="13" s="1"/>
  <c r="G372" i="13" s="1"/>
  <c r="I372" i="13" s="1"/>
  <c r="X371" i="13"/>
  <c r="W371" i="13"/>
  <c r="V371" i="13"/>
  <c r="U371" i="13"/>
  <c r="T371" i="13"/>
  <c r="S371" i="13"/>
  <c r="R371" i="13"/>
  <c r="Q371" i="13"/>
  <c r="P371" i="13"/>
  <c r="O371" i="13"/>
  <c r="N371" i="13"/>
  <c r="M371" i="13"/>
  <c r="L371" i="13"/>
  <c r="K371" i="13"/>
  <c r="D371" i="13" a="1"/>
  <c r="D371" i="13" s="1"/>
  <c r="G371" i="13" s="1"/>
  <c r="I371" i="13" s="1"/>
  <c r="X370" i="13"/>
  <c r="W370" i="13"/>
  <c r="V370" i="13"/>
  <c r="U370" i="13"/>
  <c r="T370" i="13"/>
  <c r="S370" i="13"/>
  <c r="R370" i="13"/>
  <c r="Q370" i="13"/>
  <c r="P370" i="13"/>
  <c r="O370" i="13"/>
  <c r="N370" i="13"/>
  <c r="M370" i="13"/>
  <c r="L370" i="13"/>
  <c r="K370" i="13"/>
  <c r="D370" i="13" a="1"/>
  <c r="D370" i="13" s="1"/>
  <c r="G370" i="13" s="1"/>
  <c r="I370" i="13" s="1"/>
  <c r="X369" i="13"/>
  <c r="W369" i="13"/>
  <c r="V369" i="13"/>
  <c r="U369" i="13"/>
  <c r="T369" i="13"/>
  <c r="S369" i="13"/>
  <c r="R369" i="13"/>
  <c r="Q369" i="13"/>
  <c r="P369" i="13"/>
  <c r="O369" i="13"/>
  <c r="N369" i="13"/>
  <c r="M369" i="13"/>
  <c r="L369" i="13"/>
  <c r="K369" i="13"/>
  <c r="D369" i="13" a="1"/>
  <c r="D369" i="13" s="1"/>
  <c r="G369" i="13" s="1"/>
  <c r="I369" i="13" s="1"/>
  <c r="X368" i="13"/>
  <c r="W368" i="13"/>
  <c r="V368" i="13"/>
  <c r="U368" i="13"/>
  <c r="T368" i="13"/>
  <c r="S368" i="13"/>
  <c r="R368" i="13"/>
  <c r="Q368" i="13"/>
  <c r="P368" i="13"/>
  <c r="O368" i="13"/>
  <c r="N368" i="13"/>
  <c r="M368" i="13"/>
  <c r="L368" i="13"/>
  <c r="K368" i="13"/>
  <c r="D368" i="13" a="1"/>
  <c r="D368" i="13" s="1"/>
  <c r="G368" i="13" s="1"/>
  <c r="I368" i="13" s="1"/>
  <c r="X367" i="13"/>
  <c r="W367" i="13"/>
  <c r="V367" i="13"/>
  <c r="U367" i="13"/>
  <c r="T367" i="13"/>
  <c r="S367" i="13"/>
  <c r="R367" i="13"/>
  <c r="Q367" i="13"/>
  <c r="P367" i="13"/>
  <c r="O367" i="13"/>
  <c r="N367" i="13"/>
  <c r="M367" i="13"/>
  <c r="L367" i="13"/>
  <c r="K367" i="13"/>
  <c r="D367" i="13" a="1"/>
  <c r="D367" i="13" s="1"/>
  <c r="G367" i="13" s="1"/>
  <c r="I367" i="13" s="1"/>
  <c r="X366" i="13"/>
  <c r="W366" i="13"/>
  <c r="V366" i="13"/>
  <c r="U366" i="13"/>
  <c r="T366" i="13"/>
  <c r="S366" i="13"/>
  <c r="R366" i="13"/>
  <c r="Q366" i="13"/>
  <c r="P366" i="13"/>
  <c r="O366" i="13"/>
  <c r="N366" i="13"/>
  <c r="M366" i="13"/>
  <c r="L366" i="13"/>
  <c r="K366" i="13"/>
  <c r="D366" i="13" a="1"/>
  <c r="D366" i="13" s="1"/>
  <c r="G366" i="13" s="1"/>
  <c r="I366" i="13" s="1"/>
  <c r="X365" i="13"/>
  <c r="W365" i="13"/>
  <c r="V365" i="13"/>
  <c r="U365" i="13"/>
  <c r="T365" i="13"/>
  <c r="S365" i="13"/>
  <c r="R365" i="13"/>
  <c r="Q365" i="13"/>
  <c r="P365" i="13"/>
  <c r="O365" i="13"/>
  <c r="N365" i="13"/>
  <c r="M365" i="13"/>
  <c r="L365" i="13"/>
  <c r="K365" i="13"/>
  <c r="D365" i="13" a="1"/>
  <c r="D365" i="13" s="1"/>
  <c r="G365" i="13" s="1"/>
  <c r="I365" i="13" s="1"/>
  <c r="X364" i="13"/>
  <c r="W364" i="13"/>
  <c r="V364" i="13"/>
  <c r="U364" i="13"/>
  <c r="T364" i="13"/>
  <c r="S364" i="13"/>
  <c r="R364" i="13"/>
  <c r="Q364" i="13"/>
  <c r="P364" i="13"/>
  <c r="O364" i="13"/>
  <c r="N364" i="13"/>
  <c r="M364" i="13"/>
  <c r="L364" i="13"/>
  <c r="K364" i="13"/>
  <c r="D364" i="13" a="1"/>
  <c r="D364" i="13" s="1"/>
  <c r="G364" i="13" s="1"/>
  <c r="I364" i="13" s="1"/>
  <c r="X363" i="13"/>
  <c r="W363" i="13"/>
  <c r="V363" i="13"/>
  <c r="U363" i="13"/>
  <c r="T363" i="13"/>
  <c r="S363" i="13"/>
  <c r="R363" i="13"/>
  <c r="Q363" i="13"/>
  <c r="P363" i="13"/>
  <c r="O363" i="13"/>
  <c r="N363" i="13"/>
  <c r="M363" i="13"/>
  <c r="L363" i="13"/>
  <c r="K363" i="13"/>
  <c r="D363" i="13" a="1"/>
  <c r="D363" i="13" s="1"/>
  <c r="G363" i="13" s="1"/>
  <c r="I363" i="13" s="1"/>
  <c r="X362" i="13"/>
  <c r="W362" i="13"/>
  <c r="V362" i="13"/>
  <c r="U362" i="13"/>
  <c r="T362" i="13"/>
  <c r="S362" i="13"/>
  <c r="R362" i="13"/>
  <c r="Q362" i="13"/>
  <c r="P362" i="13"/>
  <c r="O362" i="13"/>
  <c r="N362" i="13"/>
  <c r="M362" i="13"/>
  <c r="L362" i="13"/>
  <c r="K362" i="13"/>
  <c r="D362" i="13" a="1"/>
  <c r="D362" i="13" s="1"/>
  <c r="G362" i="13" s="1"/>
  <c r="I362" i="13" s="1"/>
  <c r="X361" i="13"/>
  <c r="W361" i="13"/>
  <c r="V361" i="13"/>
  <c r="U361" i="13"/>
  <c r="T361" i="13"/>
  <c r="S361" i="13"/>
  <c r="R361" i="13"/>
  <c r="Q361" i="13"/>
  <c r="P361" i="13"/>
  <c r="O361" i="13"/>
  <c r="N361" i="13"/>
  <c r="M361" i="13"/>
  <c r="L361" i="13"/>
  <c r="K361" i="13"/>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D356" i="13" a="1"/>
  <c r="D356" i="13" s="1"/>
  <c r="G356" i="13" s="1"/>
  <c r="I356" i="13" s="1"/>
  <c r="X355" i="13"/>
  <c r="W355" i="13"/>
  <c r="V355" i="13"/>
  <c r="U355" i="13"/>
  <c r="T355" i="13"/>
  <c r="S355" i="13"/>
  <c r="R355" i="13"/>
  <c r="Q355" i="13"/>
  <c r="P355" i="13"/>
  <c r="O355" i="13"/>
  <c r="N355" i="13"/>
  <c r="M355" i="13"/>
  <c r="L355" i="13"/>
  <c r="K355" i="13"/>
  <c r="D355" i="13" a="1"/>
  <c r="D355" i="13" s="1"/>
  <c r="G355" i="13" s="1"/>
  <c r="I355" i="13" s="1"/>
  <c r="X354" i="13"/>
  <c r="W354" i="13"/>
  <c r="V354" i="13"/>
  <c r="U354" i="13"/>
  <c r="T354" i="13"/>
  <c r="S354" i="13"/>
  <c r="R354" i="13"/>
  <c r="Q354" i="13"/>
  <c r="P354" i="13"/>
  <c r="O354" i="13"/>
  <c r="N354" i="13"/>
  <c r="M354" i="13"/>
  <c r="L354" i="13"/>
  <c r="K354" i="13"/>
  <c r="H354" i="13" a="1"/>
  <c r="H354" i="13" s="1"/>
  <c r="D354" i="13" a="1"/>
  <c r="D354" i="13" s="1"/>
  <c r="G354" i="13" s="1"/>
  <c r="I354" i="13" s="1"/>
  <c r="X353" i="13"/>
  <c r="W353" i="13"/>
  <c r="V353" i="13"/>
  <c r="U353" i="13"/>
  <c r="T353" i="13"/>
  <c r="S353" i="13"/>
  <c r="R353" i="13"/>
  <c r="Q353" i="13"/>
  <c r="P353" i="13"/>
  <c r="O353" i="13"/>
  <c r="N353" i="13"/>
  <c r="M353" i="13"/>
  <c r="L353" i="13"/>
  <c r="K353" i="13"/>
  <c r="H353" i="13" a="1"/>
  <c r="H353" i="13" s="1"/>
  <c r="D353" i="13" a="1"/>
  <c r="D353" i="13" s="1"/>
  <c r="G353" i="13" s="1"/>
  <c r="I353" i="13" s="1"/>
  <c r="X352" i="13"/>
  <c r="W352" i="13"/>
  <c r="V352" i="13"/>
  <c r="U352" i="13"/>
  <c r="T352" i="13"/>
  <c r="S352" i="13"/>
  <c r="R352" i="13"/>
  <c r="Q352" i="13"/>
  <c r="P352" i="13"/>
  <c r="O352" i="13"/>
  <c r="N352" i="13"/>
  <c r="M352" i="13"/>
  <c r="L352" i="13"/>
  <c r="K352" i="13"/>
  <c r="H352" i="13" a="1"/>
  <c r="H352" i="13" s="1"/>
  <c r="D352" i="13" a="1"/>
  <c r="D352" i="13" s="1"/>
  <c r="G352" i="13" s="1"/>
  <c r="I352" i="13" s="1"/>
  <c r="X351" i="13"/>
  <c r="W351" i="13"/>
  <c r="V351" i="13"/>
  <c r="U351" i="13"/>
  <c r="T351" i="13"/>
  <c r="S351" i="13"/>
  <c r="R351" i="13"/>
  <c r="Q351" i="13"/>
  <c r="P351" i="13"/>
  <c r="O351" i="13"/>
  <c r="N351" i="13"/>
  <c r="M351" i="13"/>
  <c r="L351" i="13"/>
  <c r="K351" i="13"/>
  <c r="H351" i="13" a="1"/>
  <c r="H351" i="13" s="1"/>
  <c r="D351" i="13" a="1"/>
  <c r="D351" i="13" s="1"/>
  <c r="G351" i="13" s="1"/>
  <c r="I351" i="13" s="1"/>
  <c r="X350" i="13"/>
  <c r="W350" i="13"/>
  <c r="V350" i="13"/>
  <c r="U350" i="13"/>
  <c r="T350" i="13"/>
  <c r="S350" i="13"/>
  <c r="R350" i="13"/>
  <c r="Q350" i="13"/>
  <c r="P350" i="13"/>
  <c r="O350" i="13"/>
  <c r="N350" i="13"/>
  <c r="M350" i="13"/>
  <c r="L350" i="13"/>
  <c r="K350" i="13"/>
  <c r="H350" i="13" a="1"/>
  <c r="H350" i="13" s="1"/>
  <c r="D350" i="13" a="1"/>
  <c r="D350" i="13" s="1"/>
  <c r="G350" i="13" s="1"/>
  <c r="I350" i="13" s="1"/>
  <c r="X349" i="13"/>
  <c r="W349" i="13"/>
  <c r="V349" i="13"/>
  <c r="U349" i="13"/>
  <c r="T349" i="13"/>
  <c r="S349" i="13"/>
  <c r="R349" i="13"/>
  <c r="Q349" i="13"/>
  <c r="P349" i="13"/>
  <c r="O349" i="13"/>
  <c r="N349" i="13"/>
  <c r="M349" i="13"/>
  <c r="L349" i="13"/>
  <c r="K349" i="13"/>
  <c r="H349" i="13" a="1"/>
  <c r="H349" i="13" s="1"/>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W344" i="13"/>
  <c r="V344" i="13"/>
  <c r="U344" i="13"/>
  <c r="T344" i="13"/>
  <c r="S344" i="13"/>
  <c r="R344" i="13"/>
  <c r="Q344" i="13"/>
  <c r="P344" i="13"/>
  <c r="O344" i="13"/>
  <c r="N344" i="13"/>
  <c r="M344" i="13"/>
  <c r="L344" i="13"/>
  <c r="K344" i="13"/>
  <c r="D344" i="13" a="1"/>
  <c r="D344" i="13" s="1"/>
  <c r="G344" i="13" s="1"/>
  <c r="I344" i="13" s="1"/>
  <c r="X343" i="13"/>
  <c r="W343" i="13"/>
  <c r="V343" i="13"/>
  <c r="U343" i="13"/>
  <c r="T343" i="13"/>
  <c r="S343" i="13"/>
  <c r="R343" i="13"/>
  <c r="Q343" i="13"/>
  <c r="P343" i="13"/>
  <c r="O343" i="13"/>
  <c r="N343" i="13"/>
  <c r="M343" i="13"/>
  <c r="L343" i="13"/>
  <c r="K343" i="13"/>
  <c r="D343" i="13" a="1"/>
  <c r="D343" i="13" s="1"/>
  <c r="G343" i="13" s="1"/>
  <c r="I343" i="13" s="1"/>
  <c r="X342" i="13"/>
  <c r="W342" i="13"/>
  <c r="V342" i="13"/>
  <c r="U342" i="13"/>
  <c r="T342" i="13"/>
  <c r="S342" i="13"/>
  <c r="R342" i="13"/>
  <c r="Q342" i="13"/>
  <c r="P342" i="13"/>
  <c r="O342" i="13"/>
  <c r="N342" i="13"/>
  <c r="M342" i="13"/>
  <c r="L342" i="13"/>
  <c r="K342" i="13"/>
  <c r="D342" i="13" a="1"/>
  <c r="D342" i="13" s="1"/>
  <c r="G342" i="13" s="1"/>
  <c r="I342" i="13" s="1"/>
  <c r="X341" i="13"/>
  <c r="W341" i="13"/>
  <c r="V341" i="13"/>
  <c r="U341" i="13"/>
  <c r="T341" i="13"/>
  <c r="S341" i="13"/>
  <c r="R341" i="13"/>
  <c r="Q341" i="13"/>
  <c r="P341" i="13"/>
  <c r="O341" i="13"/>
  <c r="N341" i="13"/>
  <c r="M341" i="13"/>
  <c r="L341" i="13"/>
  <c r="K341" i="13"/>
  <c r="D341" i="13" a="1"/>
  <c r="D341" i="13" s="1"/>
  <c r="G341" i="13" s="1"/>
  <c r="I341" i="13" s="1"/>
  <c r="X340" i="13"/>
  <c r="W340" i="13"/>
  <c r="V340" i="13"/>
  <c r="U340" i="13"/>
  <c r="T340" i="13"/>
  <c r="S340" i="13"/>
  <c r="R340" i="13"/>
  <c r="Q340" i="13"/>
  <c r="P340" i="13"/>
  <c r="O340" i="13"/>
  <c r="N340" i="13"/>
  <c r="M340" i="13"/>
  <c r="L340" i="13"/>
  <c r="K340" i="13"/>
  <c r="H340" i="13" a="1"/>
  <c r="H340" i="13" s="1"/>
  <c r="D340" i="13" a="1"/>
  <c r="D340" i="13" s="1"/>
  <c r="G340" i="13" s="1"/>
  <c r="I340" i="13" s="1"/>
  <c r="X339" i="13"/>
  <c r="W339" i="13"/>
  <c r="V339" i="13"/>
  <c r="U339" i="13"/>
  <c r="T339" i="13"/>
  <c r="S339" i="13"/>
  <c r="R339" i="13"/>
  <c r="Q339" i="13"/>
  <c r="P339" i="13"/>
  <c r="O339" i="13"/>
  <c r="N339" i="13"/>
  <c r="M339" i="13"/>
  <c r="L339" i="13"/>
  <c r="K339" i="13"/>
  <c r="H339" i="13" a="1"/>
  <c r="H339" i="13" s="1"/>
  <c r="D339" i="13" a="1"/>
  <c r="D339" i="13" s="1"/>
  <c r="G339" i="13" s="1"/>
  <c r="I339" i="13" s="1"/>
  <c r="X338" i="13"/>
  <c r="W338" i="13"/>
  <c r="V338" i="13"/>
  <c r="U338" i="13"/>
  <c r="T338" i="13"/>
  <c r="S338" i="13"/>
  <c r="R338" i="13"/>
  <c r="Q338" i="13"/>
  <c r="P338" i="13"/>
  <c r="O338" i="13"/>
  <c r="N338" i="13"/>
  <c r="M338" i="13"/>
  <c r="L338" i="13"/>
  <c r="K338" i="13"/>
  <c r="H338" i="13" a="1"/>
  <c r="H338" i="13" s="1"/>
  <c r="D338" i="13" a="1"/>
  <c r="D338" i="13" s="1"/>
  <c r="G338" i="13" s="1"/>
  <c r="I338" i="13" s="1"/>
  <c r="X337" i="13"/>
  <c r="W337" i="13"/>
  <c r="V337" i="13"/>
  <c r="U337" i="13"/>
  <c r="T337" i="13"/>
  <c r="S337" i="13"/>
  <c r="R337" i="13"/>
  <c r="Q337" i="13"/>
  <c r="P337" i="13"/>
  <c r="O337" i="13"/>
  <c r="N337" i="13"/>
  <c r="M337" i="13"/>
  <c r="L337" i="13"/>
  <c r="K337" i="13"/>
  <c r="H337" i="13" a="1"/>
  <c r="H337" i="13" s="1"/>
  <c r="D337" i="13" a="1"/>
  <c r="D337" i="13" s="1"/>
  <c r="G337" i="13" s="1"/>
  <c r="I337" i="13" s="1"/>
  <c r="X336" i="13"/>
  <c r="W336" i="13"/>
  <c r="V336" i="13"/>
  <c r="U336" i="13"/>
  <c r="T336" i="13"/>
  <c r="S336" i="13"/>
  <c r="R336" i="13"/>
  <c r="Q336" i="13"/>
  <c r="P336" i="13"/>
  <c r="O336" i="13"/>
  <c r="N336" i="13"/>
  <c r="M336" i="13"/>
  <c r="L336" i="13"/>
  <c r="K336" i="13"/>
  <c r="H336" i="13" a="1"/>
  <c r="H336" i="13" s="1"/>
  <c r="D336" i="13" a="1"/>
  <c r="D336" i="13" s="1"/>
  <c r="G336" i="13" s="1"/>
  <c r="I336" i="13" s="1"/>
  <c r="X335" i="13"/>
  <c r="W335" i="13"/>
  <c r="V335" i="13"/>
  <c r="U335" i="13"/>
  <c r="T335" i="13"/>
  <c r="S335" i="13"/>
  <c r="R335" i="13"/>
  <c r="Q335" i="13"/>
  <c r="P335" i="13"/>
  <c r="O335" i="13"/>
  <c r="N335" i="13"/>
  <c r="M335" i="13"/>
  <c r="L335" i="13"/>
  <c r="K335" i="13"/>
  <c r="H335" i="13" a="1"/>
  <c r="H335" i="13" s="1"/>
  <c r="D335" i="13" a="1"/>
  <c r="D335" i="13" s="1"/>
  <c r="G335" i="13" s="1"/>
  <c r="I335" i="13" s="1"/>
  <c r="X334" i="13"/>
  <c r="W334" i="13"/>
  <c r="V334" i="13"/>
  <c r="U334" i="13"/>
  <c r="T334" i="13"/>
  <c r="S334" i="13"/>
  <c r="R334" i="13"/>
  <c r="Q334" i="13"/>
  <c r="P334" i="13"/>
  <c r="O334" i="13"/>
  <c r="N334" i="13"/>
  <c r="M334" i="13"/>
  <c r="L334" i="13"/>
  <c r="K334" i="13"/>
  <c r="H334" i="13" a="1"/>
  <c r="H334" i="13" s="1"/>
  <c r="D334" i="13" a="1"/>
  <c r="D334" i="13" s="1"/>
  <c r="G334" i="13" s="1"/>
  <c r="I334" i="13" s="1"/>
  <c r="X333" i="13"/>
  <c r="W333" i="13"/>
  <c r="V333" i="13"/>
  <c r="U333" i="13"/>
  <c r="T333" i="13"/>
  <c r="S333" i="13"/>
  <c r="R333" i="13"/>
  <c r="Q333" i="13"/>
  <c r="P333" i="13"/>
  <c r="O333" i="13"/>
  <c r="N333" i="13"/>
  <c r="M333" i="13"/>
  <c r="L333" i="13"/>
  <c r="K333" i="13"/>
  <c r="H333" i="13" a="1"/>
  <c r="H333" i="13" s="1"/>
  <c r="D333" i="13" a="1"/>
  <c r="D333" i="13" s="1"/>
  <c r="G333" i="13" s="1"/>
  <c r="I333" i="13" s="1"/>
  <c r="X332" i="13"/>
  <c r="W332" i="13"/>
  <c r="V332" i="13"/>
  <c r="U332" i="13"/>
  <c r="T332" i="13"/>
  <c r="S332" i="13"/>
  <c r="R332" i="13"/>
  <c r="Q332" i="13"/>
  <c r="P332" i="13"/>
  <c r="O332" i="13"/>
  <c r="N332" i="13"/>
  <c r="M332" i="13"/>
  <c r="L332" i="13"/>
  <c r="K332" i="13"/>
  <c r="H332" i="13" a="1"/>
  <c r="H332" i="13" s="1"/>
  <c r="D332" i="13" a="1"/>
  <c r="D332" i="13" s="1"/>
  <c r="G332" i="13" s="1"/>
  <c r="I332" i="13" s="1"/>
  <c r="X331" i="13"/>
  <c r="W331" i="13"/>
  <c r="V331" i="13"/>
  <c r="U331" i="13"/>
  <c r="T331" i="13"/>
  <c r="S331" i="13"/>
  <c r="R331" i="13"/>
  <c r="Q331" i="13"/>
  <c r="P331" i="13"/>
  <c r="O331" i="13"/>
  <c r="N331" i="13"/>
  <c r="M331" i="13"/>
  <c r="L331" i="13"/>
  <c r="K331" i="13"/>
  <c r="H331" i="13" a="1"/>
  <c r="H331" i="13" s="1"/>
  <c r="D331" i="13" a="1"/>
  <c r="D331" i="13" s="1"/>
  <c r="G331" i="13" s="1"/>
  <c r="I331" i="13" s="1"/>
  <c r="X330" i="13"/>
  <c r="D330" i="13" a="1"/>
  <c r="D330" i="13" s="1"/>
  <c r="X329" i="13"/>
  <c r="D329" i="13" a="1"/>
  <c r="D329" i="13" s="1"/>
  <c r="X328" i="13"/>
  <c r="D328" i="13" a="1"/>
  <c r="D328" i="13" s="1"/>
  <c r="X327" i="13"/>
  <c r="D327" i="13" a="1"/>
  <c r="D327" i="13" s="1"/>
  <c r="X326" i="13"/>
  <c r="D326" i="13" a="1"/>
  <c r="D326" i="13" s="1"/>
  <c r="X325" i="13"/>
  <c r="D325" i="13" a="1"/>
  <c r="D325" i="13" s="1"/>
  <c r="X324" i="13"/>
  <c r="D324" i="13" a="1"/>
  <c r="D324" i="13" s="1"/>
  <c r="X323" i="13"/>
  <c r="D323" i="13" a="1"/>
  <c r="D323" i="13" s="1"/>
  <c r="X322" i="13"/>
  <c r="D322" i="13" a="1"/>
  <c r="D322" i="13" s="1"/>
  <c r="X321" i="13"/>
  <c r="D321" i="13" a="1"/>
  <c r="D321" i="13" s="1"/>
  <c r="X320" i="13"/>
  <c r="D320" i="13" a="1"/>
  <c r="D320" i="13" s="1"/>
  <c r="X319" i="13"/>
  <c r="D319" i="13" a="1"/>
  <c r="D319" i="13" s="1"/>
  <c r="X318" i="13"/>
  <c r="D318" i="13" a="1"/>
  <c r="D318" i="13" s="1"/>
  <c r="X317" i="13"/>
  <c r="D317" i="13" a="1"/>
  <c r="D317" i="13" s="1"/>
  <c r="X316" i="13"/>
  <c r="D316" i="13" a="1"/>
  <c r="D316" i="13" s="1"/>
  <c r="X315" i="13"/>
  <c r="D315" i="13" a="1"/>
  <c r="D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O21" i="12"/>
  <c r="N21" i="12"/>
  <c r="G21" i="12"/>
  <c r="F21" i="12"/>
  <c r="I21" i="12" s="1"/>
  <c r="N20" i="12"/>
  <c r="O20" i="12" s="1"/>
  <c r="G20" i="12"/>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AB758" i="10"/>
  <c r="AA758" i="10"/>
  <c r="Z758" i="10"/>
  <c r="Y758" i="10"/>
  <c r="X758" i="10"/>
  <c r="W758" i="10"/>
  <c r="V758" i="10"/>
  <c r="U758" i="10"/>
  <c r="T758" i="10"/>
  <c r="S758" i="10"/>
  <c r="R758" i="10"/>
  <c r="Q758" i="10"/>
  <c r="P758" i="10"/>
  <c r="N758" i="10"/>
  <c r="M758" i="10"/>
  <c r="L758" i="10"/>
  <c r="K758" i="10"/>
  <c r="J758" i="10"/>
  <c r="I758" i="10"/>
  <c r="H758" i="10"/>
  <c r="G758" i="10"/>
  <c r="F758" i="10"/>
  <c r="AB757" i="10"/>
  <c r="AA757" i="10"/>
  <c r="Z757" i="10"/>
  <c r="Y757" i="10"/>
  <c r="X757" i="10"/>
  <c r="W757" i="10"/>
  <c r="V757" i="10"/>
  <c r="U757" i="10"/>
  <c r="T757" i="10"/>
  <c r="S757" i="10"/>
  <c r="R757" i="10"/>
  <c r="Q757" i="10"/>
  <c r="P757" i="10"/>
  <c r="N757" i="10"/>
  <c r="M757" i="10"/>
  <c r="L757" i="10"/>
  <c r="K757" i="10"/>
  <c r="J757" i="10"/>
  <c r="I757" i="10"/>
  <c r="H757" i="10"/>
  <c r="G757" i="10"/>
  <c r="F757" i="10"/>
  <c r="AB756" i="10"/>
  <c r="AA756" i="10"/>
  <c r="Z756" i="10"/>
  <c r="Y756" i="10"/>
  <c r="X756" i="10"/>
  <c r="W756" i="10"/>
  <c r="V756" i="10"/>
  <c r="U756" i="10"/>
  <c r="T756" i="10"/>
  <c r="S756" i="10"/>
  <c r="R756" i="10"/>
  <c r="Q756" i="10"/>
  <c r="P756" i="10"/>
  <c r="N756" i="10"/>
  <c r="M756" i="10"/>
  <c r="L756" i="10"/>
  <c r="K756" i="10"/>
  <c r="J756" i="10"/>
  <c r="I756" i="10"/>
  <c r="H756" i="10"/>
  <c r="G756" i="10"/>
  <c r="F756" i="10"/>
  <c r="AB755" i="10"/>
  <c r="AA755" i="10"/>
  <c r="Z755" i="10"/>
  <c r="Y755" i="10"/>
  <c r="X755" i="10"/>
  <c r="W755" i="10"/>
  <c r="V755" i="10"/>
  <c r="U755" i="10"/>
  <c r="T755" i="10"/>
  <c r="S755" i="10"/>
  <c r="R755" i="10"/>
  <c r="Q755" i="10"/>
  <c r="P755" i="10"/>
  <c r="N755" i="10"/>
  <c r="M755" i="10"/>
  <c r="L755" i="10"/>
  <c r="K755" i="10"/>
  <c r="J755" i="10"/>
  <c r="I755" i="10"/>
  <c r="H755" i="10"/>
  <c r="G755" i="10"/>
  <c r="F755" i="10"/>
  <c r="AB754" i="10"/>
  <c r="AA754" i="10"/>
  <c r="Z754" i="10"/>
  <c r="Y754" i="10"/>
  <c r="X754" i="10"/>
  <c r="W754" i="10"/>
  <c r="V754" i="10"/>
  <c r="U754" i="10"/>
  <c r="T754" i="10"/>
  <c r="S754" i="10"/>
  <c r="R754" i="10"/>
  <c r="Q754" i="10"/>
  <c r="P754" i="10"/>
  <c r="N754" i="10"/>
  <c r="M754" i="10"/>
  <c r="L754" i="10"/>
  <c r="K754" i="10"/>
  <c r="J754" i="10"/>
  <c r="I754" i="10"/>
  <c r="H754" i="10"/>
  <c r="G754" i="10"/>
  <c r="F754" i="10"/>
  <c r="AB753" i="10"/>
  <c r="AA753" i="10"/>
  <c r="Z753" i="10"/>
  <c r="Y753" i="10"/>
  <c r="X753" i="10"/>
  <c r="W753" i="10"/>
  <c r="V753" i="10"/>
  <c r="U753" i="10"/>
  <c r="T753" i="10"/>
  <c r="S753" i="10"/>
  <c r="R753" i="10"/>
  <c r="Q753" i="10"/>
  <c r="P753" i="10"/>
  <c r="N753" i="10"/>
  <c r="M753" i="10"/>
  <c r="L753" i="10"/>
  <c r="K753" i="10"/>
  <c r="J753" i="10"/>
  <c r="I753" i="10"/>
  <c r="H753" i="10"/>
  <c r="G753" i="10"/>
  <c r="F753" i="10"/>
  <c r="AB752" i="10"/>
  <c r="AA752" i="10"/>
  <c r="Z752" i="10"/>
  <c r="Y752" i="10"/>
  <c r="X752" i="10"/>
  <c r="W752" i="10"/>
  <c r="V752" i="10"/>
  <c r="U752" i="10"/>
  <c r="T752" i="10"/>
  <c r="S752" i="10"/>
  <c r="R752" i="10"/>
  <c r="Q752" i="10"/>
  <c r="P752" i="10"/>
  <c r="N752" i="10"/>
  <c r="M752" i="10"/>
  <c r="L752" i="10"/>
  <c r="K752" i="10"/>
  <c r="J752" i="10"/>
  <c r="I752" i="10"/>
  <c r="H752" i="10"/>
  <c r="G752" i="10"/>
  <c r="F752" i="10"/>
  <c r="AB751" i="10"/>
  <c r="AA751" i="10"/>
  <c r="Z751" i="10"/>
  <c r="Y751" i="10"/>
  <c r="X751" i="10"/>
  <c r="W751" i="10"/>
  <c r="V751" i="10"/>
  <c r="U751" i="10"/>
  <c r="T751" i="10"/>
  <c r="S751" i="10"/>
  <c r="R751" i="10"/>
  <c r="Q751" i="10"/>
  <c r="P751" i="10"/>
  <c r="N751" i="10"/>
  <c r="M751" i="10"/>
  <c r="L751" i="10"/>
  <c r="K751" i="10"/>
  <c r="J751" i="10"/>
  <c r="I751" i="10"/>
  <c r="H751" i="10"/>
  <c r="G751" i="10"/>
  <c r="F751" i="10"/>
  <c r="AB750" i="10"/>
  <c r="AA750" i="10"/>
  <c r="Z750" i="10"/>
  <c r="Y750" i="10"/>
  <c r="X750" i="10"/>
  <c r="W750" i="10"/>
  <c r="V750" i="10"/>
  <c r="U750" i="10"/>
  <c r="T750" i="10"/>
  <c r="S750" i="10"/>
  <c r="R750" i="10"/>
  <c r="Q750" i="10"/>
  <c r="P750" i="10"/>
  <c r="N750" i="10"/>
  <c r="M750" i="10"/>
  <c r="L750" i="10"/>
  <c r="K750" i="10"/>
  <c r="J750" i="10"/>
  <c r="I750" i="10"/>
  <c r="H750" i="10"/>
  <c r="G750" i="10"/>
  <c r="F750" i="10"/>
  <c r="AB749" i="10"/>
  <c r="AA749" i="10"/>
  <c r="Z749" i="10"/>
  <c r="Y749" i="10"/>
  <c r="X749" i="10"/>
  <c r="W749" i="10"/>
  <c r="V749" i="10"/>
  <c r="U749" i="10"/>
  <c r="T749" i="10"/>
  <c r="S749" i="10"/>
  <c r="R749" i="10"/>
  <c r="Q749" i="10"/>
  <c r="P749" i="10"/>
  <c r="N749" i="10"/>
  <c r="M749" i="10"/>
  <c r="L749" i="10"/>
  <c r="K749" i="10"/>
  <c r="J749" i="10"/>
  <c r="I749" i="10"/>
  <c r="H749" i="10"/>
  <c r="G749" i="10"/>
  <c r="F749" i="10"/>
  <c r="AB748" i="10"/>
  <c r="AA748" i="10"/>
  <c r="Z748" i="10"/>
  <c r="Y748" i="10"/>
  <c r="X748" i="10"/>
  <c r="W748" i="10"/>
  <c r="V748" i="10"/>
  <c r="U748" i="10"/>
  <c r="T748" i="10"/>
  <c r="S748" i="10"/>
  <c r="R748" i="10"/>
  <c r="Q748" i="10"/>
  <c r="P748" i="10"/>
  <c r="N748" i="10"/>
  <c r="M748" i="10"/>
  <c r="L748" i="10"/>
  <c r="K748" i="10"/>
  <c r="J748" i="10"/>
  <c r="I748" i="10"/>
  <c r="H748" i="10"/>
  <c r="G748" i="10"/>
  <c r="F748" i="10"/>
  <c r="AB747" i="10"/>
  <c r="AA747" i="10"/>
  <c r="Z747" i="10"/>
  <c r="Y747" i="10"/>
  <c r="X747" i="10"/>
  <c r="W747" i="10"/>
  <c r="V747" i="10"/>
  <c r="U747" i="10"/>
  <c r="T747" i="10"/>
  <c r="S747" i="10"/>
  <c r="R747" i="10"/>
  <c r="Q747" i="10"/>
  <c r="P747" i="10"/>
  <c r="N747" i="10"/>
  <c r="M747" i="10"/>
  <c r="L747" i="10"/>
  <c r="K747" i="10"/>
  <c r="J747" i="10"/>
  <c r="I747" i="10"/>
  <c r="H747" i="10"/>
  <c r="G747" i="10"/>
  <c r="F747" i="10"/>
  <c r="AB746" i="10"/>
  <c r="AA746" i="10"/>
  <c r="Z746" i="10"/>
  <c r="Y746" i="10"/>
  <c r="X746" i="10"/>
  <c r="W746" i="10"/>
  <c r="V746" i="10"/>
  <c r="U746" i="10"/>
  <c r="T746" i="10"/>
  <c r="S746" i="10"/>
  <c r="R746" i="10"/>
  <c r="Q746" i="10"/>
  <c r="P746" i="10"/>
  <c r="N746" i="10"/>
  <c r="M746" i="10"/>
  <c r="L746" i="10"/>
  <c r="K746" i="10"/>
  <c r="J746" i="10"/>
  <c r="I746" i="10"/>
  <c r="H746" i="10"/>
  <c r="G746" i="10"/>
  <c r="F746" i="10"/>
  <c r="AB745" i="10"/>
  <c r="AA745" i="10"/>
  <c r="Z745" i="10"/>
  <c r="Y745" i="10"/>
  <c r="X745" i="10"/>
  <c r="W745" i="10"/>
  <c r="V745" i="10"/>
  <c r="U745" i="10"/>
  <c r="T745" i="10"/>
  <c r="S745" i="10"/>
  <c r="R745" i="10"/>
  <c r="Q745" i="10"/>
  <c r="P745" i="10"/>
  <c r="N745" i="10"/>
  <c r="M745" i="10"/>
  <c r="L745" i="10"/>
  <c r="K745" i="10"/>
  <c r="J745" i="10"/>
  <c r="I745" i="10"/>
  <c r="H745" i="10"/>
  <c r="G745" i="10"/>
  <c r="F745" i="10"/>
  <c r="AB744" i="10"/>
  <c r="AA744" i="10"/>
  <c r="Z744" i="10"/>
  <c r="Y744" i="10"/>
  <c r="X744" i="10"/>
  <c r="W744" i="10"/>
  <c r="V744" i="10"/>
  <c r="U744" i="10"/>
  <c r="T744" i="10"/>
  <c r="S744" i="10"/>
  <c r="R744" i="10"/>
  <c r="Q744" i="10"/>
  <c r="P744" i="10"/>
  <c r="N744" i="10"/>
  <c r="M744" i="10"/>
  <c r="L744" i="10"/>
  <c r="K744" i="10"/>
  <c r="J744" i="10"/>
  <c r="I744" i="10"/>
  <c r="H744" i="10"/>
  <c r="G744" i="10"/>
  <c r="F744" i="10"/>
  <c r="AB743" i="10"/>
  <c r="AA743" i="10"/>
  <c r="Z743" i="10"/>
  <c r="Y743" i="10"/>
  <c r="X743" i="10"/>
  <c r="W743" i="10"/>
  <c r="V743" i="10"/>
  <c r="U743" i="10"/>
  <c r="T743" i="10"/>
  <c r="S743" i="10"/>
  <c r="R743" i="10"/>
  <c r="Q743" i="10"/>
  <c r="P743" i="10"/>
  <c r="N743" i="10"/>
  <c r="M743" i="10"/>
  <c r="L743" i="10"/>
  <c r="K743" i="10"/>
  <c r="J743" i="10"/>
  <c r="I743" i="10"/>
  <c r="H743" i="10"/>
  <c r="G743" i="10"/>
  <c r="F743" i="10"/>
  <c r="AB742" i="10"/>
  <c r="AA742" i="10"/>
  <c r="Z742" i="10"/>
  <c r="Y742" i="10"/>
  <c r="X742" i="10"/>
  <c r="W742" i="10"/>
  <c r="V742" i="10"/>
  <c r="U742" i="10"/>
  <c r="T742" i="10"/>
  <c r="S742" i="10"/>
  <c r="R742" i="10"/>
  <c r="Q742" i="10"/>
  <c r="P742" i="10"/>
  <c r="N742" i="10"/>
  <c r="M742" i="10"/>
  <c r="L742" i="10"/>
  <c r="K742" i="10"/>
  <c r="J742" i="10"/>
  <c r="I742" i="10"/>
  <c r="H742" i="10"/>
  <c r="G742" i="10"/>
  <c r="F742" i="10"/>
  <c r="AB741" i="10"/>
  <c r="AA741" i="10"/>
  <c r="Z741" i="10"/>
  <c r="Y741" i="10"/>
  <c r="X741" i="10"/>
  <c r="W741" i="10"/>
  <c r="V741" i="10"/>
  <c r="U741" i="10"/>
  <c r="T741" i="10"/>
  <c r="S741" i="10"/>
  <c r="R741" i="10"/>
  <c r="Q741" i="10"/>
  <c r="P741" i="10"/>
  <c r="N741" i="10"/>
  <c r="M741" i="10"/>
  <c r="L741" i="10"/>
  <c r="K741" i="10"/>
  <c r="J741" i="10"/>
  <c r="I741" i="10"/>
  <c r="H741" i="10"/>
  <c r="G741" i="10"/>
  <c r="F741" i="10"/>
  <c r="AB740" i="10"/>
  <c r="AA740" i="10"/>
  <c r="Z740" i="10"/>
  <c r="Y740" i="10"/>
  <c r="X740" i="10"/>
  <c r="W740" i="10"/>
  <c r="V740" i="10"/>
  <c r="U740" i="10"/>
  <c r="T740" i="10"/>
  <c r="S740" i="10"/>
  <c r="R740" i="10"/>
  <c r="Q740" i="10"/>
  <c r="P740" i="10"/>
  <c r="N740" i="10"/>
  <c r="M740" i="10"/>
  <c r="L740" i="10"/>
  <c r="K740" i="10"/>
  <c r="J740" i="10"/>
  <c r="I740" i="10"/>
  <c r="H740" i="10"/>
  <c r="G740" i="10"/>
  <c r="F740" i="10"/>
  <c r="AB739" i="10"/>
  <c r="AA739" i="10"/>
  <c r="Z739" i="10"/>
  <c r="Y739" i="10"/>
  <c r="X739" i="10"/>
  <c r="W739" i="10"/>
  <c r="V739" i="10"/>
  <c r="U739" i="10"/>
  <c r="T739" i="10"/>
  <c r="S739" i="10"/>
  <c r="R739" i="10"/>
  <c r="Q739" i="10"/>
  <c r="P739" i="10"/>
  <c r="N739" i="10"/>
  <c r="M739" i="10"/>
  <c r="L739" i="10"/>
  <c r="K739" i="10"/>
  <c r="J739" i="10"/>
  <c r="I739" i="10"/>
  <c r="H739" i="10"/>
  <c r="G739" i="10"/>
  <c r="F739" i="10"/>
  <c r="AB738" i="10"/>
  <c r="AA738" i="10"/>
  <c r="Z738" i="10"/>
  <c r="Y738" i="10"/>
  <c r="X738" i="10"/>
  <c r="W738" i="10"/>
  <c r="V738" i="10"/>
  <c r="U738" i="10"/>
  <c r="T738" i="10"/>
  <c r="S738" i="10"/>
  <c r="R738" i="10"/>
  <c r="Q738" i="10"/>
  <c r="P738" i="10"/>
  <c r="N738" i="10"/>
  <c r="M738" i="10"/>
  <c r="L738" i="10"/>
  <c r="K738" i="10"/>
  <c r="J738" i="10"/>
  <c r="I738" i="10"/>
  <c r="H738" i="10"/>
  <c r="G738" i="10"/>
  <c r="F738" i="10"/>
  <c r="AB737" i="10"/>
  <c r="AA737" i="10"/>
  <c r="Z737" i="10"/>
  <c r="Y737" i="10"/>
  <c r="X737" i="10"/>
  <c r="W737" i="10"/>
  <c r="V737" i="10"/>
  <c r="U737" i="10"/>
  <c r="T737" i="10"/>
  <c r="S737" i="10"/>
  <c r="R737" i="10"/>
  <c r="Q737" i="10"/>
  <c r="P737" i="10"/>
  <c r="N737" i="10"/>
  <c r="M737" i="10"/>
  <c r="L737" i="10"/>
  <c r="K737" i="10"/>
  <c r="J737" i="10"/>
  <c r="I737" i="10"/>
  <c r="H737" i="10"/>
  <c r="G737" i="10"/>
  <c r="F737" i="10"/>
  <c r="AB736" i="10"/>
  <c r="AA736" i="10"/>
  <c r="Z736" i="10"/>
  <c r="Y736" i="10"/>
  <c r="X736" i="10"/>
  <c r="W736" i="10"/>
  <c r="V736" i="10"/>
  <c r="U736" i="10"/>
  <c r="T736" i="10"/>
  <c r="S736" i="10"/>
  <c r="R736" i="10"/>
  <c r="Q736" i="10"/>
  <c r="P736" i="10"/>
  <c r="N736" i="10"/>
  <c r="M736" i="10"/>
  <c r="L736" i="10"/>
  <c r="K736" i="10"/>
  <c r="J736" i="10"/>
  <c r="I736" i="10"/>
  <c r="H736" i="10"/>
  <c r="G736" i="10"/>
  <c r="F736" i="10"/>
  <c r="AB735" i="10"/>
  <c r="AA735" i="10"/>
  <c r="Z735" i="10"/>
  <c r="Y735" i="10"/>
  <c r="X735" i="10"/>
  <c r="W735" i="10"/>
  <c r="V735" i="10"/>
  <c r="U735" i="10"/>
  <c r="T735" i="10"/>
  <c r="S735" i="10"/>
  <c r="R735" i="10"/>
  <c r="Q735" i="10"/>
  <c r="P735" i="10"/>
  <c r="N735" i="10"/>
  <c r="M735" i="10"/>
  <c r="L735" i="10"/>
  <c r="K735" i="10"/>
  <c r="J735" i="10"/>
  <c r="I735" i="10"/>
  <c r="H735" i="10"/>
  <c r="G735" i="10"/>
  <c r="F735" i="10"/>
  <c r="AB734" i="10"/>
  <c r="AA734" i="10"/>
  <c r="Z734" i="10"/>
  <c r="Y734" i="10"/>
  <c r="X734" i="10"/>
  <c r="W734" i="10"/>
  <c r="V734" i="10"/>
  <c r="U734" i="10"/>
  <c r="T734" i="10"/>
  <c r="S734" i="10"/>
  <c r="R734" i="10"/>
  <c r="Q734" i="10"/>
  <c r="P734" i="10"/>
  <c r="N734" i="10"/>
  <c r="M734" i="10"/>
  <c r="L734" i="10"/>
  <c r="K734" i="10"/>
  <c r="J734" i="10"/>
  <c r="I734" i="10"/>
  <c r="H734" i="10"/>
  <c r="G734" i="10"/>
  <c r="F734" i="10"/>
  <c r="AB733" i="10"/>
  <c r="AA733" i="10"/>
  <c r="Z733" i="10"/>
  <c r="Y733" i="10"/>
  <c r="X733" i="10"/>
  <c r="W733" i="10"/>
  <c r="V733" i="10"/>
  <c r="U733" i="10"/>
  <c r="T733" i="10"/>
  <c r="S733" i="10"/>
  <c r="R733" i="10"/>
  <c r="Q733" i="10"/>
  <c r="P733" i="10"/>
  <c r="N733" i="10"/>
  <c r="M733" i="10"/>
  <c r="L733" i="10"/>
  <c r="K733" i="10"/>
  <c r="J733" i="10"/>
  <c r="I733" i="10"/>
  <c r="H733" i="10"/>
  <c r="G733" i="10"/>
  <c r="F733" i="10"/>
  <c r="AB732" i="10"/>
  <c r="AA732" i="10"/>
  <c r="Z732" i="10"/>
  <c r="Y732" i="10"/>
  <c r="X732" i="10"/>
  <c r="W732" i="10"/>
  <c r="V732" i="10"/>
  <c r="U732" i="10"/>
  <c r="T732" i="10"/>
  <c r="S732" i="10"/>
  <c r="R732" i="10"/>
  <c r="Q732" i="10"/>
  <c r="P732" i="10"/>
  <c r="N732" i="10"/>
  <c r="M732" i="10"/>
  <c r="L732" i="10"/>
  <c r="K732" i="10"/>
  <c r="J732" i="10"/>
  <c r="I732" i="10"/>
  <c r="H732" i="10"/>
  <c r="G732" i="10"/>
  <c r="F732" i="10"/>
  <c r="AB731" i="10"/>
  <c r="AA731" i="10"/>
  <c r="Z731" i="10"/>
  <c r="Y731" i="10"/>
  <c r="X731" i="10"/>
  <c r="W731" i="10"/>
  <c r="V731" i="10"/>
  <c r="U731" i="10"/>
  <c r="T731" i="10"/>
  <c r="S731" i="10"/>
  <c r="R731" i="10"/>
  <c r="Q731" i="10"/>
  <c r="P731" i="10"/>
  <c r="N731" i="10"/>
  <c r="M731" i="10"/>
  <c r="L731" i="10"/>
  <c r="K731" i="10"/>
  <c r="J731" i="10"/>
  <c r="I731" i="10"/>
  <c r="H731" i="10"/>
  <c r="G731" i="10"/>
  <c r="F731" i="10"/>
  <c r="AB730" i="10"/>
  <c r="AA730" i="10"/>
  <c r="Z730" i="10"/>
  <c r="Y730" i="10"/>
  <c r="X730" i="10"/>
  <c r="W730" i="10"/>
  <c r="V730" i="10"/>
  <c r="U730" i="10"/>
  <c r="T730" i="10"/>
  <c r="S730" i="10"/>
  <c r="R730" i="10"/>
  <c r="Q730" i="10"/>
  <c r="P730" i="10"/>
  <c r="N730" i="10"/>
  <c r="M730" i="10"/>
  <c r="L730" i="10"/>
  <c r="K730" i="10"/>
  <c r="J730" i="10"/>
  <c r="I730" i="10"/>
  <c r="H730" i="10"/>
  <c r="G730" i="10"/>
  <c r="F730" i="10"/>
  <c r="AB729" i="10"/>
  <c r="AA729" i="10"/>
  <c r="Z729" i="10"/>
  <c r="Y729" i="10"/>
  <c r="X729" i="10"/>
  <c r="W729" i="10"/>
  <c r="V729" i="10"/>
  <c r="U729" i="10"/>
  <c r="T729" i="10"/>
  <c r="S729" i="10"/>
  <c r="R729" i="10"/>
  <c r="Q729" i="10"/>
  <c r="P729" i="10"/>
  <c r="N729" i="10"/>
  <c r="M729" i="10"/>
  <c r="L729" i="10"/>
  <c r="K729" i="10"/>
  <c r="J729" i="10"/>
  <c r="I729" i="10"/>
  <c r="H729" i="10"/>
  <c r="G729" i="10"/>
  <c r="F729" i="10"/>
  <c r="AB728" i="10"/>
  <c r="AA728" i="10"/>
  <c r="Z728" i="10"/>
  <c r="Y728" i="10"/>
  <c r="X728" i="10"/>
  <c r="W728" i="10"/>
  <c r="V728" i="10"/>
  <c r="U728" i="10"/>
  <c r="T728" i="10"/>
  <c r="S728" i="10"/>
  <c r="R728" i="10"/>
  <c r="Q728" i="10"/>
  <c r="P728" i="10"/>
  <c r="N728" i="10"/>
  <c r="M728" i="10"/>
  <c r="L728" i="10"/>
  <c r="K728" i="10"/>
  <c r="J728" i="10"/>
  <c r="I728" i="10"/>
  <c r="H728" i="10"/>
  <c r="G728" i="10"/>
  <c r="F728" i="10"/>
  <c r="AB727" i="10"/>
  <c r="AA727" i="10"/>
  <c r="Z727" i="10"/>
  <c r="Y727" i="10"/>
  <c r="X727" i="10"/>
  <c r="W727" i="10"/>
  <c r="V727" i="10"/>
  <c r="U727" i="10"/>
  <c r="T727" i="10"/>
  <c r="S727" i="10"/>
  <c r="R727" i="10"/>
  <c r="Q727" i="10"/>
  <c r="P727" i="10"/>
  <c r="N727" i="10"/>
  <c r="M727" i="10"/>
  <c r="L727" i="10"/>
  <c r="K727" i="10"/>
  <c r="J727" i="10"/>
  <c r="I727" i="10"/>
  <c r="H727" i="10"/>
  <c r="G727" i="10"/>
  <c r="F727" i="10"/>
  <c r="AB726" i="10"/>
  <c r="AA726" i="10"/>
  <c r="Z726" i="10"/>
  <c r="Y726" i="10"/>
  <c r="X726" i="10"/>
  <c r="W726" i="10"/>
  <c r="V726" i="10"/>
  <c r="U726" i="10"/>
  <c r="T726" i="10"/>
  <c r="S726" i="10"/>
  <c r="R726" i="10"/>
  <c r="Q726" i="10"/>
  <c r="P726" i="10"/>
  <c r="N726" i="10"/>
  <c r="M726" i="10"/>
  <c r="L726" i="10"/>
  <c r="K726" i="10"/>
  <c r="J726" i="10"/>
  <c r="I726" i="10"/>
  <c r="H726" i="10"/>
  <c r="G726" i="10"/>
  <c r="F726" i="10"/>
  <c r="AB725" i="10"/>
  <c r="AA725" i="10"/>
  <c r="Z725" i="10"/>
  <c r="Y725" i="10"/>
  <c r="X725" i="10"/>
  <c r="W725" i="10"/>
  <c r="V725" i="10"/>
  <c r="U725" i="10"/>
  <c r="T725" i="10"/>
  <c r="S725" i="10"/>
  <c r="R725" i="10"/>
  <c r="Q725" i="10"/>
  <c r="P725" i="10"/>
  <c r="N725" i="10"/>
  <c r="M725" i="10"/>
  <c r="L725" i="10"/>
  <c r="K725" i="10"/>
  <c r="J725" i="10"/>
  <c r="I725" i="10"/>
  <c r="H725" i="10"/>
  <c r="G725" i="10"/>
  <c r="F725" i="10"/>
  <c r="T724" i="10"/>
  <c r="R724" i="10"/>
  <c r="G724" i="10"/>
  <c r="F724" i="10"/>
  <c r="T723" i="10"/>
  <c r="R723" i="10"/>
  <c r="G723" i="10"/>
  <c r="F723" i="10"/>
  <c r="T722" i="10"/>
  <c r="R722" i="10"/>
  <c r="G722" i="10"/>
  <c r="F722" i="10"/>
  <c r="T721" i="10"/>
  <c r="R721" i="10"/>
  <c r="G721" i="10"/>
  <c r="F721" i="10"/>
  <c r="T720" i="10"/>
  <c r="R720" i="10"/>
  <c r="G720" i="10"/>
  <c r="F720" i="10"/>
  <c r="T719" i="10"/>
  <c r="R719" i="10"/>
  <c r="G719" i="10"/>
  <c r="F719" i="10"/>
  <c r="E328" i="13" s="1"/>
  <c r="H328" i="13" s="1" a="1"/>
  <c r="H328" i="13" s="1"/>
  <c r="T718" i="10"/>
  <c r="R718" i="10"/>
  <c r="G718" i="10"/>
  <c r="F718" i="10"/>
  <c r="T717" i="10"/>
  <c r="R717" i="10"/>
  <c r="G717" i="10"/>
  <c r="F717" i="10"/>
  <c r="E327" i="13" s="1"/>
  <c r="H327" i="13" s="1" a="1"/>
  <c r="H327" i="13" s="1"/>
  <c r="T716" i="10"/>
  <c r="R716" i="10"/>
  <c r="G716" i="10"/>
  <c r="F716" i="10"/>
  <c r="T715" i="10"/>
  <c r="R715" i="10"/>
  <c r="G715" i="10"/>
  <c r="F715" i="10"/>
  <c r="E326" i="13" s="1"/>
  <c r="H326" i="13" s="1" a="1"/>
  <c r="H326" i="13" s="1"/>
  <c r="T714" i="10"/>
  <c r="R714" i="10"/>
  <c r="G714" i="10"/>
  <c r="F714" i="10"/>
  <c r="T713" i="10"/>
  <c r="R713" i="10"/>
  <c r="G713" i="10"/>
  <c r="F713" i="10"/>
  <c r="E325" i="13" s="1"/>
  <c r="H325" i="13" s="1" a="1"/>
  <c r="H325" i="13" s="1"/>
  <c r="T712" i="10"/>
  <c r="R712" i="10"/>
  <c r="G712" i="10"/>
  <c r="F712" i="10"/>
  <c r="T711" i="10"/>
  <c r="R711" i="10"/>
  <c r="G711" i="10"/>
  <c r="F711" i="10"/>
  <c r="T710" i="10"/>
  <c r="R710" i="10"/>
  <c r="G710" i="10"/>
  <c r="F710" i="10"/>
  <c r="L710" i="10" s="1"/>
  <c r="T709" i="10"/>
  <c r="R709" i="10"/>
  <c r="G709" i="10"/>
  <c r="F709" i="10"/>
  <c r="L709" i="10" s="1"/>
  <c r="T708" i="10"/>
  <c r="R708" i="10"/>
  <c r="G708" i="10"/>
  <c r="F708" i="10"/>
  <c r="L708" i="10" s="1"/>
  <c r="T707" i="10"/>
  <c r="R707" i="10"/>
  <c r="G707" i="10"/>
  <c r="F707" i="10"/>
  <c r="T706" i="10"/>
  <c r="R706" i="10"/>
  <c r="G706" i="10"/>
  <c r="F706" i="10"/>
  <c r="T705" i="10"/>
  <c r="R705" i="10"/>
  <c r="G705" i="10"/>
  <c r="F705" i="10"/>
  <c r="T704" i="10"/>
  <c r="R704" i="10"/>
  <c r="G704" i="10"/>
  <c r="F704" i="10"/>
  <c r="L704" i="10" s="1"/>
  <c r="T703" i="10"/>
  <c r="R703" i="10"/>
  <c r="G703" i="10"/>
  <c r="F703" i="10"/>
  <c r="E320" i="13" s="1"/>
  <c r="H320" i="13" s="1" a="1"/>
  <c r="H320" i="13" s="1"/>
  <c r="T702" i="10"/>
  <c r="R702" i="10"/>
  <c r="G702" i="10"/>
  <c r="F702" i="10"/>
  <c r="L702" i="10" s="1"/>
  <c r="T701" i="10"/>
  <c r="R701" i="10"/>
  <c r="G701" i="10"/>
  <c r="F701" i="10"/>
  <c r="L701" i="10" s="1"/>
  <c r="T700" i="10"/>
  <c r="R700" i="10"/>
  <c r="G700" i="10"/>
  <c r="F700" i="10"/>
  <c r="L700" i="10" s="1"/>
  <c r="T699" i="10"/>
  <c r="R699" i="10"/>
  <c r="G699" i="10"/>
  <c r="F699" i="10"/>
  <c r="L699" i="10" s="1"/>
  <c r="T698" i="10"/>
  <c r="R698" i="10"/>
  <c r="G698" i="10"/>
  <c r="F698" i="10"/>
  <c r="T697" i="10"/>
  <c r="R697" i="10"/>
  <c r="G697" i="10"/>
  <c r="F697" i="10"/>
  <c r="L697" i="10" s="1"/>
  <c r="T696" i="10"/>
  <c r="R696" i="10"/>
  <c r="G696" i="10"/>
  <c r="F696" i="10"/>
  <c r="L696" i="10" s="1"/>
  <c r="T695" i="10"/>
  <c r="R695" i="10"/>
  <c r="G695" i="10"/>
  <c r="F695" i="10"/>
  <c r="T694" i="10"/>
  <c r="R694" i="10"/>
  <c r="G694" i="10"/>
  <c r="F694" i="10"/>
  <c r="L694" i="10" s="1"/>
  <c r="T693" i="10"/>
  <c r="R693" i="10"/>
  <c r="G693" i="10"/>
  <c r="F693" i="10"/>
  <c r="L693" i="10" s="1"/>
  <c r="T692" i="10"/>
  <c r="R692" i="10"/>
  <c r="G692" i="10"/>
  <c r="F692" i="10"/>
  <c r="T691" i="10"/>
  <c r="R691" i="10"/>
  <c r="G691" i="10"/>
  <c r="F691" i="10"/>
  <c r="L691" i="10" s="1"/>
  <c r="T690" i="10"/>
  <c r="R690" i="10"/>
  <c r="G690" i="10"/>
  <c r="F690" i="10"/>
  <c r="L690" i="10" s="1"/>
  <c r="T689" i="10"/>
  <c r="R689" i="10"/>
  <c r="G689" i="10"/>
  <c r="F689" i="10"/>
  <c r="E315" i="13" s="1"/>
  <c r="H315" i="13" s="1" a="1"/>
  <c r="H315" i="13" s="1"/>
  <c r="T688" i="10"/>
  <c r="R688" i="10"/>
  <c r="G688" i="10"/>
  <c r="F688" i="10"/>
  <c r="L688" i="10" s="1"/>
  <c r="T687" i="10"/>
  <c r="R687" i="10"/>
  <c r="G687" i="10"/>
  <c r="F687" i="10"/>
  <c r="T686" i="10"/>
  <c r="R686" i="10"/>
  <c r="G686" i="10"/>
  <c r="F686" i="10"/>
  <c r="L686" i="10" s="1"/>
  <c r="T685" i="10"/>
  <c r="R685" i="10"/>
  <c r="G685" i="10"/>
  <c r="F685" i="10"/>
  <c r="T684" i="10"/>
  <c r="R684" i="10"/>
  <c r="G684" i="10"/>
  <c r="F684" i="10"/>
  <c r="L684" i="10" s="1"/>
  <c r="T683" i="10"/>
  <c r="R683" i="10"/>
  <c r="G683" i="10"/>
  <c r="F683" i="10"/>
  <c r="T682" i="10"/>
  <c r="R682" i="10"/>
  <c r="G682" i="10"/>
  <c r="F682" i="10"/>
  <c r="T681" i="10"/>
  <c r="R681" i="10"/>
  <c r="G681" i="10"/>
  <c r="F681" i="10"/>
  <c r="T680" i="10"/>
  <c r="R680" i="10"/>
  <c r="G680" i="10"/>
  <c r="F680" i="10"/>
  <c r="T679" i="10"/>
  <c r="R679" i="10"/>
  <c r="G679" i="10"/>
  <c r="F679" i="10"/>
  <c r="T678" i="10"/>
  <c r="R678" i="10"/>
  <c r="G678" i="10"/>
  <c r="F678" i="10"/>
  <c r="T677" i="10"/>
  <c r="R677" i="10"/>
  <c r="G677" i="10"/>
  <c r="F677" i="10"/>
  <c r="T676" i="10"/>
  <c r="R676" i="10"/>
  <c r="G676" i="10"/>
  <c r="F676" i="10"/>
  <c r="T675" i="10"/>
  <c r="R675" i="10"/>
  <c r="G675" i="10"/>
  <c r="F675" i="10"/>
  <c r="T674" i="10"/>
  <c r="R674" i="10"/>
  <c r="G674" i="10"/>
  <c r="F674" i="10"/>
  <c r="L674" i="10" s="1"/>
  <c r="T673" i="10"/>
  <c r="R673" i="10"/>
  <c r="G673" i="10"/>
  <c r="F673" i="10"/>
  <c r="L673" i="10" s="1"/>
  <c r="T672" i="10"/>
  <c r="R672" i="10"/>
  <c r="G672" i="10"/>
  <c r="F672" i="10"/>
  <c r="T671" i="10"/>
  <c r="R671" i="10"/>
  <c r="G671" i="10"/>
  <c r="F671" i="10"/>
  <c r="L671" i="10" s="1"/>
  <c r="T670" i="10"/>
  <c r="R670" i="10"/>
  <c r="G670" i="10"/>
  <c r="F670" i="10"/>
  <c r="L670" i="10" s="1"/>
  <c r="T669" i="10"/>
  <c r="R669" i="10"/>
  <c r="G669" i="10"/>
  <c r="F669" i="10"/>
  <c r="T668" i="10"/>
  <c r="R668" i="10"/>
  <c r="G668" i="10"/>
  <c r="F668" i="10"/>
  <c r="L668" i="10" s="1"/>
  <c r="T667" i="10"/>
  <c r="R667" i="10"/>
  <c r="G667" i="10"/>
  <c r="F667" i="10"/>
  <c r="L667" i="10" s="1"/>
  <c r="T666" i="10"/>
  <c r="R666" i="10"/>
  <c r="G666" i="10"/>
  <c r="F666" i="10"/>
  <c r="T665" i="10"/>
  <c r="R665" i="10"/>
  <c r="G665" i="10"/>
  <c r="F665" i="10"/>
  <c r="T664" i="10"/>
  <c r="R664" i="10"/>
  <c r="G664" i="10"/>
  <c r="F664" i="10"/>
  <c r="T663" i="10"/>
  <c r="R663" i="10"/>
  <c r="G663" i="10"/>
  <c r="F663" i="10"/>
  <c r="T662" i="10"/>
  <c r="R662" i="10"/>
  <c r="G662" i="10"/>
  <c r="F662" i="10"/>
  <c r="U659" i="10"/>
  <c r="T659" i="10"/>
  <c r="R659" i="10"/>
  <c r="G659" i="10"/>
  <c r="F659" i="10"/>
  <c r="L659" i="10" s="1"/>
  <c r="U658" i="10"/>
  <c r="T658" i="10"/>
  <c r="R658" i="10"/>
  <c r="G658" i="10"/>
  <c r="F658" i="10"/>
  <c r="L658" i="10" s="1"/>
  <c r="U657" i="10"/>
  <c r="Y659" i="10" s="1"/>
  <c r="T657" i="10"/>
  <c r="R657" i="10"/>
  <c r="G657" i="10"/>
  <c r="F657" i="10"/>
  <c r="T656" i="10"/>
  <c r="R656" i="10"/>
  <c r="G656" i="10"/>
  <c r="F656" i="10"/>
  <c r="L656" i="10" s="1"/>
  <c r="T655" i="10"/>
  <c r="R655" i="10"/>
  <c r="G655" i="10"/>
  <c r="F655" i="10"/>
  <c r="T654" i="10"/>
  <c r="R654" i="10"/>
  <c r="G654" i="10"/>
  <c r="F654" i="10"/>
  <c r="L654" i="10" s="1"/>
  <c r="T653" i="10"/>
  <c r="R653" i="10"/>
  <c r="G653" i="10"/>
  <c r="F653" i="10"/>
  <c r="T652" i="10"/>
  <c r="R652" i="10"/>
  <c r="G652" i="10"/>
  <c r="F652" i="10"/>
  <c r="T651" i="10"/>
  <c r="R651" i="10"/>
  <c r="G651" i="10"/>
  <c r="F651" i="10"/>
  <c r="L651" i="10" s="1"/>
  <c r="U650" i="10"/>
  <c r="T650" i="10"/>
  <c r="R650" i="10"/>
  <c r="G650" i="10"/>
  <c r="F650" i="10"/>
  <c r="U649" i="10"/>
  <c r="T649" i="10"/>
  <c r="R649" i="10"/>
  <c r="G649" i="10"/>
  <c r="F649" i="10"/>
  <c r="U648" i="10"/>
  <c r="T648" i="10"/>
  <c r="R648" i="10"/>
  <c r="G648" i="10"/>
  <c r="F648" i="10"/>
  <c r="T647" i="10"/>
  <c r="R647" i="10"/>
  <c r="G647" i="10"/>
  <c r="F647" i="10"/>
  <c r="T646" i="10"/>
  <c r="R646" i="10"/>
  <c r="G646" i="10"/>
  <c r="F646" i="10"/>
  <c r="T645" i="10"/>
  <c r="R645" i="10"/>
  <c r="G645" i="10"/>
  <c r="F645" i="10"/>
  <c r="T644" i="10"/>
  <c r="R644" i="10"/>
  <c r="G644" i="10"/>
  <c r="F644" i="10"/>
  <c r="T643" i="10"/>
  <c r="R643" i="10"/>
  <c r="G643" i="10"/>
  <c r="F643" i="10"/>
  <c r="T642" i="10"/>
  <c r="R642" i="10"/>
  <c r="G642" i="10"/>
  <c r="F642" i="10"/>
  <c r="L642" i="10" s="1"/>
  <c r="T641" i="10"/>
  <c r="R641" i="10"/>
  <c r="G641" i="10"/>
  <c r="F641" i="10"/>
  <c r="T640" i="10"/>
  <c r="R640" i="10"/>
  <c r="G640" i="10"/>
  <c r="F640" i="10"/>
  <c r="L640" i="10" s="1"/>
  <c r="T639" i="10"/>
  <c r="R639" i="10"/>
  <c r="G639" i="10"/>
  <c r="F639" i="10"/>
  <c r="T638" i="10"/>
  <c r="R638" i="10"/>
  <c r="G638" i="10"/>
  <c r="F638" i="10"/>
  <c r="L638" i="10" s="1"/>
  <c r="T637" i="10"/>
  <c r="R637" i="10"/>
  <c r="G637" i="10"/>
  <c r="F637" i="10"/>
  <c r="T636" i="10"/>
  <c r="R636" i="10"/>
  <c r="G636" i="10"/>
  <c r="F636" i="10"/>
  <c r="L636" i="10" s="1"/>
  <c r="T635" i="10"/>
  <c r="R635" i="10"/>
  <c r="G635" i="10"/>
  <c r="F635" i="10"/>
  <c r="T634" i="10"/>
  <c r="R634" i="10"/>
  <c r="G634" i="10"/>
  <c r="F634" i="10"/>
  <c r="T633" i="10"/>
  <c r="R633" i="10"/>
  <c r="G633" i="10"/>
  <c r="F633" i="10"/>
  <c r="T632" i="10"/>
  <c r="R632" i="10"/>
  <c r="G632" i="10"/>
  <c r="F632" i="10"/>
  <c r="T631" i="10"/>
  <c r="R631" i="10"/>
  <c r="G631" i="10"/>
  <c r="F631" i="10"/>
  <c r="T630" i="10"/>
  <c r="R630" i="10"/>
  <c r="G630" i="10"/>
  <c r="F630" i="10"/>
  <c r="T629" i="10"/>
  <c r="R629" i="10"/>
  <c r="G629" i="10"/>
  <c r="F629" i="10"/>
  <c r="T628" i="10"/>
  <c r="R628" i="10"/>
  <c r="G628" i="10"/>
  <c r="F628" i="10"/>
  <c r="T627" i="10"/>
  <c r="R627" i="10"/>
  <c r="G627" i="10"/>
  <c r="F627" i="10"/>
  <c r="T626" i="10"/>
  <c r="R626" i="10"/>
  <c r="G626" i="10"/>
  <c r="F626" i="10"/>
  <c r="L626" i="10" s="1"/>
  <c r="T625" i="10"/>
  <c r="R625" i="10"/>
  <c r="G625" i="10"/>
  <c r="F625" i="10"/>
  <c r="U624" i="10"/>
  <c r="Y622" i="10" s="1"/>
  <c r="T624" i="10"/>
  <c r="R624" i="10"/>
  <c r="G624" i="10"/>
  <c r="F624" i="10"/>
  <c r="L624" i="10" s="1"/>
  <c r="T623" i="10"/>
  <c r="R623" i="10"/>
  <c r="G623" i="10"/>
  <c r="F623" i="10"/>
  <c r="L623" i="10" s="1"/>
  <c r="U622" i="10"/>
  <c r="T622" i="10"/>
  <c r="R622" i="10"/>
  <c r="G622" i="10"/>
  <c r="F622" i="10"/>
  <c r="T621" i="10"/>
  <c r="R621" i="10"/>
  <c r="G621" i="10"/>
  <c r="F621" i="10"/>
  <c r="T620" i="10"/>
  <c r="R620" i="10"/>
  <c r="G620" i="10"/>
  <c r="F620" i="10"/>
  <c r="L620" i="10" s="1"/>
  <c r="T619" i="10"/>
  <c r="R619" i="10"/>
  <c r="G619" i="10"/>
  <c r="F619" i="10"/>
  <c r="T618" i="10"/>
  <c r="R618" i="10"/>
  <c r="G618" i="10"/>
  <c r="F618" i="10"/>
  <c r="T617" i="10"/>
  <c r="R617" i="10"/>
  <c r="G617" i="10"/>
  <c r="F617" i="10"/>
  <c r="T616" i="10"/>
  <c r="R616" i="10"/>
  <c r="G616" i="10"/>
  <c r="F616" i="10"/>
  <c r="T615" i="10"/>
  <c r="R615" i="10"/>
  <c r="G615" i="10"/>
  <c r="F615" i="10"/>
  <c r="T614" i="10"/>
  <c r="R614" i="10"/>
  <c r="G614" i="10"/>
  <c r="F614" i="10"/>
  <c r="U613" i="10"/>
  <c r="T613" i="10"/>
  <c r="R613" i="10"/>
  <c r="G613" i="10"/>
  <c r="F613" i="10"/>
  <c r="T612" i="10"/>
  <c r="R612" i="10"/>
  <c r="G612" i="10"/>
  <c r="F612" i="10"/>
  <c r="T611" i="10"/>
  <c r="R611" i="10"/>
  <c r="G611" i="10"/>
  <c r="F611" i="10"/>
  <c r="L611" i="10" s="1"/>
  <c r="T610" i="10"/>
  <c r="R610" i="10"/>
  <c r="G610" i="10"/>
  <c r="F610" i="10"/>
  <c r="T609" i="10"/>
  <c r="R609" i="10"/>
  <c r="G609" i="10"/>
  <c r="F609" i="10"/>
  <c r="L609" i="10" s="1"/>
  <c r="T608" i="10"/>
  <c r="R608" i="10"/>
  <c r="G608" i="10"/>
  <c r="F608" i="10"/>
  <c r="L608" i="10" s="1"/>
  <c r="T607" i="10"/>
  <c r="R607" i="10"/>
  <c r="G607" i="10"/>
  <c r="F607" i="10"/>
  <c r="T606" i="10"/>
  <c r="R606" i="10"/>
  <c r="G606" i="10"/>
  <c r="F606" i="10"/>
  <c r="L606" i="10" s="1"/>
  <c r="T605" i="10"/>
  <c r="R605" i="10"/>
  <c r="G605" i="10"/>
  <c r="F605" i="10"/>
  <c r="T604" i="10"/>
  <c r="R604" i="10"/>
  <c r="G604" i="10"/>
  <c r="F604" i="10"/>
  <c r="E280" i="13" s="1"/>
  <c r="T603" i="10"/>
  <c r="R603" i="10"/>
  <c r="G603" i="10"/>
  <c r="F603" i="10"/>
  <c r="L603" i="10" s="1"/>
  <c r="T602" i="10"/>
  <c r="R602" i="10"/>
  <c r="G602" i="10"/>
  <c r="F602" i="10"/>
  <c r="T601" i="10"/>
  <c r="R601" i="10"/>
  <c r="G601" i="10"/>
  <c r="F601" i="10"/>
  <c r="T600" i="10"/>
  <c r="R600" i="10"/>
  <c r="G600" i="10"/>
  <c r="F600" i="10"/>
  <c r="U599" i="10"/>
  <c r="Y599" i="10" s="1"/>
  <c r="T599" i="10"/>
  <c r="R599" i="10"/>
  <c r="G599" i="10"/>
  <c r="F599" i="10"/>
  <c r="T598" i="10"/>
  <c r="R598" i="10"/>
  <c r="G598" i="10"/>
  <c r="F598" i="10"/>
  <c r="T597" i="10"/>
  <c r="R597" i="10"/>
  <c r="G597" i="10"/>
  <c r="F597" i="10"/>
  <c r="T596" i="10"/>
  <c r="R596" i="10"/>
  <c r="G596" i="10"/>
  <c r="F596" i="10"/>
  <c r="T595" i="10"/>
  <c r="R595" i="10"/>
  <c r="G595" i="10"/>
  <c r="F595" i="10"/>
  <c r="E277" i="13" s="1"/>
  <c r="T594" i="10"/>
  <c r="R594" i="10"/>
  <c r="G594" i="10"/>
  <c r="F594" i="10"/>
  <c r="L594" i="10" s="1"/>
  <c r="T593" i="10"/>
  <c r="R593" i="10"/>
  <c r="G593" i="10"/>
  <c r="F593" i="10"/>
  <c r="T592" i="10"/>
  <c r="R592" i="10"/>
  <c r="G592" i="10"/>
  <c r="F592" i="10"/>
  <c r="L592" i="10" s="1"/>
  <c r="T591" i="10"/>
  <c r="R591" i="10"/>
  <c r="G591" i="10"/>
  <c r="F591" i="10"/>
  <c r="T590" i="10"/>
  <c r="R590" i="10"/>
  <c r="G590" i="10"/>
  <c r="F590" i="10"/>
  <c r="L590" i="10" s="1"/>
  <c r="T589" i="10"/>
  <c r="R589" i="10"/>
  <c r="G589" i="10"/>
  <c r="F589" i="10"/>
  <c r="T588" i="10"/>
  <c r="R588" i="10"/>
  <c r="G588" i="10"/>
  <c r="F588" i="10"/>
  <c r="L588" i="10" s="1"/>
  <c r="T587" i="10"/>
  <c r="R587" i="10"/>
  <c r="G587" i="10"/>
  <c r="F587" i="10"/>
  <c r="U586" i="10"/>
  <c r="T586" i="10"/>
  <c r="R586" i="10"/>
  <c r="G586" i="10"/>
  <c r="F586" i="10"/>
  <c r="U585" i="10"/>
  <c r="T585" i="10"/>
  <c r="R585" i="10"/>
  <c r="G585" i="10"/>
  <c r="F585" i="10"/>
  <c r="U584" i="10"/>
  <c r="T584" i="10"/>
  <c r="R584" i="10"/>
  <c r="G584" i="10"/>
  <c r="F584" i="10"/>
  <c r="U583" i="10"/>
  <c r="T583" i="10"/>
  <c r="R583" i="10"/>
  <c r="G583" i="10"/>
  <c r="F583" i="10"/>
  <c r="U582" i="10"/>
  <c r="Y583" i="10" s="1"/>
  <c r="T582" i="10"/>
  <c r="R582" i="10"/>
  <c r="G582" i="10"/>
  <c r="F582" i="10"/>
  <c r="T581" i="10"/>
  <c r="R581" i="10"/>
  <c r="G581" i="10"/>
  <c r="F581" i="10"/>
  <c r="T580" i="10"/>
  <c r="R580" i="10"/>
  <c r="G580" i="10"/>
  <c r="F580" i="10"/>
  <c r="T579" i="10"/>
  <c r="R579" i="10"/>
  <c r="G579" i="10"/>
  <c r="F579" i="10"/>
  <c r="L579" i="10" s="1"/>
  <c r="T578" i="10"/>
  <c r="R578" i="10"/>
  <c r="G578" i="10"/>
  <c r="F578" i="10"/>
  <c r="U577" i="10"/>
  <c r="T577" i="10"/>
  <c r="R577" i="10"/>
  <c r="G577" i="10"/>
  <c r="F577" i="10"/>
  <c r="L577" i="10" s="1"/>
  <c r="T576" i="10"/>
  <c r="R576" i="10"/>
  <c r="G576" i="10"/>
  <c r="F576" i="10"/>
  <c r="L576" i="10" s="1"/>
  <c r="T575" i="10"/>
  <c r="R575" i="10"/>
  <c r="G575" i="10"/>
  <c r="F575" i="10"/>
  <c r="L575" i="10" s="1"/>
  <c r="T574" i="10"/>
  <c r="R574" i="10"/>
  <c r="G574" i="10"/>
  <c r="F574" i="10"/>
  <c r="T573" i="10"/>
  <c r="R573" i="10"/>
  <c r="G573" i="10"/>
  <c r="F573" i="10"/>
  <c r="T572" i="10"/>
  <c r="R572" i="10"/>
  <c r="G572" i="10"/>
  <c r="F572" i="10"/>
  <c r="L572" i="10" s="1"/>
  <c r="U571" i="10"/>
  <c r="T571" i="10"/>
  <c r="R571" i="10"/>
  <c r="G571" i="10"/>
  <c r="F571" i="10"/>
  <c r="T570" i="10"/>
  <c r="R570" i="10"/>
  <c r="G570" i="10"/>
  <c r="F570" i="10"/>
  <c r="T569" i="10"/>
  <c r="R569" i="10"/>
  <c r="G569" i="10"/>
  <c r="F569" i="10"/>
  <c r="T568" i="10"/>
  <c r="R568" i="10"/>
  <c r="G568" i="10"/>
  <c r="F568" i="10"/>
  <c r="T567" i="10"/>
  <c r="R567" i="10"/>
  <c r="G567" i="10"/>
  <c r="F567" i="10"/>
  <c r="T566" i="10"/>
  <c r="R566" i="10"/>
  <c r="G566" i="10"/>
  <c r="F566" i="10"/>
  <c r="T565" i="10"/>
  <c r="R565" i="10"/>
  <c r="G565" i="10"/>
  <c r="F565" i="10"/>
  <c r="T564" i="10"/>
  <c r="R564" i="10"/>
  <c r="G564" i="10"/>
  <c r="F564" i="10"/>
  <c r="T563" i="10"/>
  <c r="R563" i="10"/>
  <c r="G563" i="10"/>
  <c r="F563" i="10"/>
  <c r="L563" i="10" s="1"/>
  <c r="T562" i="10"/>
  <c r="R562" i="10"/>
  <c r="G562" i="10"/>
  <c r="F562" i="10"/>
  <c r="T561" i="10"/>
  <c r="R561" i="10"/>
  <c r="G561" i="10"/>
  <c r="F561" i="10"/>
  <c r="L561" i="10" s="1"/>
  <c r="T560" i="10"/>
  <c r="R560" i="10"/>
  <c r="G560" i="10"/>
  <c r="F560" i="10"/>
  <c r="T559" i="10"/>
  <c r="R559" i="10"/>
  <c r="G559" i="10"/>
  <c r="F559" i="10"/>
  <c r="L559" i="10" s="1"/>
  <c r="T558" i="10"/>
  <c r="R558" i="10"/>
  <c r="G558" i="10"/>
  <c r="F558" i="10"/>
  <c r="T557" i="10"/>
  <c r="R557" i="10"/>
  <c r="G557" i="10"/>
  <c r="F557" i="10"/>
  <c r="T556" i="10"/>
  <c r="R556" i="10"/>
  <c r="G556" i="10"/>
  <c r="F556" i="10"/>
  <c r="T555" i="10"/>
  <c r="R555" i="10"/>
  <c r="G555" i="10"/>
  <c r="F555" i="10"/>
  <c r="L555" i="10" s="1"/>
  <c r="T554" i="10"/>
  <c r="R554" i="10"/>
  <c r="G554" i="10"/>
  <c r="F554" i="10"/>
  <c r="T553" i="10"/>
  <c r="R553" i="10"/>
  <c r="G553" i="10"/>
  <c r="F553" i="10"/>
  <c r="U552" i="10"/>
  <c r="Y553" i="10" s="1"/>
  <c r="T552" i="10"/>
  <c r="R552" i="10"/>
  <c r="G552" i="10"/>
  <c r="F552" i="10"/>
  <c r="T551" i="10"/>
  <c r="R551" i="10"/>
  <c r="G551" i="10"/>
  <c r="F551" i="10"/>
  <c r="T550" i="10"/>
  <c r="R550" i="10"/>
  <c r="G550" i="10"/>
  <c r="F550" i="10"/>
  <c r="T549" i="10"/>
  <c r="R549" i="10"/>
  <c r="G549" i="10"/>
  <c r="F549" i="10"/>
  <c r="T548" i="10"/>
  <c r="R548" i="10"/>
  <c r="G548" i="10"/>
  <c r="F548" i="10"/>
  <c r="T547" i="10"/>
  <c r="R547" i="10"/>
  <c r="G547" i="10"/>
  <c r="F547" i="10"/>
  <c r="T546" i="10"/>
  <c r="R546" i="10"/>
  <c r="G546" i="10"/>
  <c r="F546" i="10"/>
  <c r="L546" i="10" s="1"/>
  <c r="T545" i="10"/>
  <c r="R545" i="10"/>
  <c r="G545" i="10"/>
  <c r="F545" i="10"/>
  <c r="T544" i="10"/>
  <c r="R544" i="10"/>
  <c r="G544" i="10"/>
  <c r="F544" i="10"/>
  <c r="L544" i="10" s="1"/>
  <c r="T543" i="10"/>
  <c r="R543" i="10"/>
  <c r="G543" i="10"/>
  <c r="F543" i="10"/>
  <c r="T542" i="10"/>
  <c r="R542" i="10"/>
  <c r="G542" i="10"/>
  <c r="F542" i="10"/>
  <c r="L542" i="10" s="1"/>
  <c r="T541" i="10"/>
  <c r="R541" i="10"/>
  <c r="G541" i="10"/>
  <c r="F541" i="10"/>
  <c r="T540" i="10"/>
  <c r="R540" i="10"/>
  <c r="G540" i="10"/>
  <c r="F540" i="10"/>
  <c r="L540" i="10" s="1"/>
  <c r="T539" i="10"/>
  <c r="R539" i="10"/>
  <c r="G539" i="10"/>
  <c r="F539" i="10"/>
  <c r="T538" i="10"/>
  <c r="R538" i="10"/>
  <c r="G538" i="10"/>
  <c r="F538" i="10"/>
  <c r="T537" i="10"/>
  <c r="R537" i="10"/>
  <c r="G537" i="10"/>
  <c r="F537" i="10"/>
  <c r="T536" i="10"/>
  <c r="R536" i="10"/>
  <c r="G536" i="10"/>
  <c r="F536" i="10"/>
  <c r="T535" i="10"/>
  <c r="R535" i="10"/>
  <c r="G535" i="10"/>
  <c r="F535" i="10"/>
  <c r="T534" i="10"/>
  <c r="R534" i="10"/>
  <c r="G534" i="10"/>
  <c r="F534" i="10"/>
  <c r="T533" i="10"/>
  <c r="R533" i="10"/>
  <c r="G533" i="10"/>
  <c r="F533" i="10"/>
  <c r="U532" i="10"/>
  <c r="T532" i="10"/>
  <c r="R532" i="10"/>
  <c r="G532" i="10"/>
  <c r="F532" i="10"/>
  <c r="U531" i="10"/>
  <c r="T531" i="10"/>
  <c r="R531" i="10"/>
  <c r="G531" i="10"/>
  <c r="F531" i="10"/>
  <c r="L531" i="10" s="1"/>
  <c r="U530" i="10"/>
  <c r="T530" i="10"/>
  <c r="R530" i="10"/>
  <c r="G530" i="10"/>
  <c r="F530" i="10"/>
  <c r="L530" i="10" s="1"/>
  <c r="U529" i="10"/>
  <c r="Y530" i="10" s="1"/>
  <c r="T529" i="10"/>
  <c r="R529" i="10"/>
  <c r="G529" i="10"/>
  <c r="F529" i="10"/>
  <c r="T528" i="10"/>
  <c r="R528" i="10"/>
  <c r="G528" i="10"/>
  <c r="F528" i="10"/>
  <c r="L528" i="10" s="1"/>
  <c r="T527" i="10"/>
  <c r="R527" i="10"/>
  <c r="G527" i="10"/>
  <c r="F527" i="10"/>
  <c r="L527" i="10" s="1"/>
  <c r="T526" i="10"/>
  <c r="R526" i="10"/>
  <c r="G526" i="10"/>
  <c r="F526" i="10"/>
  <c r="L526" i="10" s="1"/>
  <c r="T525" i="10"/>
  <c r="R525" i="10"/>
  <c r="G525" i="10"/>
  <c r="F525" i="10"/>
  <c r="T524" i="10"/>
  <c r="R524" i="10"/>
  <c r="G524" i="10"/>
  <c r="F524" i="10"/>
  <c r="T523" i="10"/>
  <c r="R523" i="10"/>
  <c r="G523" i="10"/>
  <c r="F523" i="10"/>
  <c r="L523" i="10" s="1"/>
  <c r="T522" i="10"/>
  <c r="R522" i="10"/>
  <c r="G522" i="10"/>
  <c r="F522" i="10"/>
  <c r="U521" i="10"/>
  <c r="T521" i="10"/>
  <c r="R521" i="10"/>
  <c r="G521" i="10"/>
  <c r="F521" i="10"/>
  <c r="U520" i="10"/>
  <c r="T520" i="10"/>
  <c r="R520" i="10"/>
  <c r="G520" i="10"/>
  <c r="F520" i="10"/>
  <c r="T519" i="10"/>
  <c r="R519" i="10"/>
  <c r="G519" i="10"/>
  <c r="F519" i="10"/>
  <c r="T518" i="10"/>
  <c r="R518" i="10"/>
  <c r="G518" i="10"/>
  <c r="F518" i="10"/>
  <c r="T517" i="10"/>
  <c r="R517" i="10"/>
  <c r="G517" i="10"/>
  <c r="F517" i="10"/>
  <c r="T516" i="10"/>
  <c r="R516" i="10"/>
  <c r="G516" i="10"/>
  <c r="F516" i="10"/>
  <c r="T515" i="10"/>
  <c r="R515" i="10"/>
  <c r="G515" i="10"/>
  <c r="F515" i="10"/>
  <c r="T514" i="10"/>
  <c r="R514" i="10"/>
  <c r="G514" i="10"/>
  <c r="F514" i="10"/>
  <c r="L514" i="10" s="1"/>
  <c r="T513" i="10"/>
  <c r="R513" i="10"/>
  <c r="G513" i="10"/>
  <c r="F513" i="10"/>
  <c r="T512" i="10"/>
  <c r="R512" i="10"/>
  <c r="G512" i="10"/>
  <c r="F512" i="10"/>
  <c r="L512" i="10" s="1"/>
  <c r="T511" i="10"/>
  <c r="R511" i="10"/>
  <c r="G511" i="10"/>
  <c r="F511" i="10"/>
  <c r="T510" i="10"/>
  <c r="R510" i="10"/>
  <c r="G510" i="10"/>
  <c r="F510" i="10"/>
  <c r="L510" i="10" s="1"/>
  <c r="T509" i="10"/>
  <c r="R509" i="10"/>
  <c r="G509" i="10"/>
  <c r="F509" i="10"/>
  <c r="T508" i="10"/>
  <c r="R508" i="10"/>
  <c r="G508" i="10"/>
  <c r="F508" i="10"/>
  <c r="L508" i="10" s="1"/>
  <c r="T507" i="10"/>
  <c r="R507" i="10"/>
  <c r="G507" i="10"/>
  <c r="F507" i="10"/>
  <c r="T506" i="10"/>
  <c r="R506" i="10"/>
  <c r="G506" i="10"/>
  <c r="F506" i="10"/>
  <c r="T505" i="10"/>
  <c r="R505" i="10"/>
  <c r="G505" i="10"/>
  <c r="F505" i="10"/>
  <c r="T504" i="10"/>
  <c r="R504" i="10"/>
  <c r="G504" i="10"/>
  <c r="F504" i="10"/>
  <c r="T503" i="10"/>
  <c r="R503" i="10"/>
  <c r="G503" i="10"/>
  <c r="F503" i="10"/>
  <c r="T502" i="10"/>
  <c r="R502" i="10"/>
  <c r="G502" i="10"/>
  <c r="F502" i="10"/>
  <c r="U501" i="10"/>
  <c r="Y501" i="10" s="1"/>
  <c r="Z501" i="10" s="1"/>
  <c r="T501" i="10"/>
  <c r="R501" i="10"/>
  <c r="G501" i="10"/>
  <c r="F501" i="10"/>
  <c r="T500" i="10"/>
  <c r="R500" i="10"/>
  <c r="G500" i="10"/>
  <c r="F500" i="10"/>
  <c r="T499" i="10"/>
  <c r="R499" i="10"/>
  <c r="G499" i="10"/>
  <c r="F499" i="10"/>
  <c r="T498" i="10"/>
  <c r="R498" i="10"/>
  <c r="G498" i="10"/>
  <c r="F498" i="10"/>
  <c r="L498" i="10" s="1"/>
  <c r="T497" i="10"/>
  <c r="R497" i="10"/>
  <c r="G497" i="10"/>
  <c r="F497" i="10"/>
  <c r="U496" i="10"/>
  <c r="T496" i="10"/>
  <c r="R496" i="10"/>
  <c r="G496" i="10"/>
  <c r="F496" i="10"/>
  <c r="L496" i="10" s="1"/>
  <c r="U495" i="10"/>
  <c r="Y496" i="10" s="1"/>
  <c r="T495" i="10"/>
  <c r="R495" i="10"/>
  <c r="G495" i="10"/>
  <c r="F495" i="10"/>
  <c r="T494" i="10"/>
  <c r="R494" i="10"/>
  <c r="G494" i="10"/>
  <c r="F494" i="10"/>
  <c r="T493" i="10"/>
  <c r="R493" i="10"/>
  <c r="G493" i="10"/>
  <c r="F493" i="10"/>
  <c r="T492" i="10"/>
  <c r="R492" i="10"/>
  <c r="G492" i="10"/>
  <c r="F492" i="10"/>
  <c r="T491" i="10"/>
  <c r="R491" i="10"/>
  <c r="G491" i="10"/>
  <c r="F491" i="10"/>
  <c r="T490" i="10"/>
  <c r="R490" i="10"/>
  <c r="G490" i="10"/>
  <c r="F490" i="10"/>
  <c r="T489" i="10"/>
  <c r="R489" i="10"/>
  <c r="G489" i="10"/>
  <c r="F489" i="10"/>
  <c r="U488" i="10"/>
  <c r="T488" i="10"/>
  <c r="R488" i="10"/>
  <c r="G488" i="10"/>
  <c r="F488" i="10"/>
  <c r="T487" i="10"/>
  <c r="R487" i="10"/>
  <c r="G487" i="10"/>
  <c r="F487" i="10"/>
  <c r="T486" i="10"/>
  <c r="R486" i="10"/>
  <c r="G486" i="10"/>
  <c r="F486" i="10"/>
  <c r="T485" i="10"/>
  <c r="R485" i="10"/>
  <c r="G485" i="10"/>
  <c r="F485" i="10"/>
  <c r="T484" i="10"/>
  <c r="R484" i="10"/>
  <c r="G484" i="10"/>
  <c r="F484" i="10"/>
  <c r="T483" i="10"/>
  <c r="R483" i="10"/>
  <c r="G483" i="10"/>
  <c r="F483" i="10"/>
  <c r="L483" i="10" s="1"/>
  <c r="T482" i="10"/>
  <c r="R482" i="10"/>
  <c r="G482" i="10"/>
  <c r="F482" i="10"/>
  <c r="L482" i="10" s="1"/>
  <c r="T481" i="10"/>
  <c r="R481" i="10"/>
  <c r="G481" i="10"/>
  <c r="F481" i="10"/>
  <c r="U480" i="10"/>
  <c r="Y479" i="10" s="1"/>
  <c r="T480" i="10"/>
  <c r="R480" i="10"/>
  <c r="G480" i="10"/>
  <c r="F480" i="10"/>
  <c r="U479" i="10"/>
  <c r="T479" i="10"/>
  <c r="R479" i="10"/>
  <c r="G479" i="10"/>
  <c r="F479" i="10"/>
  <c r="L479" i="10" s="1"/>
  <c r="U478" i="10"/>
  <c r="T478" i="10"/>
  <c r="R478" i="10"/>
  <c r="G478" i="10"/>
  <c r="F478" i="10"/>
  <c r="T477" i="10"/>
  <c r="R477" i="10"/>
  <c r="G477" i="10"/>
  <c r="F477" i="10"/>
  <c r="T476" i="10"/>
  <c r="R476" i="10"/>
  <c r="G476" i="10"/>
  <c r="F476" i="10"/>
  <c r="L476" i="10" s="1"/>
  <c r="T475" i="10"/>
  <c r="R475" i="10"/>
  <c r="G475" i="10"/>
  <c r="F475" i="10"/>
  <c r="E229" i="13" s="1"/>
  <c r="T474" i="10"/>
  <c r="R474" i="10"/>
  <c r="G474" i="10"/>
  <c r="F474" i="10"/>
  <c r="T473" i="10"/>
  <c r="R473" i="10"/>
  <c r="G473" i="10"/>
  <c r="F473" i="10"/>
  <c r="T472" i="10"/>
  <c r="R472" i="10"/>
  <c r="G472" i="10"/>
  <c r="F472" i="10"/>
  <c r="T471" i="10"/>
  <c r="R471" i="10"/>
  <c r="G471" i="10"/>
  <c r="F471" i="10"/>
  <c r="U470" i="10"/>
  <c r="Y472" i="10" s="1"/>
  <c r="T470" i="10"/>
  <c r="R470" i="10"/>
  <c r="G470" i="10"/>
  <c r="F470" i="10"/>
  <c r="T469" i="10"/>
  <c r="R469" i="10"/>
  <c r="G469" i="10"/>
  <c r="F469" i="10"/>
  <c r="T468" i="10"/>
  <c r="R468" i="10"/>
  <c r="G468" i="10"/>
  <c r="F468" i="10"/>
  <c r="T467" i="10"/>
  <c r="R467" i="10"/>
  <c r="G467" i="10"/>
  <c r="F467" i="10"/>
  <c r="L467" i="10" s="1"/>
  <c r="T466" i="10"/>
  <c r="R466" i="10"/>
  <c r="G466" i="10"/>
  <c r="F466" i="10"/>
  <c r="T465" i="10"/>
  <c r="R465" i="10"/>
  <c r="G465" i="10"/>
  <c r="F465" i="10"/>
  <c r="L465" i="10" s="1"/>
  <c r="T464" i="10"/>
  <c r="R464" i="10"/>
  <c r="G464" i="10"/>
  <c r="F464" i="10"/>
  <c r="T463" i="10"/>
  <c r="R463" i="10"/>
  <c r="G463" i="10"/>
  <c r="F463" i="10"/>
  <c r="L463" i="10" s="1"/>
  <c r="T462" i="10"/>
  <c r="R462" i="10"/>
  <c r="G462" i="10"/>
  <c r="F462" i="10"/>
  <c r="T461" i="10"/>
  <c r="R461" i="10"/>
  <c r="G461" i="10"/>
  <c r="F461" i="10"/>
  <c r="T460" i="10"/>
  <c r="R460" i="10"/>
  <c r="G460" i="10"/>
  <c r="F460" i="10"/>
  <c r="T459" i="10"/>
  <c r="R459" i="10"/>
  <c r="G459" i="10"/>
  <c r="F459" i="10"/>
  <c r="L459" i="10" s="1"/>
  <c r="U458" i="10"/>
  <c r="T458" i="10"/>
  <c r="R458" i="10"/>
  <c r="G458" i="10"/>
  <c r="F458" i="10"/>
  <c r="T457" i="10"/>
  <c r="R457" i="10"/>
  <c r="G457" i="10"/>
  <c r="F457" i="10"/>
  <c r="U456" i="10"/>
  <c r="T456" i="10"/>
  <c r="R456" i="10"/>
  <c r="G456" i="10"/>
  <c r="F456" i="10"/>
  <c r="T455" i="10"/>
  <c r="R455" i="10"/>
  <c r="G455" i="10"/>
  <c r="F455" i="10"/>
  <c r="T454" i="10"/>
  <c r="R454" i="10"/>
  <c r="G454" i="10"/>
  <c r="F454" i="10"/>
  <c r="T453" i="10"/>
  <c r="R453" i="10"/>
  <c r="G453" i="10"/>
  <c r="F453" i="10"/>
  <c r="U452" i="10"/>
  <c r="T452" i="10"/>
  <c r="R452" i="10"/>
  <c r="G452" i="10"/>
  <c r="F452" i="10"/>
  <c r="T451" i="10"/>
  <c r="R451" i="10"/>
  <c r="G451" i="10"/>
  <c r="F451" i="10"/>
  <c r="L451" i="10" s="1"/>
  <c r="U450" i="10"/>
  <c r="Y451" i="10" s="1"/>
  <c r="T450" i="10"/>
  <c r="R450" i="10"/>
  <c r="G450" i="10"/>
  <c r="F450" i="10"/>
  <c r="T449" i="10"/>
  <c r="R449" i="10"/>
  <c r="G449" i="10"/>
  <c r="F449" i="10"/>
  <c r="L449" i="10" s="1"/>
  <c r="U448" i="10"/>
  <c r="Y448" i="10" s="1"/>
  <c r="Z448" i="10" s="1"/>
  <c r="T448" i="10"/>
  <c r="R448" i="10"/>
  <c r="G448" i="10"/>
  <c r="F448" i="10"/>
  <c r="T447" i="10"/>
  <c r="R447" i="10"/>
  <c r="G447" i="10"/>
  <c r="F447" i="10"/>
  <c r="L447" i="10" s="1"/>
  <c r="T446" i="10"/>
  <c r="R446" i="10"/>
  <c r="G446" i="10"/>
  <c r="F446" i="10"/>
  <c r="T445" i="10"/>
  <c r="R445" i="10"/>
  <c r="G445" i="10"/>
  <c r="F445" i="10"/>
  <c r="T444" i="10"/>
  <c r="R444" i="10"/>
  <c r="G444" i="10"/>
  <c r="F444" i="10"/>
  <c r="L444" i="10" s="1"/>
  <c r="T443" i="10"/>
  <c r="R443" i="10"/>
  <c r="G443" i="10"/>
  <c r="F443" i="10"/>
  <c r="T442" i="10"/>
  <c r="R442" i="10"/>
  <c r="G442" i="10"/>
  <c r="F442" i="10"/>
  <c r="T441" i="10"/>
  <c r="R441" i="10"/>
  <c r="G441" i="10"/>
  <c r="F441" i="10"/>
  <c r="T440" i="10"/>
  <c r="R440" i="10"/>
  <c r="G440" i="10"/>
  <c r="F440" i="10"/>
  <c r="T439" i="10"/>
  <c r="R439" i="10"/>
  <c r="G439" i="10"/>
  <c r="F439" i="10"/>
  <c r="T438" i="10"/>
  <c r="R438" i="10"/>
  <c r="G438" i="10"/>
  <c r="F438" i="10"/>
  <c r="T437" i="10"/>
  <c r="R437" i="10"/>
  <c r="G437" i="10"/>
  <c r="F437" i="10"/>
  <c r="T436" i="10"/>
  <c r="R436" i="10"/>
  <c r="G436" i="10"/>
  <c r="F436" i="10"/>
  <c r="T435" i="10"/>
  <c r="R435" i="10"/>
  <c r="G435" i="10"/>
  <c r="F435" i="10"/>
  <c r="T434" i="10"/>
  <c r="R434" i="10"/>
  <c r="G434" i="10"/>
  <c r="F434" i="10"/>
  <c r="T433" i="10"/>
  <c r="R433" i="10"/>
  <c r="G433" i="10"/>
  <c r="F433" i="10"/>
  <c r="T432" i="10"/>
  <c r="R432" i="10"/>
  <c r="G432" i="10"/>
  <c r="F432" i="10"/>
  <c r="T431" i="10"/>
  <c r="R431" i="10"/>
  <c r="G431" i="10"/>
  <c r="F431" i="10"/>
  <c r="T430" i="10"/>
  <c r="R430" i="10"/>
  <c r="G430" i="10"/>
  <c r="F430" i="10"/>
  <c r="L430" i="10" s="1"/>
  <c r="T429" i="10"/>
  <c r="R429" i="10"/>
  <c r="G429" i="10"/>
  <c r="F429" i="10"/>
  <c r="T428" i="10"/>
  <c r="R428" i="10"/>
  <c r="G428" i="10"/>
  <c r="F428" i="10"/>
  <c r="L428" i="10" s="1"/>
  <c r="T427" i="10"/>
  <c r="R427" i="10"/>
  <c r="G427" i="10"/>
  <c r="F427" i="10"/>
  <c r="T426" i="10"/>
  <c r="R426" i="10"/>
  <c r="G426" i="10"/>
  <c r="F426" i="10"/>
  <c r="T425" i="10"/>
  <c r="R425" i="10"/>
  <c r="G425" i="10"/>
  <c r="F425" i="10"/>
  <c r="T424" i="10"/>
  <c r="R424" i="10"/>
  <c r="G424" i="10"/>
  <c r="F424" i="10"/>
  <c r="L424" i="10" s="1"/>
  <c r="U423" i="10"/>
  <c r="T423" i="10"/>
  <c r="R423" i="10"/>
  <c r="G423" i="10"/>
  <c r="F423" i="10"/>
  <c r="T422" i="10"/>
  <c r="R422" i="10"/>
  <c r="G422" i="10"/>
  <c r="F422" i="10"/>
  <c r="U421" i="10"/>
  <c r="T421" i="10"/>
  <c r="R421" i="10"/>
  <c r="G421" i="10"/>
  <c r="F421" i="10"/>
  <c r="U420" i="10"/>
  <c r="T420" i="10"/>
  <c r="R420" i="10"/>
  <c r="G420" i="10"/>
  <c r="F420" i="10"/>
  <c r="T419" i="10"/>
  <c r="R419" i="10"/>
  <c r="G419" i="10"/>
  <c r="F419" i="10"/>
  <c r="T418" i="10"/>
  <c r="R418" i="10"/>
  <c r="G418" i="10"/>
  <c r="F418" i="10"/>
  <c r="T417" i="10"/>
  <c r="R417" i="10"/>
  <c r="G417" i="10"/>
  <c r="F417" i="10"/>
  <c r="L417" i="10" s="1"/>
  <c r="T416" i="10"/>
  <c r="R416" i="10"/>
  <c r="G416" i="10"/>
  <c r="F416" i="10"/>
  <c r="E203" i="13" s="1"/>
  <c r="T415" i="10"/>
  <c r="R415" i="10"/>
  <c r="G415" i="10"/>
  <c r="F415" i="10"/>
  <c r="L415" i="10" s="1"/>
  <c r="T414" i="10"/>
  <c r="R414" i="10"/>
  <c r="G414" i="10"/>
  <c r="F414" i="10"/>
  <c r="T413" i="10"/>
  <c r="R413" i="10"/>
  <c r="G413" i="10"/>
  <c r="F413" i="10"/>
  <c r="T412" i="10"/>
  <c r="R412" i="10"/>
  <c r="G412" i="10"/>
  <c r="F412" i="10"/>
  <c r="E201" i="13" s="1"/>
  <c r="U411" i="10"/>
  <c r="T411" i="10"/>
  <c r="R411" i="10"/>
  <c r="G411" i="10"/>
  <c r="F411" i="10"/>
  <c r="L411" i="10" s="1"/>
  <c r="U410" i="10"/>
  <c r="T410" i="10"/>
  <c r="R410" i="10"/>
  <c r="G410" i="10"/>
  <c r="F410" i="10"/>
  <c r="T409" i="10"/>
  <c r="R409" i="10"/>
  <c r="G409" i="10"/>
  <c r="F409" i="10"/>
  <c r="T408" i="10"/>
  <c r="R408" i="10"/>
  <c r="G408" i="10"/>
  <c r="F408" i="10"/>
  <c r="T407" i="10"/>
  <c r="R407" i="10"/>
  <c r="G407" i="10"/>
  <c r="F407" i="10"/>
  <c r="T406" i="10"/>
  <c r="R406" i="10"/>
  <c r="G406" i="10"/>
  <c r="F406" i="10"/>
  <c r="T405" i="10"/>
  <c r="R405" i="10"/>
  <c r="G405" i="10"/>
  <c r="F405" i="10"/>
  <c r="T404" i="10"/>
  <c r="R404" i="10"/>
  <c r="G404" i="10"/>
  <c r="F404" i="10"/>
  <c r="T403" i="10"/>
  <c r="R403" i="10"/>
  <c r="G403" i="10"/>
  <c r="F403" i="10"/>
  <c r="T402" i="10"/>
  <c r="R402" i="10"/>
  <c r="G402" i="10"/>
  <c r="F402" i="10"/>
  <c r="E196" i="13" s="1"/>
  <c r="T401" i="10"/>
  <c r="R401" i="10"/>
  <c r="G401" i="10"/>
  <c r="F401" i="10"/>
  <c r="L401" i="10" s="1"/>
  <c r="T400" i="10"/>
  <c r="R400" i="10"/>
  <c r="G400" i="10"/>
  <c r="F400" i="10"/>
  <c r="L400" i="10" s="1"/>
  <c r="T399" i="10"/>
  <c r="R399" i="10"/>
  <c r="G399" i="10"/>
  <c r="F399" i="10"/>
  <c r="T398" i="10"/>
  <c r="R398" i="10"/>
  <c r="G398" i="10"/>
  <c r="F398" i="10"/>
  <c r="L398" i="10" s="1"/>
  <c r="T397" i="10"/>
  <c r="R397" i="10"/>
  <c r="G397" i="10"/>
  <c r="F397" i="10"/>
  <c r="T396" i="10"/>
  <c r="R396" i="10"/>
  <c r="G396" i="10"/>
  <c r="F396" i="10"/>
  <c r="E194" i="13" s="1"/>
  <c r="T395" i="10"/>
  <c r="R395" i="10"/>
  <c r="G395" i="10"/>
  <c r="F395" i="10"/>
  <c r="L395" i="10" s="1"/>
  <c r="T394" i="10"/>
  <c r="R394" i="10"/>
  <c r="G394" i="10"/>
  <c r="F394" i="10"/>
  <c r="L394" i="10" s="1"/>
  <c r="T393" i="10"/>
  <c r="R393" i="10"/>
  <c r="G393" i="10"/>
  <c r="F393" i="10"/>
  <c r="T392" i="10"/>
  <c r="R392" i="10"/>
  <c r="G392" i="10"/>
  <c r="F392" i="10"/>
  <c r="L392" i="10" s="1"/>
  <c r="T391" i="10"/>
  <c r="R391" i="10"/>
  <c r="G391" i="10"/>
  <c r="F391" i="10"/>
  <c r="T390" i="10"/>
  <c r="R390" i="10"/>
  <c r="G390" i="10"/>
  <c r="F390" i="10"/>
  <c r="T389" i="10"/>
  <c r="R389" i="10"/>
  <c r="G389" i="10"/>
  <c r="F389" i="10"/>
  <c r="T388" i="10"/>
  <c r="R388" i="10"/>
  <c r="G388" i="10"/>
  <c r="F388" i="10"/>
  <c r="T387" i="10"/>
  <c r="R387" i="10"/>
  <c r="G387" i="10"/>
  <c r="F387" i="10"/>
  <c r="T386" i="10"/>
  <c r="R386" i="10"/>
  <c r="G386" i="10"/>
  <c r="F386" i="10"/>
  <c r="L386" i="10" s="1"/>
  <c r="T385" i="10"/>
  <c r="R385" i="10"/>
  <c r="G385" i="10"/>
  <c r="F385" i="10"/>
  <c r="T384" i="10"/>
  <c r="R384" i="10"/>
  <c r="G384" i="10"/>
  <c r="F384" i="10"/>
  <c r="L384" i="10" s="1"/>
  <c r="T383" i="10"/>
  <c r="R383" i="10"/>
  <c r="G383" i="10"/>
  <c r="F383" i="10"/>
  <c r="T382" i="10"/>
  <c r="R382" i="10"/>
  <c r="G382" i="10"/>
  <c r="F382" i="10"/>
  <c r="L382" i="10" s="1"/>
  <c r="T381" i="10"/>
  <c r="R381" i="10"/>
  <c r="G381" i="10"/>
  <c r="F381" i="10"/>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T376" i="10"/>
  <c r="R376" i="10"/>
  <c r="G376" i="10"/>
  <c r="F376" i="10"/>
  <c r="L376" i="10" s="1"/>
  <c r="T375" i="10"/>
  <c r="R375" i="10"/>
  <c r="G375" i="10"/>
  <c r="F375" i="10"/>
  <c r="U374" i="10"/>
  <c r="T374" i="10"/>
  <c r="R374" i="10"/>
  <c r="G374" i="10"/>
  <c r="F374" i="10"/>
  <c r="T373" i="10"/>
  <c r="R373" i="10"/>
  <c r="G373" i="10"/>
  <c r="F373" i="10"/>
  <c r="T372" i="10"/>
  <c r="R372" i="10"/>
  <c r="G372" i="10"/>
  <c r="F372" i="10"/>
  <c r="T371" i="10"/>
  <c r="R371" i="10"/>
  <c r="G371" i="10"/>
  <c r="F371" i="10"/>
  <c r="T370" i="10"/>
  <c r="R370" i="10"/>
  <c r="G370" i="10"/>
  <c r="F370" i="10"/>
  <c r="E184" i="13" s="1"/>
  <c r="U369" i="10"/>
  <c r="T369" i="10"/>
  <c r="R369" i="10"/>
  <c r="G369" i="10"/>
  <c r="F369" i="10"/>
  <c r="L369" i="10" s="1"/>
  <c r="T368" i="10"/>
  <c r="R368" i="10"/>
  <c r="G368" i="10"/>
  <c r="F368" i="10"/>
  <c r="E183" i="13" s="1"/>
  <c r="U367" i="10"/>
  <c r="T367" i="10"/>
  <c r="R367" i="10"/>
  <c r="G367" i="10"/>
  <c r="F367" i="10"/>
  <c r="L367" i="10" s="1"/>
  <c r="U366" i="10"/>
  <c r="T366" i="10"/>
  <c r="R366" i="10"/>
  <c r="G366" i="10"/>
  <c r="F366" i="10"/>
  <c r="E182" i="13" s="1"/>
  <c r="T365" i="10"/>
  <c r="R365" i="10"/>
  <c r="G365" i="10"/>
  <c r="F365" i="10"/>
  <c r="T364" i="10"/>
  <c r="R364" i="10"/>
  <c r="G364" i="10"/>
  <c r="F364" i="10"/>
  <c r="E181" i="13" s="1"/>
  <c r="T363" i="10"/>
  <c r="R363" i="10"/>
  <c r="G363" i="10"/>
  <c r="F363" i="10"/>
  <c r="L363" i="10" s="1"/>
  <c r="T362" i="10"/>
  <c r="R362" i="10"/>
  <c r="G362" i="10"/>
  <c r="F362" i="10"/>
  <c r="E180" i="13" s="1"/>
  <c r="U361" i="10"/>
  <c r="T361" i="10"/>
  <c r="R361" i="10"/>
  <c r="G361" i="10"/>
  <c r="F361" i="10"/>
  <c r="T360" i="10"/>
  <c r="R360" i="10"/>
  <c r="G360" i="10"/>
  <c r="F360" i="10"/>
  <c r="E179" i="13" s="1"/>
  <c r="U359" i="10"/>
  <c r="T359" i="10"/>
  <c r="R359" i="10"/>
  <c r="G359" i="10"/>
  <c r="F359" i="10"/>
  <c r="L359" i="10" s="1"/>
  <c r="U358" i="10"/>
  <c r="T358" i="10"/>
  <c r="R358" i="10"/>
  <c r="G358" i="10"/>
  <c r="F358" i="10"/>
  <c r="U357" i="10"/>
  <c r="Y359" i="10" s="1"/>
  <c r="T357" i="10"/>
  <c r="R357" i="10"/>
  <c r="G357" i="10"/>
  <c r="F357" i="10"/>
  <c r="U356" i="10"/>
  <c r="T356" i="10"/>
  <c r="R356" i="10"/>
  <c r="G356" i="10"/>
  <c r="F356" i="10"/>
  <c r="L356" i="10" s="1"/>
  <c r="U355" i="10"/>
  <c r="Y356" i="10" s="1"/>
  <c r="T355" i="10"/>
  <c r="R355" i="10"/>
  <c r="G355" i="10"/>
  <c r="F355" i="10"/>
  <c r="T354" i="10"/>
  <c r="R354" i="10"/>
  <c r="G354" i="10"/>
  <c r="F354" i="10"/>
  <c r="T353" i="10"/>
  <c r="R353" i="10"/>
  <c r="G353" i="10"/>
  <c r="F353" i="10"/>
  <c r="U352" i="10"/>
  <c r="T352" i="10"/>
  <c r="R352" i="10"/>
  <c r="G352" i="10"/>
  <c r="F352" i="10"/>
  <c r="L352" i="10" s="1"/>
  <c r="T351" i="10"/>
  <c r="R351" i="10"/>
  <c r="G351" i="10"/>
  <c r="F351" i="10"/>
  <c r="T350" i="10"/>
  <c r="R350" i="10"/>
  <c r="G350" i="10"/>
  <c r="F350" i="10"/>
  <c r="L350" i="10" s="1"/>
  <c r="T349" i="10"/>
  <c r="R349" i="10"/>
  <c r="G349" i="10"/>
  <c r="F349" i="10"/>
  <c r="U348" i="10"/>
  <c r="T348" i="10"/>
  <c r="R348" i="10"/>
  <c r="G348" i="10"/>
  <c r="F348" i="10"/>
  <c r="L348" i="10" s="1"/>
  <c r="U347" i="10"/>
  <c r="Y347" i="10" s="1"/>
  <c r="Z347" i="10" s="1"/>
  <c r="T347" i="10"/>
  <c r="R347" i="10"/>
  <c r="G347" i="10"/>
  <c r="F347" i="10"/>
  <c r="T346" i="10"/>
  <c r="R346" i="10"/>
  <c r="G346" i="10"/>
  <c r="F346" i="10"/>
  <c r="L346" i="10" s="1"/>
  <c r="T345" i="10"/>
  <c r="R345" i="10"/>
  <c r="G345" i="10"/>
  <c r="F345" i="10"/>
  <c r="E172" i="13" s="1"/>
  <c r="T344" i="10"/>
  <c r="R344" i="10"/>
  <c r="G344" i="10"/>
  <c r="F344" i="10"/>
  <c r="L344" i="10" s="1"/>
  <c r="T343" i="10"/>
  <c r="R343" i="10"/>
  <c r="G343" i="10"/>
  <c r="F343" i="10"/>
  <c r="E171" i="13" s="1"/>
  <c r="T342" i="10"/>
  <c r="R342" i="10"/>
  <c r="G342" i="10"/>
  <c r="F342" i="10"/>
  <c r="L342" i="10" s="1"/>
  <c r="T341" i="10"/>
  <c r="R341" i="10"/>
  <c r="G341" i="10"/>
  <c r="F341" i="10"/>
  <c r="E170" i="13" s="1"/>
  <c r="T340" i="10"/>
  <c r="R340" i="10"/>
  <c r="G340" i="10"/>
  <c r="F340" i="10"/>
  <c r="L340" i="10" s="1"/>
  <c r="T339" i="10"/>
  <c r="R339" i="10"/>
  <c r="G339" i="10"/>
  <c r="F339" i="10"/>
  <c r="U338" i="10"/>
  <c r="T338" i="10"/>
  <c r="R338" i="10"/>
  <c r="G338" i="10"/>
  <c r="F338" i="10"/>
  <c r="L338" i="10" s="1"/>
  <c r="U337" i="10"/>
  <c r="Y337" i="10" s="1"/>
  <c r="Z337" i="10" s="1"/>
  <c r="T337" i="10"/>
  <c r="R337" i="10"/>
  <c r="G337" i="10"/>
  <c r="F337" i="10"/>
  <c r="T336" i="10"/>
  <c r="R336" i="10"/>
  <c r="G336" i="10"/>
  <c r="F336" i="10"/>
  <c r="T335" i="10"/>
  <c r="R335" i="10"/>
  <c r="G335" i="10"/>
  <c r="F335" i="10"/>
  <c r="U334" i="10"/>
  <c r="T334" i="10"/>
  <c r="R334" i="10"/>
  <c r="G334" i="10"/>
  <c r="F334" i="10"/>
  <c r="U333" i="10"/>
  <c r="T333" i="10"/>
  <c r="R333" i="10"/>
  <c r="G333" i="10"/>
  <c r="F333" i="10"/>
  <c r="T332" i="10"/>
  <c r="R332" i="10"/>
  <c r="G332" i="10"/>
  <c r="F332" i="10"/>
  <c r="L332" i="10" s="1"/>
  <c r="T331" i="10"/>
  <c r="R331" i="10"/>
  <c r="G331" i="10"/>
  <c r="F331" i="10"/>
  <c r="T330" i="10"/>
  <c r="R330" i="10"/>
  <c r="G330" i="10"/>
  <c r="F330" i="10"/>
  <c r="T329" i="10"/>
  <c r="R329" i="10"/>
  <c r="G329" i="10"/>
  <c r="F329" i="10"/>
  <c r="E164" i="13" s="1"/>
  <c r="U328" i="10"/>
  <c r="T328" i="10"/>
  <c r="R328" i="10"/>
  <c r="G328" i="10"/>
  <c r="F328" i="10"/>
  <c r="L328" i="10" s="1"/>
  <c r="U327" i="10"/>
  <c r="T327" i="10"/>
  <c r="R327" i="10"/>
  <c r="G327" i="10"/>
  <c r="F327" i="10"/>
  <c r="T326" i="10"/>
  <c r="R326" i="10"/>
  <c r="G326" i="10"/>
  <c r="F326" i="10"/>
  <c r="E163" i="13" s="1"/>
  <c r="T325" i="10"/>
  <c r="R325" i="10"/>
  <c r="G325" i="10"/>
  <c r="F325" i="10"/>
  <c r="T324" i="10"/>
  <c r="R324" i="10"/>
  <c r="G324" i="10"/>
  <c r="F324" i="10"/>
  <c r="E162" i="13" s="1"/>
  <c r="T323" i="10"/>
  <c r="R323" i="10"/>
  <c r="G323" i="10"/>
  <c r="F323" i="10"/>
  <c r="L323" i="10" s="1"/>
  <c r="T322" i="10"/>
  <c r="R322" i="10"/>
  <c r="G322" i="10"/>
  <c r="F322" i="10"/>
  <c r="E161" i="13" s="1"/>
  <c r="T321" i="10"/>
  <c r="R321" i="10"/>
  <c r="G321" i="10"/>
  <c r="F321" i="10"/>
  <c r="L321" i="10" s="1"/>
  <c r="T320" i="10"/>
  <c r="R320" i="10"/>
  <c r="G320" i="10"/>
  <c r="F320" i="10"/>
  <c r="E160" i="13" s="1"/>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T312" i="10"/>
  <c r="R312" i="10"/>
  <c r="G312" i="10"/>
  <c r="F312" i="10"/>
  <c r="E156" i="13" s="1"/>
  <c r="T311" i="10"/>
  <c r="R311" i="10"/>
  <c r="G311" i="10"/>
  <c r="F311" i="10"/>
  <c r="T310" i="10"/>
  <c r="R310" i="10"/>
  <c r="G310" i="10"/>
  <c r="F310" i="10"/>
  <c r="E155" i="13" s="1"/>
  <c r="T309" i="10"/>
  <c r="R309" i="10"/>
  <c r="G309" i="10"/>
  <c r="F309" i="10"/>
  <c r="L309" i="10" s="1"/>
  <c r="T308" i="10"/>
  <c r="R308" i="10"/>
  <c r="G308" i="10"/>
  <c r="F308" i="10"/>
  <c r="E154" i="13" s="1"/>
  <c r="U307" i="10"/>
  <c r="T307" i="10"/>
  <c r="R307" i="10"/>
  <c r="G307" i="10"/>
  <c r="F307" i="10"/>
  <c r="L307" i="10" s="1"/>
  <c r="U306" i="10"/>
  <c r="Y307" i="10" s="1"/>
  <c r="T306" i="10"/>
  <c r="R306" i="10"/>
  <c r="G306" i="10"/>
  <c r="F306" i="10"/>
  <c r="E153" i="13" s="1"/>
  <c r="T305" i="10"/>
  <c r="R305" i="10"/>
  <c r="G305" i="10"/>
  <c r="F305" i="10"/>
  <c r="L305" i="10" s="1"/>
  <c r="T304" i="10"/>
  <c r="R304" i="10"/>
  <c r="G304" i="10"/>
  <c r="F304" i="10"/>
  <c r="E152" i="13" s="1"/>
  <c r="T303" i="10"/>
  <c r="R303" i="10"/>
  <c r="G303" i="10"/>
  <c r="F303" i="10"/>
  <c r="L303" i="10" s="1"/>
  <c r="T302" i="10"/>
  <c r="R302" i="10"/>
  <c r="G302" i="10"/>
  <c r="F302" i="10"/>
  <c r="T301" i="10"/>
  <c r="R301" i="10"/>
  <c r="G301" i="10"/>
  <c r="F301" i="10"/>
  <c r="T300" i="10"/>
  <c r="R300" i="10"/>
  <c r="G300" i="10"/>
  <c r="F300" i="10"/>
  <c r="T299" i="10"/>
  <c r="R299" i="10"/>
  <c r="G299" i="10"/>
  <c r="F299" i="10"/>
  <c r="L299" i="10" s="1"/>
  <c r="T298" i="10"/>
  <c r="R298" i="10"/>
  <c r="G298" i="10"/>
  <c r="F298" i="10"/>
  <c r="E149" i="13" s="1"/>
  <c r="U297" i="10"/>
  <c r="T297" i="10"/>
  <c r="R297" i="10"/>
  <c r="G297" i="10"/>
  <c r="F297" i="10"/>
  <c r="T296" i="10"/>
  <c r="R296" i="10"/>
  <c r="G296" i="10"/>
  <c r="F296" i="10"/>
  <c r="T295" i="10"/>
  <c r="R295" i="10"/>
  <c r="G295" i="10"/>
  <c r="F295" i="10"/>
  <c r="T294" i="10"/>
  <c r="R294" i="10"/>
  <c r="G294" i="10"/>
  <c r="F294" i="10"/>
  <c r="E147" i="13" s="1"/>
  <c r="T293" i="10"/>
  <c r="R293" i="10"/>
  <c r="G293" i="10"/>
  <c r="F293" i="10"/>
  <c r="T292" i="10"/>
  <c r="R292" i="10"/>
  <c r="G292" i="10"/>
  <c r="F292" i="10"/>
  <c r="E146" i="13" s="1"/>
  <c r="T291" i="10"/>
  <c r="R291" i="10"/>
  <c r="G291" i="10"/>
  <c r="F291" i="10"/>
  <c r="L291" i="10" s="1"/>
  <c r="T290" i="10"/>
  <c r="R290" i="10"/>
  <c r="G290" i="10"/>
  <c r="F290" i="10"/>
  <c r="E145" i="13" s="1"/>
  <c r="T289" i="10"/>
  <c r="R289" i="10"/>
  <c r="G289" i="10"/>
  <c r="F289" i="10"/>
  <c r="L289" i="10" s="1"/>
  <c r="T288" i="10"/>
  <c r="R288" i="10"/>
  <c r="G288" i="10"/>
  <c r="F288" i="10"/>
  <c r="T287" i="10"/>
  <c r="R287" i="10"/>
  <c r="G287" i="10"/>
  <c r="F287" i="10"/>
  <c r="L287" i="10" s="1"/>
  <c r="T286" i="10"/>
  <c r="R286" i="10"/>
  <c r="G286" i="10"/>
  <c r="F286" i="10"/>
  <c r="T285" i="10"/>
  <c r="R285" i="10"/>
  <c r="G285" i="10"/>
  <c r="F285" i="10"/>
  <c r="T284" i="10"/>
  <c r="R284" i="10"/>
  <c r="G284" i="10"/>
  <c r="F284" i="10"/>
  <c r="T283" i="10"/>
  <c r="R283" i="10"/>
  <c r="G283" i="10"/>
  <c r="F283" i="10"/>
  <c r="T282" i="10"/>
  <c r="R282" i="10"/>
  <c r="G282" i="10"/>
  <c r="F282" i="10"/>
  <c r="T281" i="10"/>
  <c r="R281" i="10"/>
  <c r="G281" i="10"/>
  <c r="F281" i="10"/>
  <c r="L281" i="10" s="1"/>
  <c r="T280" i="10"/>
  <c r="R280" i="10"/>
  <c r="G280" i="10"/>
  <c r="F280" i="10"/>
  <c r="T279" i="10"/>
  <c r="R279" i="10"/>
  <c r="G279" i="10"/>
  <c r="F279" i="10"/>
  <c r="T278" i="10"/>
  <c r="R278" i="10"/>
  <c r="G278" i="10"/>
  <c r="F278" i="10"/>
  <c r="E139" i="13" s="1"/>
  <c r="T277" i="10"/>
  <c r="R277" i="10"/>
  <c r="G277" i="10"/>
  <c r="F277" i="10"/>
  <c r="L277" i="10" s="1"/>
  <c r="T276" i="10"/>
  <c r="R276" i="10"/>
  <c r="G276" i="10"/>
  <c r="F276" i="10"/>
  <c r="E138" i="13" s="1"/>
  <c r="T275" i="10"/>
  <c r="R275" i="10"/>
  <c r="G275" i="10"/>
  <c r="F275" i="10"/>
  <c r="L275" i="10" s="1"/>
  <c r="T274" i="10"/>
  <c r="R274" i="10"/>
  <c r="G274" i="10"/>
  <c r="F274" i="10"/>
  <c r="E137" i="13" s="1"/>
  <c r="T273" i="10"/>
  <c r="R273" i="10"/>
  <c r="G273" i="10"/>
  <c r="F273" i="10"/>
  <c r="L273" i="10" s="1"/>
  <c r="T272" i="10"/>
  <c r="R272" i="10"/>
  <c r="G272" i="10"/>
  <c r="F272" i="10"/>
  <c r="E136" i="13" s="1"/>
  <c r="T271" i="10"/>
  <c r="R271" i="10"/>
  <c r="G271" i="10"/>
  <c r="F271" i="10"/>
  <c r="L271" i="10" s="1"/>
  <c r="U270" i="10"/>
  <c r="Y271" i="10" s="1"/>
  <c r="T270" i="10"/>
  <c r="R270" i="10"/>
  <c r="G270" i="10"/>
  <c r="F270" i="10"/>
  <c r="E135" i="13" s="1"/>
  <c r="T269" i="10"/>
  <c r="R269" i="10"/>
  <c r="G269" i="10"/>
  <c r="F269" i="10"/>
  <c r="T268" i="10"/>
  <c r="R268" i="10"/>
  <c r="G268" i="10"/>
  <c r="F268" i="10"/>
  <c r="T267" i="10"/>
  <c r="R267" i="10"/>
  <c r="G267" i="10"/>
  <c r="F267" i="10"/>
  <c r="T266" i="10"/>
  <c r="R266" i="10"/>
  <c r="G266" i="10"/>
  <c r="F266" i="10"/>
  <c r="T265" i="10"/>
  <c r="R265" i="10"/>
  <c r="G265" i="10"/>
  <c r="F265" i="10"/>
  <c r="T264" i="10"/>
  <c r="R264" i="10"/>
  <c r="G264" i="10"/>
  <c r="F264" i="10"/>
  <c r="T263" i="10"/>
  <c r="R263" i="10"/>
  <c r="G263" i="10"/>
  <c r="F263" i="10"/>
  <c r="T262" i="10"/>
  <c r="R262" i="10"/>
  <c r="G262" i="10"/>
  <c r="F262" i="10"/>
  <c r="T261" i="10"/>
  <c r="R261" i="10"/>
  <c r="G261" i="10"/>
  <c r="F261" i="10"/>
  <c r="L261" i="10" s="1"/>
  <c r="T260" i="10"/>
  <c r="R260" i="10"/>
  <c r="G260" i="10"/>
  <c r="F260" i="10"/>
  <c r="T259" i="10"/>
  <c r="R259" i="10"/>
  <c r="G259" i="10"/>
  <c r="F259" i="10"/>
  <c r="L259" i="10" s="1"/>
  <c r="T258" i="10"/>
  <c r="R258" i="10"/>
  <c r="G258" i="10"/>
  <c r="F258" i="10"/>
  <c r="T257" i="10"/>
  <c r="R257" i="10"/>
  <c r="G257" i="10"/>
  <c r="F257" i="10"/>
  <c r="L257" i="10" s="1"/>
  <c r="U256" i="10"/>
  <c r="T256" i="10"/>
  <c r="R256" i="10"/>
  <c r="G256" i="10"/>
  <c r="F256" i="10"/>
  <c r="U255" i="10"/>
  <c r="T255" i="10"/>
  <c r="R255" i="10"/>
  <c r="G255" i="10"/>
  <c r="F255" i="10"/>
  <c r="T254" i="10"/>
  <c r="R254" i="10"/>
  <c r="G254" i="10"/>
  <c r="F254" i="10"/>
  <c r="T253" i="10"/>
  <c r="R253" i="10"/>
  <c r="G253" i="10"/>
  <c r="F253" i="10"/>
  <c r="T252" i="10"/>
  <c r="R252" i="10"/>
  <c r="G252" i="10"/>
  <c r="F252" i="10"/>
  <c r="T251" i="10"/>
  <c r="R251" i="10"/>
  <c r="G251" i="10"/>
  <c r="F251" i="10"/>
  <c r="T250" i="10"/>
  <c r="R250" i="10"/>
  <c r="G250" i="10"/>
  <c r="F250" i="10"/>
  <c r="T249" i="10"/>
  <c r="R249" i="10"/>
  <c r="G249" i="10"/>
  <c r="F249" i="10"/>
  <c r="T248" i="10"/>
  <c r="R248" i="10"/>
  <c r="G248" i="10"/>
  <c r="F248" i="10"/>
  <c r="U247" i="10"/>
  <c r="T247" i="10"/>
  <c r="R247" i="10"/>
  <c r="G247" i="10"/>
  <c r="F247" i="10"/>
  <c r="L247" i="10" s="1"/>
  <c r="T246" i="10"/>
  <c r="R246" i="10"/>
  <c r="G246" i="10"/>
  <c r="F246" i="10"/>
  <c r="U245" i="10"/>
  <c r="T245" i="10"/>
  <c r="R245" i="10"/>
  <c r="G245" i="10"/>
  <c r="F245" i="10"/>
  <c r="U244" i="10"/>
  <c r="Y244" i="10" s="1"/>
  <c r="Z244" i="10" s="1"/>
  <c r="T244" i="10"/>
  <c r="R244" i="10"/>
  <c r="G244" i="10"/>
  <c r="F244" i="10"/>
  <c r="T243" i="10"/>
  <c r="R243" i="10"/>
  <c r="G243" i="10"/>
  <c r="F243" i="10"/>
  <c r="T242" i="10"/>
  <c r="R242" i="10"/>
  <c r="G242" i="10"/>
  <c r="F242" i="10"/>
  <c r="T241" i="10"/>
  <c r="R241" i="10"/>
  <c r="G241" i="10"/>
  <c r="F241" i="10"/>
  <c r="L241" i="10" s="1"/>
  <c r="T240" i="10"/>
  <c r="R240" i="10"/>
  <c r="G240" i="10"/>
  <c r="F240" i="10"/>
  <c r="T239" i="10"/>
  <c r="R239" i="10"/>
  <c r="G239" i="10"/>
  <c r="F239" i="10"/>
  <c r="L239" i="10" s="1"/>
  <c r="T238" i="10"/>
  <c r="R238" i="10"/>
  <c r="G238" i="10"/>
  <c r="F238" i="10"/>
  <c r="T237" i="10"/>
  <c r="R237" i="10"/>
  <c r="G237" i="10"/>
  <c r="F237" i="10"/>
  <c r="U236" i="10"/>
  <c r="T236" i="10"/>
  <c r="R236" i="10"/>
  <c r="G236" i="10"/>
  <c r="F236" i="10"/>
  <c r="T235" i="10"/>
  <c r="R235" i="10"/>
  <c r="G235" i="10"/>
  <c r="F235" i="10"/>
  <c r="T234" i="10"/>
  <c r="R234" i="10"/>
  <c r="G234" i="10"/>
  <c r="F234" i="10"/>
  <c r="U233" i="10"/>
  <c r="T233" i="10"/>
  <c r="R233" i="10"/>
  <c r="G233" i="10"/>
  <c r="F233" i="10"/>
  <c r="T232" i="10"/>
  <c r="R232" i="10"/>
  <c r="G232" i="10"/>
  <c r="F232" i="10"/>
  <c r="T231" i="10"/>
  <c r="R231" i="10"/>
  <c r="G231" i="10"/>
  <c r="F231" i="10"/>
  <c r="T230" i="10"/>
  <c r="R230" i="10"/>
  <c r="G230" i="10"/>
  <c r="F230" i="10"/>
  <c r="T229" i="10"/>
  <c r="R229" i="10"/>
  <c r="G229" i="10"/>
  <c r="F229" i="10"/>
  <c r="U228" i="10"/>
  <c r="T228" i="10"/>
  <c r="R228" i="10"/>
  <c r="G228" i="10"/>
  <c r="F228" i="10"/>
  <c r="L228" i="10" s="1"/>
  <c r="T227" i="10"/>
  <c r="R227" i="10"/>
  <c r="G227" i="10"/>
  <c r="F227" i="10"/>
  <c r="U226" i="10"/>
  <c r="T226" i="10"/>
  <c r="R226" i="10"/>
  <c r="G226" i="10"/>
  <c r="F226" i="10"/>
  <c r="U225" i="10"/>
  <c r="T225" i="10"/>
  <c r="R225" i="10"/>
  <c r="G225" i="10"/>
  <c r="F225" i="10"/>
  <c r="L225" i="10" s="1"/>
  <c r="U224" i="10"/>
  <c r="Y225" i="10" s="1"/>
  <c r="T224" i="10"/>
  <c r="R224" i="10"/>
  <c r="G224" i="10"/>
  <c r="F224" i="10"/>
  <c r="E113" i="13" s="1"/>
  <c r="T223" i="10"/>
  <c r="R223" i="10"/>
  <c r="G223" i="10"/>
  <c r="F223" i="10"/>
  <c r="L223" i="10" s="1"/>
  <c r="T222" i="10"/>
  <c r="R222" i="10"/>
  <c r="G222" i="10"/>
  <c r="F222" i="10"/>
  <c r="E112" i="13" s="1"/>
  <c r="T221" i="10"/>
  <c r="R221" i="10"/>
  <c r="G221" i="10"/>
  <c r="F221" i="10"/>
  <c r="U220" i="10"/>
  <c r="Y220" i="10" s="1"/>
  <c r="Z220" i="10" s="1"/>
  <c r="T220" i="10"/>
  <c r="R220" i="10"/>
  <c r="G220" i="10"/>
  <c r="F220" i="10"/>
  <c r="T219" i="10"/>
  <c r="R219" i="10"/>
  <c r="G219" i="10"/>
  <c r="F219" i="10"/>
  <c r="L219" i="10" s="1"/>
  <c r="T218" i="10"/>
  <c r="R218" i="10"/>
  <c r="G218" i="10"/>
  <c r="F218" i="10"/>
  <c r="T217" i="10"/>
  <c r="R217" i="10"/>
  <c r="G217" i="10"/>
  <c r="F217" i="10"/>
  <c r="T216" i="10"/>
  <c r="R216" i="10"/>
  <c r="G216" i="10"/>
  <c r="F216" i="10"/>
  <c r="T215" i="10"/>
  <c r="R215" i="10"/>
  <c r="G215" i="10"/>
  <c r="F215" i="10"/>
  <c r="T214" i="10"/>
  <c r="R214" i="10"/>
  <c r="G214" i="10"/>
  <c r="F214" i="10"/>
  <c r="T213" i="10"/>
  <c r="R213" i="10"/>
  <c r="G213" i="10"/>
  <c r="F213" i="10"/>
  <c r="T212" i="10"/>
  <c r="R212" i="10"/>
  <c r="G212" i="10"/>
  <c r="F212" i="10"/>
  <c r="E109" i="13" s="1"/>
  <c r="T211" i="10"/>
  <c r="R211" i="10"/>
  <c r="G211" i="10"/>
  <c r="F211" i="10"/>
  <c r="T210" i="10"/>
  <c r="R210" i="10"/>
  <c r="G210" i="10"/>
  <c r="F210" i="10"/>
  <c r="T209" i="10"/>
  <c r="R209" i="10"/>
  <c r="G209" i="10"/>
  <c r="F209" i="10"/>
  <c r="L209" i="10" s="1"/>
  <c r="T208" i="10"/>
  <c r="R208" i="10"/>
  <c r="G208" i="10"/>
  <c r="F208" i="10"/>
  <c r="T207" i="10"/>
  <c r="R207" i="10"/>
  <c r="G207" i="10"/>
  <c r="F207" i="10"/>
  <c r="L207" i="10" s="1"/>
  <c r="T206" i="10"/>
  <c r="R206" i="10"/>
  <c r="G206" i="10"/>
  <c r="F206" i="10"/>
  <c r="L206" i="10" s="1"/>
  <c r="T205" i="10"/>
  <c r="R205" i="10"/>
  <c r="G205" i="10"/>
  <c r="F205" i="10"/>
  <c r="T204" i="10"/>
  <c r="R204" i="10"/>
  <c r="G204" i="10"/>
  <c r="F204" i="10"/>
  <c r="E107" i="13" s="1"/>
  <c r="T203" i="10"/>
  <c r="R203" i="10"/>
  <c r="G203" i="10"/>
  <c r="F203" i="10"/>
  <c r="L203" i="10" s="1"/>
  <c r="T202" i="10"/>
  <c r="R202" i="10"/>
  <c r="G202" i="10"/>
  <c r="F202" i="10"/>
  <c r="T201" i="10"/>
  <c r="R201" i="10"/>
  <c r="G201" i="10"/>
  <c r="F201" i="10"/>
  <c r="T200" i="10"/>
  <c r="R200" i="10"/>
  <c r="G200" i="10"/>
  <c r="F200" i="10"/>
  <c r="T199" i="10"/>
  <c r="R199" i="10"/>
  <c r="G199" i="10"/>
  <c r="F199" i="10"/>
  <c r="T198" i="10"/>
  <c r="R198" i="10"/>
  <c r="G198" i="10"/>
  <c r="F198" i="10"/>
  <c r="T197" i="10"/>
  <c r="R197" i="10"/>
  <c r="G197" i="10"/>
  <c r="F197" i="10"/>
  <c r="T196" i="10"/>
  <c r="R196" i="10"/>
  <c r="G196" i="10"/>
  <c r="F196" i="10"/>
  <c r="T195" i="10"/>
  <c r="R195" i="10"/>
  <c r="G195" i="10"/>
  <c r="F195" i="10"/>
  <c r="L195" i="10" s="1"/>
  <c r="T194" i="10"/>
  <c r="R194" i="10"/>
  <c r="G194" i="10"/>
  <c r="F194" i="10"/>
  <c r="L194" i="10" s="1"/>
  <c r="T193" i="10"/>
  <c r="R193" i="10"/>
  <c r="G193" i="10"/>
  <c r="F193" i="10"/>
  <c r="L193" i="10" s="1"/>
  <c r="T192" i="10"/>
  <c r="R192" i="10"/>
  <c r="G192" i="10"/>
  <c r="F192" i="10"/>
  <c r="E104" i="13" s="1"/>
  <c r="T191" i="10"/>
  <c r="R191" i="10"/>
  <c r="G191" i="10"/>
  <c r="F191" i="10"/>
  <c r="L191" i="10" s="1"/>
  <c r="T190" i="10"/>
  <c r="R190" i="10"/>
  <c r="G190" i="10"/>
  <c r="F190" i="10"/>
  <c r="T189" i="10"/>
  <c r="R189" i="10"/>
  <c r="G189" i="10"/>
  <c r="F189" i="10"/>
  <c r="T188" i="10"/>
  <c r="R188" i="10"/>
  <c r="G188" i="10"/>
  <c r="F188" i="10"/>
  <c r="T187" i="10"/>
  <c r="R187" i="10"/>
  <c r="G187" i="10"/>
  <c r="F187" i="10"/>
  <c r="T186" i="10"/>
  <c r="R186" i="10"/>
  <c r="G186" i="10"/>
  <c r="F186" i="10"/>
  <c r="T185" i="10"/>
  <c r="R185" i="10"/>
  <c r="G185" i="10"/>
  <c r="F185" i="10"/>
  <c r="T184" i="10"/>
  <c r="R184" i="10"/>
  <c r="G184" i="10"/>
  <c r="F184" i="10"/>
  <c r="T183" i="10"/>
  <c r="R183" i="10"/>
  <c r="G183" i="10"/>
  <c r="F183" i="10"/>
  <c r="T182" i="10"/>
  <c r="R182" i="10"/>
  <c r="G182" i="10"/>
  <c r="F182" i="10"/>
  <c r="T181" i="10"/>
  <c r="R181" i="10"/>
  <c r="G181" i="10"/>
  <c r="F181" i="10"/>
  <c r="T180" i="10"/>
  <c r="R180" i="10"/>
  <c r="G180" i="10"/>
  <c r="F180" i="10"/>
  <c r="T179" i="10"/>
  <c r="R179" i="10"/>
  <c r="G179" i="10"/>
  <c r="F179" i="10"/>
  <c r="L179" i="10" s="1"/>
  <c r="T178" i="10"/>
  <c r="R178" i="10"/>
  <c r="G178" i="10"/>
  <c r="F178" i="10"/>
  <c r="L178" i="10" s="1"/>
  <c r="T177" i="10"/>
  <c r="R177" i="10"/>
  <c r="G177" i="10"/>
  <c r="F177" i="10"/>
  <c r="L177" i="10" s="1"/>
  <c r="T176" i="10"/>
  <c r="R176" i="10"/>
  <c r="G176" i="10"/>
  <c r="F176" i="10"/>
  <c r="E100" i="13" s="1"/>
  <c r="T175" i="10"/>
  <c r="R175" i="10"/>
  <c r="G175" i="10"/>
  <c r="F175" i="10"/>
  <c r="L175" i="10" s="1"/>
  <c r="T174" i="10"/>
  <c r="R174" i="10"/>
  <c r="G174" i="10"/>
  <c r="F174" i="10"/>
  <c r="L174" i="10" s="1"/>
  <c r="T173" i="10"/>
  <c r="R173" i="10"/>
  <c r="G173" i="10"/>
  <c r="F173" i="10"/>
  <c r="T172" i="10"/>
  <c r="R172" i="10"/>
  <c r="G172" i="10"/>
  <c r="F172" i="10"/>
  <c r="E99" i="13" s="1"/>
  <c r="T171" i="10"/>
  <c r="R171" i="10"/>
  <c r="G171" i="10"/>
  <c r="F171" i="10"/>
  <c r="T170" i="10"/>
  <c r="R170" i="10"/>
  <c r="G170" i="10"/>
  <c r="F170" i="10"/>
  <c r="T169" i="10"/>
  <c r="R169" i="10"/>
  <c r="G169" i="10"/>
  <c r="F169" i="10"/>
  <c r="T168" i="10"/>
  <c r="R168" i="10"/>
  <c r="G168" i="10"/>
  <c r="F168" i="10"/>
  <c r="E98" i="13" s="1"/>
  <c r="T167" i="10"/>
  <c r="R167" i="10"/>
  <c r="G167" i="10"/>
  <c r="F167" i="10"/>
  <c r="T166" i="10"/>
  <c r="R166" i="10"/>
  <c r="G166" i="10"/>
  <c r="F166" i="10"/>
  <c r="U165" i="10"/>
  <c r="T165" i="10"/>
  <c r="R165" i="10"/>
  <c r="H165" i="10"/>
  <c r="G165" i="10"/>
  <c r="F165" i="10"/>
  <c r="T164" i="10"/>
  <c r="R164" i="10"/>
  <c r="G164" i="10"/>
  <c r="F164" i="10"/>
  <c r="T163" i="10"/>
  <c r="R163" i="10"/>
  <c r="G163" i="10"/>
  <c r="F163" i="10"/>
  <c r="T162" i="10"/>
  <c r="R162" i="10"/>
  <c r="G162" i="10"/>
  <c r="F162" i="10"/>
  <c r="L162" i="10" s="1"/>
  <c r="T161" i="10"/>
  <c r="R161" i="10"/>
  <c r="G161" i="10"/>
  <c r="F161" i="10"/>
  <c r="L161" i="10" s="1"/>
  <c r="T160" i="10"/>
  <c r="R160" i="10"/>
  <c r="G160" i="10"/>
  <c r="F160" i="10"/>
  <c r="E96" i="13" s="1"/>
  <c r="U159" i="10"/>
  <c r="T159" i="10"/>
  <c r="R159" i="10"/>
  <c r="H159" i="10"/>
  <c r="G159" i="10"/>
  <c r="F159" i="10"/>
  <c r="L159" i="10" s="1"/>
  <c r="T158" i="10"/>
  <c r="R158" i="10"/>
  <c r="G158" i="10"/>
  <c r="F158" i="10"/>
  <c r="L158" i="10" s="1"/>
  <c r="T157" i="10"/>
  <c r="R157" i="10"/>
  <c r="G157" i="10"/>
  <c r="F157" i="10"/>
  <c r="T156" i="10"/>
  <c r="R156" i="10"/>
  <c r="G156" i="10"/>
  <c r="F156" i="10"/>
  <c r="E95" i="13" s="1"/>
  <c r="T155" i="10"/>
  <c r="R155" i="10"/>
  <c r="G155" i="10"/>
  <c r="F155" i="10"/>
  <c r="L155" i="10" s="1"/>
  <c r="T154" i="10"/>
  <c r="R154" i="10"/>
  <c r="G154" i="10"/>
  <c r="F154" i="10"/>
  <c r="L154" i="10" s="1"/>
  <c r="T153" i="10"/>
  <c r="R153" i="10"/>
  <c r="G153" i="10"/>
  <c r="F153" i="10"/>
  <c r="T152" i="10"/>
  <c r="R152" i="10"/>
  <c r="G152" i="10"/>
  <c r="F152" i="10"/>
  <c r="T151" i="10"/>
  <c r="R151" i="10"/>
  <c r="G151" i="10"/>
  <c r="F151" i="10"/>
  <c r="T150" i="10"/>
  <c r="R150" i="10"/>
  <c r="G150" i="10"/>
  <c r="F150" i="10"/>
  <c r="T149" i="10"/>
  <c r="R149" i="10"/>
  <c r="G149" i="10"/>
  <c r="F149" i="10"/>
  <c r="T148" i="10"/>
  <c r="R148" i="10"/>
  <c r="G148" i="10"/>
  <c r="F148" i="10"/>
  <c r="T147" i="10"/>
  <c r="R147" i="10"/>
  <c r="G147" i="10"/>
  <c r="F147" i="10"/>
  <c r="T146" i="10"/>
  <c r="R146" i="10"/>
  <c r="G146" i="10"/>
  <c r="F146" i="10"/>
  <c r="T145" i="10"/>
  <c r="R145" i="10"/>
  <c r="G145" i="10"/>
  <c r="F145" i="10"/>
  <c r="L145" i="10" s="1"/>
  <c r="T144" i="10"/>
  <c r="R144" i="10"/>
  <c r="G144" i="10"/>
  <c r="F144" i="10"/>
  <c r="T143" i="10"/>
  <c r="R143" i="10"/>
  <c r="G143" i="10"/>
  <c r="F143" i="10"/>
  <c r="L143" i="10" s="1"/>
  <c r="T142" i="10"/>
  <c r="R142" i="10"/>
  <c r="G142" i="10"/>
  <c r="F142" i="10"/>
  <c r="T141" i="10"/>
  <c r="R141" i="10"/>
  <c r="G141" i="10"/>
  <c r="F141" i="10"/>
  <c r="T140" i="10"/>
  <c r="R140" i="10"/>
  <c r="G140" i="10"/>
  <c r="F140" i="10"/>
  <c r="T139" i="10"/>
  <c r="R139" i="10"/>
  <c r="G139" i="10"/>
  <c r="F139" i="10"/>
  <c r="L139" i="10" s="1"/>
  <c r="U138" i="10"/>
  <c r="Y138" i="10" s="1"/>
  <c r="Z138" i="10" s="1"/>
  <c r="T138" i="10"/>
  <c r="R138" i="10"/>
  <c r="G138" i="10"/>
  <c r="F138" i="10"/>
  <c r="T137" i="10"/>
  <c r="R137" i="10"/>
  <c r="G137" i="10"/>
  <c r="F137" i="10"/>
  <c r="L137" i="10" s="1"/>
  <c r="T136" i="10"/>
  <c r="R136" i="10"/>
  <c r="G136" i="10"/>
  <c r="F136" i="10"/>
  <c r="T135" i="10"/>
  <c r="R135" i="10"/>
  <c r="G135" i="10"/>
  <c r="F135" i="10"/>
  <c r="T134" i="10"/>
  <c r="R134" i="10"/>
  <c r="G134" i="10"/>
  <c r="F134" i="10"/>
  <c r="T133" i="10"/>
  <c r="R133" i="10"/>
  <c r="G133" i="10"/>
  <c r="F133" i="10"/>
  <c r="U132" i="10"/>
  <c r="Y133" i="10" s="1"/>
  <c r="T132" i="10"/>
  <c r="R132" i="10"/>
  <c r="G132" i="10"/>
  <c r="F132" i="10"/>
  <c r="U131" i="10"/>
  <c r="T131" i="10"/>
  <c r="R131" i="10"/>
  <c r="G131" i="10"/>
  <c r="F131" i="10"/>
  <c r="U130" i="10"/>
  <c r="T130" i="10"/>
  <c r="R130" i="10"/>
  <c r="G130" i="10"/>
  <c r="F130" i="10"/>
  <c r="E84" i="13" s="1"/>
  <c r="T129" i="10"/>
  <c r="R129" i="10"/>
  <c r="G129" i="10"/>
  <c r="F129" i="10"/>
  <c r="L129" i="10" s="1"/>
  <c r="U128" i="10"/>
  <c r="T128" i="10"/>
  <c r="R128" i="10"/>
  <c r="G128" i="10"/>
  <c r="F128" i="10"/>
  <c r="E83" i="13" s="1"/>
  <c r="U127" i="10"/>
  <c r="T127" i="10"/>
  <c r="R127" i="10"/>
  <c r="G127" i="10"/>
  <c r="F127" i="10"/>
  <c r="L127" i="10" s="1"/>
  <c r="U126" i="10"/>
  <c r="T126" i="10"/>
  <c r="R126" i="10"/>
  <c r="G126" i="10"/>
  <c r="F126" i="10"/>
  <c r="U125" i="10"/>
  <c r="T125" i="10"/>
  <c r="R125" i="10"/>
  <c r="G125" i="10"/>
  <c r="F125" i="10"/>
  <c r="U124" i="10"/>
  <c r="Y125" i="10" s="1"/>
  <c r="T124" i="10"/>
  <c r="R124" i="10"/>
  <c r="G124" i="10"/>
  <c r="F124" i="10"/>
  <c r="U123" i="10"/>
  <c r="T123" i="10"/>
  <c r="R123" i="10"/>
  <c r="G123" i="10"/>
  <c r="F123" i="10"/>
  <c r="L123" i="10" s="1"/>
  <c r="U122" i="10"/>
  <c r="Y123" i="10" s="1"/>
  <c r="T122" i="10"/>
  <c r="R122" i="10"/>
  <c r="G122" i="10"/>
  <c r="F122" i="10"/>
  <c r="T121" i="10"/>
  <c r="R121" i="10"/>
  <c r="G121" i="10"/>
  <c r="F121" i="10"/>
  <c r="L121" i="10" s="1"/>
  <c r="U120" i="10"/>
  <c r="T120" i="10"/>
  <c r="R120" i="10"/>
  <c r="G120" i="10"/>
  <c r="F120" i="10"/>
  <c r="U119" i="10"/>
  <c r="T119" i="10"/>
  <c r="R119" i="10"/>
  <c r="H119" i="10"/>
  <c r="G119" i="10"/>
  <c r="F119" i="10"/>
  <c r="T118" i="10"/>
  <c r="R118" i="10"/>
  <c r="G118" i="10"/>
  <c r="F118" i="10"/>
  <c r="T117" i="10"/>
  <c r="R117" i="10"/>
  <c r="G117" i="10"/>
  <c r="F117" i="10"/>
  <c r="L117" i="10" s="1"/>
  <c r="T116" i="10"/>
  <c r="R116" i="10"/>
  <c r="G116" i="10"/>
  <c r="F116" i="10"/>
  <c r="T115" i="10"/>
  <c r="R115" i="10"/>
  <c r="G115" i="10"/>
  <c r="F115" i="10"/>
  <c r="T114" i="10"/>
  <c r="R114" i="10"/>
  <c r="G114" i="10"/>
  <c r="F114" i="10"/>
  <c r="E76" i="13" s="1"/>
  <c r="T113" i="10"/>
  <c r="R113" i="10"/>
  <c r="G113" i="10"/>
  <c r="F113" i="10"/>
  <c r="L113" i="10" s="1"/>
  <c r="T112" i="10"/>
  <c r="R112" i="10"/>
  <c r="G112" i="10"/>
  <c r="F112" i="10"/>
  <c r="T111" i="10"/>
  <c r="R111" i="10"/>
  <c r="G111" i="10"/>
  <c r="F111" i="10"/>
  <c r="L111" i="10" s="1"/>
  <c r="T110" i="10"/>
  <c r="R110" i="10"/>
  <c r="G110" i="10"/>
  <c r="F110" i="10"/>
  <c r="T109" i="10"/>
  <c r="R109" i="10"/>
  <c r="G109" i="10"/>
  <c r="F109" i="10"/>
  <c r="T108" i="10"/>
  <c r="R108" i="10"/>
  <c r="G108" i="10"/>
  <c r="F108" i="10"/>
  <c r="T107" i="10"/>
  <c r="R107" i="10"/>
  <c r="G107" i="10"/>
  <c r="F107" i="10"/>
  <c r="L107" i="10" s="1"/>
  <c r="T106" i="10"/>
  <c r="R106" i="10"/>
  <c r="G106" i="10"/>
  <c r="F106" i="10"/>
  <c r="U105" i="10"/>
  <c r="T105" i="10"/>
  <c r="R105" i="10"/>
  <c r="G105" i="10"/>
  <c r="F105" i="10"/>
  <c r="U104" i="10"/>
  <c r="Y104" i="10" s="1"/>
  <c r="Z104" i="10" s="1"/>
  <c r="T104" i="10"/>
  <c r="R104" i="10"/>
  <c r="G104" i="10"/>
  <c r="F104" i="10"/>
  <c r="T103" i="10"/>
  <c r="R103" i="10"/>
  <c r="G103" i="10"/>
  <c r="F103" i="10"/>
  <c r="L103" i="10" s="1"/>
  <c r="T102" i="10"/>
  <c r="R102" i="10"/>
  <c r="G102" i="10"/>
  <c r="F102" i="10"/>
  <c r="T101" i="10"/>
  <c r="R101" i="10"/>
  <c r="G101" i="10"/>
  <c r="F101" i="10"/>
  <c r="L101" i="10" s="1"/>
  <c r="T100" i="10"/>
  <c r="R100" i="10"/>
  <c r="G100" i="10"/>
  <c r="F100" i="10"/>
  <c r="E69" i="13" s="1"/>
  <c r="T99" i="10"/>
  <c r="R99" i="10"/>
  <c r="G99" i="10"/>
  <c r="F99" i="10"/>
  <c r="T98" i="10"/>
  <c r="R98" i="10"/>
  <c r="G98" i="10"/>
  <c r="F98" i="10"/>
  <c r="E68" i="13" s="1"/>
  <c r="T97" i="10"/>
  <c r="R97" i="10"/>
  <c r="G97" i="10"/>
  <c r="F97" i="10"/>
  <c r="L97" i="10" s="1"/>
  <c r="T96" i="10"/>
  <c r="R96" i="10"/>
  <c r="G96" i="10"/>
  <c r="F96" i="10"/>
  <c r="U95" i="10"/>
  <c r="T95" i="10"/>
  <c r="R95" i="10"/>
  <c r="G95" i="10"/>
  <c r="F95" i="10"/>
  <c r="L95" i="10" s="1"/>
  <c r="T94" i="10"/>
  <c r="R94" i="10"/>
  <c r="G94" i="10"/>
  <c r="F94" i="10"/>
  <c r="T93" i="10"/>
  <c r="R93" i="10"/>
  <c r="G93" i="10"/>
  <c r="F93" i="10"/>
  <c r="L93" i="10" s="1"/>
  <c r="T92" i="10"/>
  <c r="R92" i="10"/>
  <c r="G92" i="10"/>
  <c r="F92" i="10"/>
  <c r="T91" i="10"/>
  <c r="R91" i="10"/>
  <c r="G91" i="10"/>
  <c r="F91" i="10"/>
  <c r="L91" i="10" s="1"/>
  <c r="U90" i="10"/>
  <c r="Y91" i="10" s="1"/>
  <c r="T90" i="10"/>
  <c r="R90" i="10"/>
  <c r="G90" i="10"/>
  <c r="F90" i="10"/>
  <c r="E64" i="13" s="1"/>
  <c r="T89" i="10"/>
  <c r="R89" i="10"/>
  <c r="G89" i="10"/>
  <c r="F89" i="10"/>
  <c r="L89" i="10" s="1"/>
  <c r="T88" i="10"/>
  <c r="R88" i="10"/>
  <c r="G88" i="10"/>
  <c r="F88" i="10"/>
  <c r="U87" i="10"/>
  <c r="T87" i="10"/>
  <c r="R87" i="10"/>
  <c r="G87" i="10"/>
  <c r="F87" i="10"/>
  <c r="U86" i="10"/>
  <c r="Y87" i="10" s="1"/>
  <c r="T86" i="10"/>
  <c r="R86" i="10"/>
  <c r="H86" i="10"/>
  <c r="P87" i="10" s="1"/>
  <c r="G86" i="10"/>
  <c r="F86" i="10"/>
  <c r="T85" i="10"/>
  <c r="R85" i="10"/>
  <c r="G85" i="10"/>
  <c r="F85" i="10"/>
  <c r="T84" i="10"/>
  <c r="R84" i="10"/>
  <c r="G84" i="10"/>
  <c r="F84" i="10"/>
  <c r="T83" i="10"/>
  <c r="R83" i="10"/>
  <c r="G83" i="10"/>
  <c r="F83" i="10"/>
  <c r="T82" i="10"/>
  <c r="R82" i="10"/>
  <c r="G82" i="10"/>
  <c r="F82" i="10"/>
  <c r="T81" i="10"/>
  <c r="R81" i="10"/>
  <c r="G81" i="10"/>
  <c r="F81" i="10"/>
  <c r="T80" i="10"/>
  <c r="R80" i="10"/>
  <c r="G80" i="10"/>
  <c r="F80" i="10"/>
  <c r="U79" i="10"/>
  <c r="T79" i="10"/>
  <c r="R79" i="10"/>
  <c r="G79" i="10"/>
  <c r="F79" i="10"/>
  <c r="U78" i="10"/>
  <c r="T78" i="10"/>
  <c r="R78" i="10"/>
  <c r="G78" i="10"/>
  <c r="F78" i="10"/>
  <c r="U77" i="10"/>
  <c r="T77" i="10"/>
  <c r="R77" i="10"/>
  <c r="G77" i="10"/>
  <c r="F77" i="10"/>
  <c r="T76" i="10"/>
  <c r="R76" i="10"/>
  <c r="G76" i="10"/>
  <c r="F76" i="10"/>
  <c r="L76" i="10" s="1"/>
  <c r="T75" i="10"/>
  <c r="R75" i="10"/>
  <c r="G75" i="10"/>
  <c r="F75" i="10"/>
  <c r="E57" i="13" s="1"/>
  <c r="U74" i="10"/>
  <c r="T74" i="10"/>
  <c r="R74" i="10"/>
  <c r="G74" i="10"/>
  <c r="F74" i="10"/>
  <c r="T73" i="10"/>
  <c r="R73" i="10"/>
  <c r="G73" i="10"/>
  <c r="F73" i="10"/>
  <c r="E56" i="13" s="1"/>
  <c r="U72" i="10"/>
  <c r="T72" i="10"/>
  <c r="R72" i="10"/>
  <c r="G72" i="10"/>
  <c r="F72" i="10"/>
  <c r="U71" i="10"/>
  <c r="T71" i="10"/>
  <c r="R71" i="10"/>
  <c r="G71" i="10"/>
  <c r="F71" i="10"/>
  <c r="T70" i="10"/>
  <c r="R70" i="10"/>
  <c r="G70" i="10"/>
  <c r="F70" i="10"/>
  <c r="T69" i="10"/>
  <c r="R69" i="10"/>
  <c r="G69" i="10"/>
  <c r="F69" i="10"/>
  <c r="E54" i="13" s="1"/>
  <c r="U68" i="10"/>
  <c r="T68" i="10"/>
  <c r="R68" i="10"/>
  <c r="G68" i="10"/>
  <c r="F68" i="10"/>
  <c r="U67" i="10"/>
  <c r="T67" i="10"/>
  <c r="R67" i="10"/>
  <c r="G67" i="10"/>
  <c r="F67" i="10"/>
  <c r="E53" i="13" s="1"/>
  <c r="T66" i="10"/>
  <c r="R66" i="10"/>
  <c r="G66" i="10"/>
  <c r="F66" i="10"/>
  <c r="L66" i="10" s="1"/>
  <c r="T65" i="10"/>
  <c r="R65" i="10"/>
  <c r="G65" i="10"/>
  <c r="F65" i="10"/>
  <c r="E52" i="13" s="1"/>
  <c r="T64" i="10"/>
  <c r="R64" i="10"/>
  <c r="G64" i="10"/>
  <c r="F64" i="10"/>
  <c r="T63" i="10"/>
  <c r="R63" i="10"/>
  <c r="G63" i="10"/>
  <c r="F63" i="10"/>
  <c r="E51" i="13" s="1"/>
  <c r="T62" i="10"/>
  <c r="R62" i="10"/>
  <c r="G62" i="10"/>
  <c r="F62" i="10"/>
  <c r="T61" i="10"/>
  <c r="R61" i="10"/>
  <c r="G61" i="10"/>
  <c r="F61" i="10"/>
  <c r="U60" i="10"/>
  <c r="T60" i="10"/>
  <c r="R60" i="10"/>
  <c r="G60" i="10"/>
  <c r="F60" i="10"/>
  <c r="T59" i="10"/>
  <c r="R59" i="10"/>
  <c r="G59" i="10"/>
  <c r="F59" i="10"/>
  <c r="E49" i="13" s="1"/>
  <c r="T58" i="10"/>
  <c r="R58" i="10"/>
  <c r="G58" i="10"/>
  <c r="F58" i="10"/>
  <c r="T57" i="10"/>
  <c r="R57" i="10"/>
  <c r="G57" i="10"/>
  <c r="F57" i="10"/>
  <c r="T56" i="10"/>
  <c r="R56" i="10"/>
  <c r="G56" i="10"/>
  <c r="F56" i="10"/>
  <c r="T55" i="10"/>
  <c r="R55" i="10"/>
  <c r="G55" i="10"/>
  <c r="F55" i="10"/>
  <c r="E47" i="13" s="1"/>
  <c r="T54" i="10"/>
  <c r="R54" i="10"/>
  <c r="G54" i="10"/>
  <c r="F54" i="10"/>
  <c r="L54" i="10" s="1"/>
  <c r="T53" i="10"/>
  <c r="R53" i="10"/>
  <c r="G53" i="10"/>
  <c r="F53" i="10"/>
  <c r="E46" i="13" s="1"/>
  <c r="T52" i="10"/>
  <c r="R52" i="10"/>
  <c r="G52" i="10"/>
  <c r="F52" i="10"/>
  <c r="L52" i="10" s="1"/>
  <c r="T51" i="10"/>
  <c r="R51" i="10"/>
  <c r="G51" i="10"/>
  <c r="F51" i="10"/>
  <c r="E45" i="13" s="1"/>
  <c r="U50" i="10"/>
  <c r="T50" i="10"/>
  <c r="R50" i="10"/>
  <c r="G50" i="10"/>
  <c r="F50" i="10"/>
  <c r="U49" i="10"/>
  <c r="Y49" i="10" s="1"/>
  <c r="Z49" i="10" s="1"/>
  <c r="T49" i="10"/>
  <c r="R49" i="10"/>
  <c r="G49" i="10"/>
  <c r="F49" i="10"/>
  <c r="E44" i="13" s="1"/>
  <c r="T48" i="10"/>
  <c r="R48" i="10"/>
  <c r="G48" i="10"/>
  <c r="F48" i="10"/>
  <c r="T47" i="10"/>
  <c r="R47" i="10"/>
  <c r="G47" i="10"/>
  <c r="F47" i="10"/>
  <c r="E43" i="13" s="1"/>
  <c r="U46" i="10"/>
  <c r="T46" i="10"/>
  <c r="R46" i="10"/>
  <c r="G46" i="10"/>
  <c r="F46" i="10"/>
  <c r="T45" i="10"/>
  <c r="R45" i="10"/>
  <c r="G45" i="10"/>
  <c r="F45" i="10"/>
  <c r="U44" i="10"/>
  <c r="T44" i="10"/>
  <c r="R44" i="10"/>
  <c r="G44" i="10"/>
  <c r="F44" i="10"/>
  <c r="U43" i="10"/>
  <c r="Y43" i="10" s="1"/>
  <c r="Z43" i="10" s="1"/>
  <c r="T43" i="10"/>
  <c r="R43" i="10"/>
  <c r="G43" i="10"/>
  <c r="F43" i="10"/>
  <c r="T42" i="10"/>
  <c r="R42" i="10"/>
  <c r="G42" i="10"/>
  <c r="F42" i="10"/>
  <c r="T41" i="10"/>
  <c r="R41" i="10"/>
  <c r="G41" i="10"/>
  <c r="F41" i="10"/>
  <c r="T40" i="10"/>
  <c r="R40" i="10"/>
  <c r="G40" i="10"/>
  <c r="F40" i="10"/>
  <c r="T39" i="10"/>
  <c r="R39" i="10"/>
  <c r="G39" i="10"/>
  <c r="F39" i="10"/>
  <c r="E39" i="13" s="1"/>
  <c r="T38" i="10"/>
  <c r="R38" i="10"/>
  <c r="G38" i="10"/>
  <c r="F38" i="10"/>
  <c r="L38" i="10" s="1"/>
  <c r="T37" i="10"/>
  <c r="R37" i="10"/>
  <c r="G37" i="10"/>
  <c r="F37" i="10"/>
  <c r="T36" i="10"/>
  <c r="R36" i="10"/>
  <c r="G36" i="10"/>
  <c r="F36" i="10"/>
  <c r="L36" i="10" s="1"/>
  <c r="T35" i="10"/>
  <c r="R35" i="10"/>
  <c r="G35" i="10"/>
  <c r="F35" i="10"/>
  <c r="T34" i="10"/>
  <c r="R34" i="10"/>
  <c r="G34" i="10"/>
  <c r="F34" i="10"/>
  <c r="T33" i="10"/>
  <c r="R33" i="10"/>
  <c r="G33" i="10"/>
  <c r="F33" i="10"/>
  <c r="E36" i="13" s="1"/>
  <c r="T32" i="10"/>
  <c r="R32" i="10"/>
  <c r="G32" i="10"/>
  <c r="F32" i="10"/>
  <c r="L32" i="10" s="1"/>
  <c r="T31" i="10"/>
  <c r="R31" i="10"/>
  <c r="G31" i="10"/>
  <c r="F31" i="10"/>
  <c r="E35" i="13" s="1"/>
  <c r="U30" i="10"/>
  <c r="T30" i="10"/>
  <c r="R30" i="10"/>
  <c r="H30" i="10"/>
  <c r="G30" i="10"/>
  <c r="F30" i="10"/>
  <c r="U29" i="10"/>
  <c r="Y29" i="10" s="1"/>
  <c r="Z29" i="10" s="1"/>
  <c r="T29" i="10"/>
  <c r="R29" i="10"/>
  <c r="G29" i="10"/>
  <c r="F29" i="10"/>
  <c r="T28" i="10"/>
  <c r="R28" i="10"/>
  <c r="G28" i="10"/>
  <c r="F28" i="10"/>
  <c r="T27" i="10"/>
  <c r="R27" i="10"/>
  <c r="G27" i="10"/>
  <c r="F27" i="10"/>
  <c r="T26" i="10"/>
  <c r="R26" i="10"/>
  <c r="G26" i="10"/>
  <c r="F26" i="10"/>
  <c r="T25" i="10"/>
  <c r="R25" i="10"/>
  <c r="G25" i="10"/>
  <c r="F25" i="10"/>
  <c r="E32" i="13" s="1"/>
  <c r="U24" i="10"/>
  <c r="Y24" i="10" s="1"/>
  <c r="Z24" i="10" s="1"/>
  <c r="T24" i="10"/>
  <c r="R24" i="10"/>
  <c r="G24" i="10"/>
  <c r="F24" i="10"/>
  <c r="U23" i="10"/>
  <c r="T23" i="10"/>
  <c r="R23" i="10"/>
  <c r="G23" i="10"/>
  <c r="F23" i="10"/>
  <c r="T22" i="10"/>
  <c r="R22" i="10"/>
  <c r="G22" i="10"/>
  <c r="F22" i="10"/>
  <c r="T21" i="10"/>
  <c r="R21" i="10"/>
  <c r="G21" i="10"/>
  <c r="F21" i="10"/>
  <c r="T20" i="10"/>
  <c r="R20" i="10"/>
  <c r="G20" i="10"/>
  <c r="F20" i="10"/>
  <c r="L20" i="10" s="1"/>
  <c r="T19" i="10"/>
  <c r="R19" i="10"/>
  <c r="G19" i="10"/>
  <c r="F19" i="10"/>
  <c r="T18" i="10"/>
  <c r="R18" i="10"/>
  <c r="G18" i="10"/>
  <c r="F18" i="10"/>
  <c r="L18" i="10" s="1"/>
  <c r="T17" i="10"/>
  <c r="R17" i="10"/>
  <c r="G17" i="10"/>
  <c r="F17" i="10"/>
  <c r="E28" i="13" s="1"/>
  <c r="U16" i="10"/>
  <c r="Y16" i="10" s="1"/>
  <c r="Z16" i="10" s="1"/>
  <c r="T16" i="10"/>
  <c r="R16" i="10"/>
  <c r="G16" i="10"/>
  <c r="F16" i="10"/>
  <c r="L16" i="10" s="1"/>
  <c r="U15" i="10"/>
  <c r="T15" i="10"/>
  <c r="R15" i="10"/>
  <c r="G15" i="10"/>
  <c r="F15" i="10"/>
  <c r="U14" i="10"/>
  <c r="T14" i="10"/>
  <c r="R14" i="10"/>
  <c r="H14" i="10"/>
  <c r="G14" i="10"/>
  <c r="F14" i="10"/>
  <c r="L14" i="10" s="1"/>
  <c r="U13" i="10"/>
  <c r="T13" i="10"/>
  <c r="R13" i="10"/>
  <c r="G13" i="10"/>
  <c r="F13" i="10"/>
  <c r="U12" i="10"/>
  <c r="T12" i="10"/>
  <c r="R12" i="10"/>
  <c r="H12" i="10"/>
  <c r="G12" i="10"/>
  <c r="F12" i="10"/>
  <c r="U11" i="10"/>
  <c r="T11" i="10"/>
  <c r="R11" i="10"/>
  <c r="H11" i="10"/>
  <c r="G11" i="10"/>
  <c r="F11" i="10"/>
  <c r="U10" i="10"/>
  <c r="T10" i="10"/>
  <c r="R10" i="10"/>
  <c r="G10" i="10"/>
  <c r="F10" i="10"/>
  <c r="U9" i="10"/>
  <c r="T9" i="10"/>
  <c r="R9" i="10"/>
  <c r="H9" i="10"/>
  <c r="G9" i="10"/>
  <c r="F9" i="10"/>
  <c r="U8" i="10"/>
  <c r="T8" i="10"/>
  <c r="R8" i="10"/>
  <c r="G8" i="10"/>
  <c r="F8" i="10"/>
  <c r="L8" i="10" s="1"/>
  <c r="U7" i="10"/>
  <c r="Y7" i="10" s="1"/>
  <c r="Z7" i="10" s="1"/>
  <c r="T7" i="10"/>
  <c r="R7" i="10"/>
  <c r="H7" i="10"/>
  <c r="P14" i="10" s="1"/>
  <c r="G7" i="10"/>
  <c r="F7" i="10"/>
  <c r="U6" i="10"/>
  <c r="T6" i="10"/>
  <c r="R6" i="10"/>
  <c r="P6" i="10"/>
  <c r="H6" i="10"/>
  <c r="G6" i="10"/>
  <c r="F6" i="10"/>
  <c r="U5" i="10"/>
  <c r="T5" i="10"/>
  <c r="R5" i="10"/>
  <c r="H5" i="10"/>
  <c r="G5" i="10"/>
  <c r="F5" i="10"/>
  <c r="U4" i="10"/>
  <c r="Y6" i="10" s="1"/>
  <c r="T4" i="10"/>
  <c r="R4" i="10"/>
  <c r="P4" i="10"/>
  <c r="Q4" i="10" s="1"/>
  <c r="H4" i="10"/>
  <c r="P5" i="10" s="1"/>
  <c r="G4" i="10"/>
  <c r="F4" i="10"/>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O724" i="10" l="1"/>
  <c r="L724" i="10"/>
  <c r="S723" i="10"/>
  <c r="I723" i="10" s="1"/>
  <c r="S724" i="10"/>
  <c r="I724" i="10" s="1"/>
  <c r="K724" i="10" s="1"/>
  <c r="O723" i="10"/>
  <c r="K723" i="10"/>
  <c r="F330" i="13"/>
  <c r="E330" i="13"/>
  <c r="H330" i="13" s="1" a="1"/>
  <c r="H330" i="13" s="1"/>
  <c r="L723" i="10"/>
  <c r="O722" i="10"/>
  <c r="L722" i="10"/>
  <c r="S721" i="10"/>
  <c r="I721" i="10" s="1"/>
  <c r="S722" i="10"/>
  <c r="I722" i="10" s="1"/>
  <c r="K722" i="10" s="1"/>
  <c r="O721" i="10"/>
  <c r="K721" i="10"/>
  <c r="F329" i="13"/>
  <c r="E329" i="13"/>
  <c r="H329" i="13" s="1" a="1"/>
  <c r="H329" i="13" s="1"/>
  <c r="L721" i="10"/>
  <c r="O720" i="10"/>
  <c r="L720" i="10"/>
  <c r="S719" i="10"/>
  <c r="I719" i="10" s="1"/>
  <c r="S720" i="10"/>
  <c r="I720" i="10" s="1"/>
  <c r="K720" i="10" s="1"/>
  <c r="O719" i="10"/>
  <c r="L719" i="10"/>
  <c r="O718" i="10"/>
  <c r="L718" i="10"/>
  <c r="S717" i="10"/>
  <c r="I717" i="10" s="1"/>
  <c r="S718" i="10"/>
  <c r="I718" i="10" s="1"/>
  <c r="K718" i="10" s="1"/>
  <c r="O717" i="10"/>
  <c r="L717" i="10"/>
  <c r="O716" i="10"/>
  <c r="L716" i="10"/>
  <c r="S715" i="10"/>
  <c r="I715" i="10" s="1"/>
  <c r="K715" i="10" s="1"/>
  <c r="S716" i="10"/>
  <c r="I716" i="10" s="1"/>
  <c r="K716" i="10" s="1"/>
  <c r="O715" i="10"/>
  <c r="F326" i="13"/>
  <c r="G326" i="13" s="1"/>
  <c r="I326" i="13" s="1"/>
  <c r="Y326" i="13" s="1"/>
  <c r="L715" i="10"/>
  <c r="O714" i="10"/>
  <c r="L714" i="10"/>
  <c r="S713" i="10"/>
  <c r="I713" i="10" s="1"/>
  <c r="S714" i="10"/>
  <c r="I714" i="10" s="1"/>
  <c r="K714" i="10" s="1"/>
  <c r="O713" i="10"/>
  <c r="O712" i="10"/>
  <c r="L713" i="10"/>
  <c r="O711" i="10"/>
  <c r="L712" i="10"/>
  <c r="S711" i="10"/>
  <c r="I711" i="10" s="1"/>
  <c r="S712" i="10"/>
  <c r="I712" i="10" s="1"/>
  <c r="K712" i="10" s="1"/>
  <c r="O709" i="10"/>
  <c r="E324" i="13"/>
  <c r="H324" i="13" s="1" a="1"/>
  <c r="H324" i="13" s="1"/>
  <c r="L711" i="10"/>
  <c r="O685" i="10"/>
  <c r="O681" i="10"/>
  <c r="O679" i="10"/>
  <c r="O677" i="10"/>
  <c r="O669" i="10"/>
  <c r="O631" i="10"/>
  <c r="O629" i="10"/>
  <c r="O617" i="10"/>
  <c r="O615" i="10"/>
  <c r="O613" i="10"/>
  <c r="O597" i="10"/>
  <c r="O589" i="10"/>
  <c r="O582" i="10"/>
  <c r="O568" i="10"/>
  <c r="O566" i="10"/>
  <c r="O551" i="10"/>
  <c r="O549" i="10"/>
  <c r="O541" i="10"/>
  <c r="O537" i="10"/>
  <c r="O533" i="10"/>
  <c r="O519" i="10"/>
  <c r="O517" i="10"/>
  <c r="O509" i="10"/>
  <c r="O505" i="10"/>
  <c r="O503" i="10"/>
  <c r="O501" i="10"/>
  <c r="O493" i="10"/>
  <c r="O489" i="10"/>
  <c r="O488" i="10"/>
  <c r="O486" i="10"/>
  <c r="O470" i="10"/>
  <c r="O454" i="10"/>
  <c r="O440" i="10"/>
  <c r="O438" i="10"/>
  <c r="O437" i="10"/>
  <c r="O429" i="10"/>
  <c r="O425" i="10"/>
  <c r="O422" i="10"/>
  <c r="O413" i="10"/>
  <c r="O391" i="10"/>
  <c r="O389" i="10"/>
  <c r="O387" i="10"/>
  <c r="O381" i="10"/>
  <c r="O355" i="10"/>
  <c r="O335" i="10"/>
  <c r="O334" i="10"/>
  <c r="O333" i="10"/>
  <c r="O327" i="10"/>
  <c r="O317" i="10"/>
  <c r="O297" i="10"/>
  <c r="O286" i="10"/>
  <c r="O284" i="10"/>
  <c r="O262" i="10"/>
  <c r="O253" i="10"/>
  <c r="O252" i="10"/>
  <c r="O246" i="10"/>
  <c r="O237" i="10"/>
  <c r="O235" i="10"/>
  <c r="O233" i="10"/>
  <c r="O232" i="10"/>
  <c r="O231" i="10"/>
  <c r="O214" i="10"/>
  <c r="O201" i="10"/>
  <c r="O200" i="10"/>
  <c r="O185" i="10"/>
  <c r="O184" i="10"/>
  <c r="O182" i="10"/>
  <c r="O180" i="10"/>
  <c r="O134" i="10"/>
  <c r="O132" i="10"/>
  <c r="O118" i="10"/>
  <c r="O45" i="10"/>
  <c r="O40" i="10"/>
  <c r="O30" i="10"/>
  <c r="O27" i="10"/>
  <c r="O24" i="10"/>
  <c r="O23" i="10"/>
  <c r="O11" i="10"/>
  <c r="O7" i="10"/>
  <c r="O710" i="10"/>
  <c r="S709" i="10"/>
  <c r="I709" i="10" s="1"/>
  <c r="K709" i="10" s="1"/>
  <c r="O663" i="10"/>
  <c r="O649" i="10"/>
  <c r="O645" i="10"/>
  <c r="O637" i="10"/>
  <c r="O633" i="10"/>
  <c r="O102" i="10"/>
  <c r="O60" i="10"/>
  <c r="E322" i="13"/>
  <c r="H322" i="13" s="1" a="1"/>
  <c r="H322" i="13" s="1"/>
  <c r="L707" i="10"/>
  <c r="E321" i="13"/>
  <c r="H321" i="13" s="1" a="1"/>
  <c r="H321" i="13" s="1"/>
  <c r="L705" i="10"/>
  <c r="E318" i="13"/>
  <c r="H318" i="13" s="1" a="1"/>
  <c r="H318" i="13" s="1"/>
  <c r="L698" i="10"/>
  <c r="E317" i="13"/>
  <c r="H317" i="13" s="1" a="1"/>
  <c r="H317" i="13" s="1"/>
  <c r="L695" i="10"/>
  <c r="E316" i="13"/>
  <c r="H316" i="13" s="1" a="1"/>
  <c r="H316" i="13" s="1"/>
  <c r="L692" i="10"/>
  <c r="O705" i="10"/>
  <c r="S710" i="10"/>
  <c r="I710" i="10" s="1"/>
  <c r="E323" i="13"/>
  <c r="H323" i="13" s="1" a="1"/>
  <c r="H323" i="13" s="1"/>
  <c r="S708" i="10"/>
  <c r="I708" i="10" s="1"/>
  <c r="K708" i="10" s="1"/>
  <c r="O708" i="10"/>
  <c r="O707" i="10"/>
  <c r="S707" i="10"/>
  <c r="I707" i="10" s="1"/>
  <c r="K707" i="10" s="1"/>
  <c r="O706" i="10"/>
  <c r="S706" i="10"/>
  <c r="I706" i="10" s="1"/>
  <c r="S705" i="10"/>
  <c r="I705" i="10" s="1"/>
  <c r="K705" i="10" s="1"/>
  <c r="L706" i="10"/>
  <c r="O442" i="10"/>
  <c r="S701" i="10"/>
  <c r="I701" i="10" s="1"/>
  <c r="K701" i="10" s="1"/>
  <c r="O266" i="10"/>
  <c r="O554" i="10"/>
  <c r="O570" i="10"/>
  <c r="O186" i="10"/>
  <c r="O218" i="10"/>
  <c r="S704" i="10"/>
  <c r="I704" i="10" s="1"/>
  <c r="K704" i="10" s="1"/>
  <c r="O490" i="10"/>
  <c r="O704" i="10"/>
  <c r="O703" i="10"/>
  <c r="S703" i="10"/>
  <c r="I703" i="10" s="1"/>
  <c r="K703" i="10" s="1"/>
  <c r="L703" i="10"/>
  <c r="E319" i="13"/>
  <c r="H319" i="13" s="1" a="1"/>
  <c r="H319" i="13" s="1"/>
  <c r="O697" i="10"/>
  <c r="O701" i="10"/>
  <c r="L677" i="10"/>
  <c r="O702" i="10"/>
  <c r="S702" i="10"/>
  <c r="I702" i="10" s="1"/>
  <c r="O699" i="10"/>
  <c r="O698" i="10"/>
  <c r="S700" i="10"/>
  <c r="I700" i="10" s="1"/>
  <c r="K700" i="10" s="1"/>
  <c r="O700" i="10"/>
  <c r="S698" i="10"/>
  <c r="I698" i="10" s="1"/>
  <c r="K698" i="10" s="1"/>
  <c r="S699" i="10"/>
  <c r="I699" i="10" s="1"/>
  <c r="K699" i="10" s="1"/>
  <c r="O696" i="10"/>
  <c r="H84" i="7"/>
  <c r="X64" i="9" s="1"/>
  <c r="S695" i="10"/>
  <c r="I695" i="10" s="1"/>
  <c r="K695" i="10" s="1"/>
  <c r="O695" i="10"/>
  <c r="S696" i="10"/>
  <c r="I696" i="10" s="1"/>
  <c r="S697" i="10"/>
  <c r="I697" i="10" s="1"/>
  <c r="K697" i="10" s="1"/>
  <c r="O694" i="10"/>
  <c r="O693" i="10"/>
  <c r="O692" i="10"/>
  <c r="S693" i="10"/>
  <c r="I693" i="10" s="1"/>
  <c r="S694" i="10"/>
  <c r="I694" i="10" s="1"/>
  <c r="K694" i="10" s="1"/>
  <c r="B20" i="13"/>
  <c r="S692" i="10"/>
  <c r="I692" i="10" s="1"/>
  <c r="K692" i="10" s="1"/>
  <c r="S689" i="10"/>
  <c r="I689" i="10" s="1"/>
  <c r="K689" i="10" s="1"/>
  <c r="O691" i="10"/>
  <c r="L689" i="10"/>
  <c r="O690" i="10"/>
  <c r="O689" i="10"/>
  <c r="S690" i="10"/>
  <c r="I690" i="10" s="1"/>
  <c r="K690" i="10" s="1"/>
  <c r="O661" i="10"/>
  <c r="O660" i="10"/>
  <c r="S691" i="10"/>
  <c r="I691" i="10" s="1"/>
  <c r="K691" i="10" s="1"/>
  <c r="O420" i="10"/>
  <c r="O564" i="10"/>
  <c r="O468" i="10"/>
  <c r="L9" i="10"/>
  <c r="O9" i="10"/>
  <c r="E93" i="13"/>
  <c r="O148" i="10"/>
  <c r="E94" i="13"/>
  <c r="O152" i="10"/>
  <c r="L167" i="10"/>
  <c r="O167" i="10"/>
  <c r="L183" i="10"/>
  <c r="O183" i="10"/>
  <c r="L199" i="10"/>
  <c r="O199" i="10"/>
  <c r="L211" i="10"/>
  <c r="O211" i="10"/>
  <c r="L215" i="10"/>
  <c r="O215" i="10"/>
  <c r="L245" i="10"/>
  <c r="O245" i="10"/>
  <c r="E134" i="13"/>
  <c r="H134" i="13" s="1" a="1"/>
  <c r="H134" i="13" s="1"/>
  <c r="O268" i="10"/>
  <c r="L421" i="10"/>
  <c r="O421" i="10"/>
  <c r="E218" i="13"/>
  <c r="H218" i="13" s="1" a="1"/>
  <c r="H218" i="13" s="1"/>
  <c r="O452" i="10"/>
  <c r="L471" i="10"/>
  <c r="O471" i="10"/>
  <c r="L521" i="10"/>
  <c r="O521" i="10"/>
  <c r="L532" i="10"/>
  <c r="O532" i="10"/>
  <c r="L586" i="10"/>
  <c r="O586" i="10"/>
  <c r="L665" i="10"/>
  <c r="O665" i="10"/>
  <c r="O686" i="10"/>
  <c r="O670" i="10"/>
  <c r="O654" i="10"/>
  <c r="O638" i="10"/>
  <c r="O622" i="10"/>
  <c r="O606" i="10"/>
  <c r="O590" i="10"/>
  <c r="O574" i="10"/>
  <c r="O558" i="10"/>
  <c r="O542" i="10"/>
  <c r="O526" i="10"/>
  <c r="O510" i="10"/>
  <c r="O494" i="10"/>
  <c r="O478" i="10"/>
  <c r="O462" i="10"/>
  <c r="O446" i="10"/>
  <c r="O430" i="10"/>
  <c r="O414" i="10"/>
  <c r="O398" i="10"/>
  <c r="O382" i="10"/>
  <c r="O366" i="10"/>
  <c r="O350" i="10"/>
  <c r="O270" i="10"/>
  <c r="O254" i="10"/>
  <c r="O238" i="10"/>
  <c r="O222" i="10"/>
  <c r="O206" i="10"/>
  <c r="O190" i="10"/>
  <c r="O174" i="10"/>
  <c r="O158" i="10"/>
  <c r="O142" i="10"/>
  <c r="O126" i="10"/>
  <c r="O110" i="10"/>
  <c r="O94" i="10"/>
  <c r="O14" i="10"/>
  <c r="L12" i="10"/>
  <c r="O12" i="10"/>
  <c r="E40" i="13"/>
  <c r="H40" i="13" s="1" a="1"/>
  <c r="H40" i="13" s="1"/>
  <c r="O41" i="10"/>
  <c r="E55" i="13"/>
  <c r="H55" i="13" s="1" a="1"/>
  <c r="H55" i="13" s="1"/>
  <c r="O71" i="10"/>
  <c r="L78" i="10"/>
  <c r="O78" i="10"/>
  <c r="E140" i="13"/>
  <c r="H140" i="13" s="1" a="1"/>
  <c r="H140" i="13" s="1"/>
  <c r="O280" i="10"/>
  <c r="E148" i="13"/>
  <c r="H148" i="13" s="1" a="1"/>
  <c r="H148" i="13" s="1"/>
  <c r="O296" i="10"/>
  <c r="L390" i="10"/>
  <c r="O390" i="10"/>
  <c r="E198" i="13"/>
  <c r="O406" i="10"/>
  <c r="E220" i="13"/>
  <c r="H220" i="13" s="1" a="1"/>
  <c r="H220" i="13" s="1"/>
  <c r="O456" i="10"/>
  <c r="L525" i="10"/>
  <c r="O525" i="10"/>
  <c r="L536" i="10"/>
  <c r="O536" i="10"/>
  <c r="L548" i="10"/>
  <c r="O548" i="10"/>
  <c r="L552" i="10"/>
  <c r="O552" i="10"/>
  <c r="L583" i="10"/>
  <c r="O583" i="10"/>
  <c r="L598" i="10"/>
  <c r="O598" i="10"/>
  <c r="O349" i="10"/>
  <c r="O93" i="10"/>
  <c r="L26" i="10"/>
  <c r="O26" i="10"/>
  <c r="E77" i="13"/>
  <c r="H77" i="13" s="1" a="1"/>
  <c r="H77" i="13" s="1"/>
  <c r="O116" i="10"/>
  <c r="E97" i="13"/>
  <c r="O164" i="10"/>
  <c r="L234" i="10"/>
  <c r="O234" i="10"/>
  <c r="L249" i="10"/>
  <c r="O249" i="10"/>
  <c r="E150" i="13"/>
  <c r="O300" i="10"/>
  <c r="L371" i="10"/>
  <c r="O371" i="10"/>
  <c r="L441" i="10"/>
  <c r="O441" i="10"/>
  <c r="L445" i="10"/>
  <c r="O445" i="10"/>
  <c r="L602" i="10"/>
  <c r="O602" i="10"/>
  <c r="O684" i="10"/>
  <c r="O668" i="10"/>
  <c r="O652" i="10"/>
  <c r="O636" i="10"/>
  <c r="O620" i="10"/>
  <c r="O604" i="10"/>
  <c r="O588" i="10"/>
  <c r="O572" i="10"/>
  <c r="O556" i="10"/>
  <c r="O540" i="10"/>
  <c r="O524" i="10"/>
  <c r="O508" i="10"/>
  <c r="O492" i="10"/>
  <c r="O476" i="10"/>
  <c r="O460" i="10"/>
  <c r="O444" i="10"/>
  <c r="O428" i="10"/>
  <c r="O412" i="10"/>
  <c r="O396" i="10"/>
  <c r="O380" i="10"/>
  <c r="O364" i="10"/>
  <c r="O348" i="10"/>
  <c r="O332" i="10"/>
  <c r="O236" i="10"/>
  <c r="O220" i="10"/>
  <c r="O204" i="10"/>
  <c r="O188" i="10"/>
  <c r="O172" i="10"/>
  <c r="O156" i="10"/>
  <c r="O140" i="10"/>
  <c r="O124" i="10"/>
  <c r="O108" i="10"/>
  <c r="O92" i="10"/>
  <c r="O76" i="10"/>
  <c r="L133" i="10"/>
  <c r="O133" i="10"/>
  <c r="L375" i="10"/>
  <c r="O375" i="10"/>
  <c r="E233" i="13"/>
  <c r="H233" i="13" s="1" a="1"/>
  <c r="H233" i="13" s="1"/>
  <c r="O487" i="10"/>
  <c r="L502" i="10"/>
  <c r="O502" i="10"/>
  <c r="L506" i="10"/>
  <c r="O506" i="10"/>
  <c r="L518" i="10"/>
  <c r="O518" i="10"/>
  <c r="L614" i="10"/>
  <c r="O614" i="10"/>
  <c r="L618" i="10"/>
  <c r="O618" i="10"/>
  <c r="O683" i="10"/>
  <c r="O667" i="10"/>
  <c r="O651" i="10"/>
  <c r="O635" i="10"/>
  <c r="O619" i="10"/>
  <c r="O603" i="10"/>
  <c r="O587" i="10"/>
  <c r="O571" i="10"/>
  <c r="O555" i="10"/>
  <c r="O539" i="10"/>
  <c r="O523" i="10"/>
  <c r="O507" i="10"/>
  <c r="O491" i="10"/>
  <c r="O475" i="10"/>
  <c r="O459" i="10"/>
  <c r="O443" i="10"/>
  <c r="O427" i="10"/>
  <c r="O411" i="10"/>
  <c r="O395" i="10"/>
  <c r="O379" i="10"/>
  <c r="O363" i="10"/>
  <c r="O347" i="10"/>
  <c r="O331" i="10"/>
  <c r="O315" i="10"/>
  <c r="O299" i="10"/>
  <c r="O219" i="10"/>
  <c r="O203" i="10"/>
  <c r="O187" i="10"/>
  <c r="O171" i="10"/>
  <c r="O155" i="10"/>
  <c r="O139" i="10"/>
  <c r="O123" i="10"/>
  <c r="O107" i="10"/>
  <c r="O91" i="10"/>
  <c r="O75" i="10"/>
  <c r="O59" i="10"/>
  <c r="O43" i="10"/>
  <c r="L141" i="10"/>
  <c r="O141" i="10"/>
  <c r="L149" i="10"/>
  <c r="O149" i="10"/>
  <c r="L153" i="10"/>
  <c r="O153" i="10"/>
  <c r="L157" i="10"/>
  <c r="O157" i="10"/>
  <c r="E110" i="13"/>
  <c r="O216" i="10"/>
  <c r="L265" i="10"/>
  <c r="O265" i="10"/>
  <c r="L269" i="10"/>
  <c r="O269" i="10"/>
  <c r="E158" i="13"/>
  <c r="O316" i="10"/>
  <c r="L472" i="10"/>
  <c r="O472" i="10"/>
  <c r="L580" i="10"/>
  <c r="O580" i="10"/>
  <c r="L653" i="10"/>
  <c r="O653" i="10"/>
  <c r="L662" i="10"/>
  <c r="O662" i="10"/>
  <c r="E305" i="13"/>
  <c r="H305" i="13" s="1" a="1"/>
  <c r="H305" i="13" s="1"/>
  <c r="O666" i="10"/>
  <c r="O410" i="10"/>
  <c r="O394" i="10"/>
  <c r="O378" i="10"/>
  <c r="O362" i="10"/>
  <c r="O346" i="10"/>
  <c r="O298" i="10"/>
  <c r="O154" i="10"/>
  <c r="O138" i="10"/>
  <c r="O122" i="10"/>
  <c r="O106" i="10"/>
  <c r="O90" i="10"/>
  <c r="O42" i="10"/>
  <c r="L105" i="10"/>
  <c r="O105" i="10"/>
  <c r="L285" i="10"/>
  <c r="O285" i="10"/>
  <c r="L403" i="10"/>
  <c r="O403" i="10"/>
  <c r="L407" i="10"/>
  <c r="O407" i="10"/>
  <c r="L453" i="10"/>
  <c r="O453" i="10"/>
  <c r="L522" i="10"/>
  <c r="O522" i="10"/>
  <c r="L599" i="10"/>
  <c r="O599" i="10"/>
  <c r="L630" i="10"/>
  <c r="O630" i="10"/>
  <c r="L634" i="10"/>
  <c r="O634" i="10"/>
  <c r="L646" i="10"/>
  <c r="O646" i="10"/>
  <c r="L678" i="10"/>
  <c r="O678" i="10"/>
  <c r="L682" i="10"/>
  <c r="O682" i="10"/>
  <c r="O393" i="10"/>
  <c r="O377" i="10"/>
  <c r="O361" i="10"/>
  <c r="O345" i="10"/>
  <c r="O329" i="10"/>
  <c r="O281" i="10"/>
  <c r="O137" i="10"/>
  <c r="O121" i="10"/>
  <c r="O89" i="10"/>
  <c r="O73" i="10"/>
  <c r="O25" i="10"/>
  <c r="L10" i="10"/>
  <c r="O10" i="10"/>
  <c r="E48" i="13"/>
  <c r="H48" i="13" s="1" a="1"/>
  <c r="H48" i="13" s="1"/>
  <c r="O57" i="10"/>
  <c r="L79" i="10"/>
  <c r="O79" i="10"/>
  <c r="L109" i="10"/>
  <c r="O109" i="10"/>
  <c r="L165" i="10"/>
  <c r="O165" i="10"/>
  <c r="E125" i="13"/>
  <c r="O250" i="10"/>
  <c r="L301" i="10"/>
  <c r="O301" i="10"/>
  <c r="L372" i="10"/>
  <c r="O372" i="10"/>
  <c r="L426" i="10"/>
  <c r="O426" i="10"/>
  <c r="L457" i="10"/>
  <c r="O457" i="10"/>
  <c r="L553" i="10"/>
  <c r="O553" i="10"/>
  <c r="L557" i="10"/>
  <c r="O557" i="10"/>
  <c r="L565" i="10"/>
  <c r="O565" i="10"/>
  <c r="L569" i="10"/>
  <c r="O569" i="10"/>
  <c r="L584" i="10"/>
  <c r="O584" i="10"/>
  <c r="O424" i="10"/>
  <c r="O392" i="10"/>
  <c r="O376" i="10"/>
  <c r="O360" i="10"/>
  <c r="O344" i="10"/>
  <c r="O328" i="10"/>
  <c r="O312" i="10"/>
  <c r="O264" i="10"/>
  <c r="O168" i="10"/>
  <c r="O120" i="10"/>
  <c r="O104" i="10"/>
  <c r="O88" i="10"/>
  <c r="O72" i="10"/>
  <c r="O56" i="10"/>
  <c r="O8" i="10"/>
  <c r="L13" i="10"/>
  <c r="O13" i="10"/>
  <c r="L46" i="10"/>
  <c r="O46" i="10"/>
  <c r="E50" i="13"/>
  <c r="H50" i="13" s="1" a="1"/>
  <c r="H50" i="13" s="1"/>
  <c r="O61" i="10"/>
  <c r="L365" i="10"/>
  <c r="O365" i="10"/>
  <c r="L419" i="10"/>
  <c r="O419" i="10"/>
  <c r="L461" i="10"/>
  <c r="O461" i="10"/>
  <c r="L469" i="10"/>
  <c r="O469" i="10"/>
  <c r="E232" i="13"/>
  <c r="H232" i="13" s="1" a="1"/>
  <c r="H232" i="13" s="1"/>
  <c r="O484" i="10"/>
  <c r="L573" i="10"/>
  <c r="O573" i="10"/>
  <c r="L650" i="10"/>
  <c r="O650" i="10"/>
  <c r="O359" i="10"/>
  <c r="O343" i="10"/>
  <c r="O311" i="10"/>
  <c r="O295" i="10"/>
  <c r="O247" i="10"/>
  <c r="O103" i="10"/>
  <c r="O87" i="10"/>
  <c r="O55" i="10"/>
  <c r="O39" i="10"/>
  <c r="L150" i="10"/>
  <c r="O150" i="10"/>
  <c r="L169" i="10"/>
  <c r="O169" i="10"/>
  <c r="L173" i="10"/>
  <c r="O173" i="10"/>
  <c r="L181" i="10"/>
  <c r="O181" i="10"/>
  <c r="L189" i="10"/>
  <c r="O189" i="10"/>
  <c r="L197" i="10"/>
  <c r="O197" i="10"/>
  <c r="L205" i="10"/>
  <c r="O205" i="10"/>
  <c r="L217" i="10"/>
  <c r="O217" i="10"/>
  <c r="L313" i="10"/>
  <c r="O313" i="10"/>
  <c r="L358" i="10"/>
  <c r="O358" i="10"/>
  <c r="E228" i="13"/>
  <c r="H228" i="13" s="1" a="1"/>
  <c r="H228" i="13" s="1"/>
  <c r="O473" i="10"/>
  <c r="L477" i="10"/>
  <c r="O477" i="10"/>
  <c r="L581" i="10"/>
  <c r="O581" i="10"/>
  <c r="O342" i="10"/>
  <c r="O326" i="10"/>
  <c r="O310" i="10"/>
  <c r="O294" i="10"/>
  <c r="O278" i="10"/>
  <c r="O230" i="10"/>
  <c r="O86" i="10"/>
  <c r="O70" i="10"/>
  <c r="O54" i="10"/>
  <c r="O38" i="10"/>
  <c r="O22" i="10"/>
  <c r="L131" i="10"/>
  <c r="O131" i="10"/>
  <c r="L221" i="10"/>
  <c r="O221" i="10"/>
  <c r="E141" i="13"/>
  <c r="H141" i="13" s="1" a="1"/>
  <c r="H141" i="13" s="1"/>
  <c r="O282" i="10"/>
  <c r="L388" i="10"/>
  <c r="O388" i="10"/>
  <c r="E197" i="13"/>
  <c r="O404" i="10"/>
  <c r="E199" i="13"/>
  <c r="O408" i="10"/>
  <c r="L423" i="10"/>
  <c r="O423" i="10"/>
  <c r="L534" i="10"/>
  <c r="O534" i="10"/>
  <c r="L538" i="10"/>
  <c r="O538" i="10"/>
  <c r="L550" i="10"/>
  <c r="O550" i="10"/>
  <c r="L596" i="10"/>
  <c r="O596" i="10"/>
  <c r="E298" i="13"/>
  <c r="H298" i="13" s="1" a="1"/>
  <c r="H298" i="13" s="1"/>
  <c r="O647" i="10"/>
  <c r="O373" i="10"/>
  <c r="O357" i="10"/>
  <c r="O341" i="10"/>
  <c r="O325" i="10"/>
  <c r="O309" i="10"/>
  <c r="O293" i="10"/>
  <c r="O277" i="10"/>
  <c r="O261" i="10"/>
  <c r="O229" i="10"/>
  <c r="O213" i="10"/>
  <c r="O117" i="10"/>
  <c r="O101" i="10"/>
  <c r="O85" i="10"/>
  <c r="O69" i="10"/>
  <c r="O53" i="10"/>
  <c r="O37" i="10"/>
  <c r="O21" i="10"/>
  <c r="O5" i="10"/>
  <c r="L28" i="10"/>
  <c r="O28" i="10"/>
  <c r="L58" i="10"/>
  <c r="O58" i="10"/>
  <c r="L251" i="10"/>
  <c r="O251" i="10"/>
  <c r="E151" i="13"/>
  <c r="O302" i="10"/>
  <c r="L439" i="10"/>
  <c r="O439" i="10"/>
  <c r="E221" i="13"/>
  <c r="H221" i="13" s="1" a="1"/>
  <c r="H221" i="13" s="1"/>
  <c r="O458" i="10"/>
  <c r="L500" i="10"/>
  <c r="O500" i="10"/>
  <c r="E279" i="13"/>
  <c r="H279" i="13" s="1" a="1"/>
  <c r="H279" i="13" s="1"/>
  <c r="O600" i="10"/>
  <c r="L612" i="10"/>
  <c r="O612" i="10"/>
  <c r="O356" i="10"/>
  <c r="O340" i="10"/>
  <c r="O324" i="10"/>
  <c r="O308" i="10"/>
  <c r="O292" i="10"/>
  <c r="O276" i="10"/>
  <c r="O260" i="10"/>
  <c r="O244" i="10"/>
  <c r="O228" i="10"/>
  <c r="O212" i="10"/>
  <c r="O196" i="10"/>
  <c r="O100" i="10"/>
  <c r="O84" i="10"/>
  <c r="O68" i="10"/>
  <c r="O52" i="10"/>
  <c r="O36" i="10"/>
  <c r="O20" i="10"/>
  <c r="O4" i="10"/>
  <c r="L62" i="10"/>
  <c r="O62" i="10"/>
  <c r="L135" i="10"/>
  <c r="O135" i="10"/>
  <c r="L485" i="10"/>
  <c r="O485" i="10"/>
  <c r="L504" i="10"/>
  <c r="O504" i="10"/>
  <c r="L516" i="10"/>
  <c r="O516" i="10"/>
  <c r="L520" i="10"/>
  <c r="O520" i="10"/>
  <c r="L585" i="10"/>
  <c r="O585" i="10"/>
  <c r="L616" i="10"/>
  <c r="O616" i="10"/>
  <c r="O675" i="10"/>
  <c r="O659" i="10"/>
  <c r="O643" i="10"/>
  <c r="O627" i="10"/>
  <c r="O611" i="10"/>
  <c r="O595" i="10"/>
  <c r="O579" i="10"/>
  <c r="O563" i="10"/>
  <c r="O547" i="10"/>
  <c r="O531" i="10"/>
  <c r="O515" i="10"/>
  <c r="O499" i="10"/>
  <c r="O483" i="10"/>
  <c r="O467" i="10"/>
  <c r="O451" i="10"/>
  <c r="O435" i="10"/>
  <c r="O339" i="10"/>
  <c r="O323" i="10"/>
  <c r="O307" i="10"/>
  <c r="O291" i="10"/>
  <c r="O275" i="10"/>
  <c r="O259" i="10"/>
  <c r="O243" i="10"/>
  <c r="O227" i="10"/>
  <c r="O195" i="10"/>
  <c r="O179" i="10"/>
  <c r="O83" i="10"/>
  <c r="O67" i="10"/>
  <c r="O51" i="10"/>
  <c r="O35" i="10"/>
  <c r="O19" i="10"/>
  <c r="E58" i="13"/>
  <c r="H58" i="13" s="1" a="1"/>
  <c r="H58" i="13" s="1"/>
  <c r="O77" i="10"/>
  <c r="L99" i="10"/>
  <c r="O99" i="10"/>
  <c r="L125" i="10"/>
  <c r="O125" i="10"/>
  <c r="L147" i="10"/>
  <c r="O147" i="10"/>
  <c r="L151" i="10"/>
  <c r="O151" i="10"/>
  <c r="L166" i="10"/>
  <c r="O166" i="10"/>
  <c r="L170" i="10"/>
  <c r="O170" i="10"/>
  <c r="L198" i="10"/>
  <c r="O198" i="10"/>
  <c r="L202" i="10"/>
  <c r="O202" i="10"/>
  <c r="L263" i="10"/>
  <c r="O263" i="10"/>
  <c r="L267" i="10"/>
  <c r="O267" i="10"/>
  <c r="E157" i="13"/>
  <c r="O314" i="10"/>
  <c r="E159" i="13"/>
  <c r="H159" i="13" s="1" a="1"/>
  <c r="H159" i="13" s="1"/>
  <c r="O318" i="10"/>
  <c r="L474" i="10"/>
  <c r="O474" i="10"/>
  <c r="L664" i="10"/>
  <c r="O664" i="10"/>
  <c r="L676" i="10"/>
  <c r="O676" i="10"/>
  <c r="O674" i="10"/>
  <c r="O658" i="10"/>
  <c r="O642" i="10"/>
  <c r="O626" i="10"/>
  <c r="O610" i="10"/>
  <c r="O594" i="10"/>
  <c r="O578" i="10"/>
  <c r="O562" i="10"/>
  <c r="O546" i="10"/>
  <c r="O530" i="10"/>
  <c r="O514" i="10"/>
  <c r="O498" i="10"/>
  <c r="O482" i="10"/>
  <c r="O466" i="10"/>
  <c r="O450" i="10"/>
  <c r="L279" i="10"/>
  <c r="O279" i="10"/>
  <c r="L283" i="10"/>
  <c r="O283" i="10"/>
  <c r="L397" i="10"/>
  <c r="O397" i="10"/>
  <c r="L405" i="10"/>
  <c r="O405" i="10"/>
  <c r="L409" i="10"/>
  <c r="O409" i="10"/>
  <c r="L455" i="10"/>
  <c r="O455" i="10"/>
  <c r="L535" i="10"/>
  <c r="O535" i="10"/>
  <c r="L628" i="10"/>
  <c r="O628" i="10"/>
  <c r="L632" i="10"/>
  <c r="O632" i="10"/>
  <c r="L644" i="10"/>
  <c r="O644" i="10"/>
  <c r="L648" i="10"/>
  <c r="O648" i="10"/>
  <c r="L680" i="10"/>
  <c r="O680" i="10"/>
  <c r="O673" i="10"/>
  <c r="O657" i="10"/>
  <c r="O641" i="10"/>
  <c r="O625" i="10"/>
  <c r="O609" i="10"/>
  <c r="O593" i="10"/>
  <c r="O577" i="10"/>
  <c r="O561" i="10"/>
  <c r="O545" i="10"/>
  <c r="O529" i="10"/>
  <c r="O513" i="10"/>
  <c r="O497" i="10"/>
  <c r="O481" i="10"/>
  <c r="O465" i="10"/>
  <c r="O449" i="10"/>
  <c r="O433" i="10"/>
  <c r="O417" i="10"/>
  <c r="O401" i="10"/>
  <c r="O385" i="10"/>
  <c r="O369" i="10"/>
  <c r="O353" i="10"/>
  <c r="O337" i="10"/>
  <c r="O321" i="10"/>
  <c r="O305" i="10"/>
  <c r="O289" i="10"/>
  <c r="O273" i="10"/>
  <c r="O257" i="10"/>
  <c r="O241" i="10"/>
  <c r="O225" i="10"/>
  <c r="O209" i="10"/>
  <c r="O193" i="10"/>
  <c r="O177" i="10"/>
  <c r="O161" i="10"/>
  <c r="O145" i="10"/>
  <c r="O129" i="10"/>
  <c r="O113" i="10"/>
  <c r="O97" i="10"/>
  <c r="O81" i="10"/>
  <c r="O65" i="10"/>
  <c r="O49" i="10"/>
  <c r="O33" i="10"/>
  <c r="O17" i="10"/>
  <c r="L6" i="10"/>
  <c r="O6" i="10"/>
  <c r="E34" i="13"/>
  <c r="H34" i="13" s="1" a="1"/>
  <c r="H34" i="13" s="1"/>
  <c r="O29" i="10"/>
  <c r="L44" i="10"/>
  <c r="O44" i="10"/>
  <c r="L115" i="10"/>
  <c r="O115" i="10"/>
  <c r="L119" i="10"/>
  <c r="O119" i="10"/>
  <c r="L163" i="10"/>
  <c r="O163" i="10"/>
  <c r="E124" i="13"/>
  <c r="H124" i="13" s="1" a="1"/>
  <c r="H124" i="13" s="1"/>
  <c r="O248" i="10"/>
  <c r="L330" i="10"/>
  <c r="O330" i="10"/>
  <c r="L374" i="10"/>
  <c r="O374" i="10"/>
  <c r="L436" i="10"/>
  <c r="O436" i="10"/>
  <c r="L567" i="10"/>
  <c r="O567" i="10"/>
  <c r="L601" i="10"/>
  <c r="O601" i="10"/>
  <c r="L605" i="10"/>
  <c r="O605" i="10"/>
  <c r="O688" i="10"/>
  <c r="O672" i="10"/>
  <c r="O656" i="10"/>
  <c r="O640" i="10"/>
  <c r="O624" i="10"/>
  <c r="O608" i="10"/>
  <c r="O592" i="10"/>
  <c r="O576" i="10"/>
  <c r="O560" i="10"/>
  <c r="O544" i="10"/>
  <c r="O528" i="10"/>
  <c r="O512" i="10"/>
  <c r="O496" i="10"/>
  <c r="O480" i="10"/>
  <c r="O464" i="10"/>
  <c r="O448" i="10"/>
  <c r="O432" i="10"/>
  <c r="O416" i="10"/>
  <c r="O400" i="10"/>
  <c r="O384" i="10"/>
  <c r="O368" i="10"/>
  <c r="O352" i="10"/>
  <c r="O336" i="10"/>
  <c r="O320" i="10"/>
  <c r="O304" i="10"/>
  <c r="O288" i="10"/>
  <c r="O272" i="10"/>
  <c r="O256" i="10"/>
  <c r="O240" i="10"/>
  <c r="O224" i="10"/>
  <c r="O208" i="10"/>
  <c r="O192" i="10"/>
  <c r="O176" i="10"/>
  <c r="O160" i="10"/>
  <c r="O144" i="10"/>
  <c r="O128" i="10"/>
  <c r="O112" i="10"/>
  <c r="O96" i="10"/>
  <c r="O80" i="10"/>
  <c r="O64" i="10"/>
  <c r="O48" i="10"/>
  <c r="O32" i="10"/>
  <c r="O16" i="10"/>
  <c r="L74" i="10"/>
  <c r="O74" i="10"/>
  <c r="E87" i="13"/>
  <c r="O136" i="10"/>
  <c r="L621" i="10"/>
  <c r="O621" i="10"/>
  <c r="O687" i="10"/>
  <c r="O671" i="10"/>
  <c r="O655" i="10"/>
  <c r="O639" i="10"/>
  <c r="O623" i="10"/>
  <c r="O607" i="10"/>
  <c r="O591" i="10"/>
  <c r="O575" i="10"/>
  <c r="O559" i="10"/>
  <c r="O543" i="10"/>
  <c r="O527" i="10"/>
  <c r="O511" i="10"/>
  <c r="O495" i="10"/>
  <c r="O479" i="10"/>
  <c r="O463" i="10"/>
  <c r="O447" i="10"/>
  <c r="O431" i="10"/>
  <c r="O415" i="10"/>
  <c r="O399" i="10"/>
  <c r="O383" i="10"/>
  <c r="O367" i="10"/>
  <c r="O351" i="10"/>
  <c r="O319" i="10"/>
  <c r="O303" i="10"/>
  <c r="O287" i="10"/>
  <c r="O271" i="10"/>
  <c r="O255" i="10"/>
  <c r="O239" i="10"/>
  <c r="O223" i="10"/>
  <c r="O207" i="10"/>
  <c r="O191" i="10"/>
  <c r="O175" i="10"/>
  <c r="O159" i="10"/>
  <c r="O143" i="10"/>
  <c r="O127" i="10"/>
  <c r="O111" i="10"/>
  <c r="O95" i="10"/>
  <c r="O63" i="10"/>
  <c r="O47" i="10"/>
  <c r="O31" i="10"/>
  <c r="O15" i="10"/>
  <c r="O434" i="10"/>
  <c r="O418" i="10"/>
  <c r="O402" i="10"/>
  <c r="O386" i="10"/>
  <c r="O370" i="10"/>
  <c r="O354" i="10"/>
  <c r="O338" i="10"/>
  <c r="O322" i="10"/>
  <c r="O306" i="10"/>
  <c r="O290" i="10"/>
  <c r="O274" i="10"/>
  <c r="O258" i="10"/>
  <c r="O242" i="10"/>
  <c r="O226" i="10"/>
  <c r="O210" i="10"/>
  <c r="O194" i="10"/>
  <c r="O178" i="10"/>
  <c r="O162" i="10"/>
  <c r="O146" i="10"/>
  <c r="O130" i="10"/>
  <c r="O114" i="10"/>
  <c r="O98" i="10"/>
  <c r="O82" i="10"/>
  <c r="O66" i="10"/>
  <c r="O50" i="10"/>
  <c r="O34" i="10"/>
  <c r="O18" i="10"/>
  <c r="E25" i="13"/>
  <c r="H25" i="13" s="1" a="1"/>
  <c r="H25" i="13" s="1"/>
  <c r="L7" i="10"/>
  <c r="E26" i="13"/>
  <c r="L15" i="10"/>
  <c r="E27" i="13"/>
  <c r="L19" i="10"/>
  <c r="E29" i="13"/>
  <c r="E30" i="13"/>
  <c r="H30" i="13" s="1" a="1"/>
  <c r="H30" i="13" s="1"/>
  <c r="E31" i="13"/>
  <c r="H31" i="13" s="1" a="1"/>
  <c r="H31" i="13" s="1"/>
  <c r="E33" i="13"/>
  <c r="H33" i="13" s="1" a="1"/>
  <c r="H33" i="13" s="1"/>
  <c r="E37" i="13"/>
  <c r="H37" i="13" s="1" a="1"/>
  <c r="H37" i="13" s="1"/>
  <c r="E38" i="13"/>
  <c r="H38" i="13" s="1" a="1"/>
  <c r="H38" i="13" s="1"/>
  <c r="E41" i="13"/>
  <c r="H41" i="13" s="1" a="1"/>
  <c r="H41" i="13" s="1"/>
  <c r="E42" i="13"/>
  <c r="H42" i="13" s="1" a="1"/>
  <c r="H42" i="13" s="1"/>
  <c r="E59" i="13"/>
  <c r="H59" i="13" s="1" a="1"/>
  <c r="H59" i="13" s="1"/>
  <c r="E60" i="13"/>
  <c r="H60" i="13" s="1" a="1"/>
  <c r="H60" i="13" s="1"/>
  <c r="E61" i="13"/>
  <c r="H61" i="13" s="1" a="1"/>
  <c r="H61" i="13" s="1"/>
  <c r="E62" i="13"/>
  <c r="H62" i="13" s="1" a="1"/>
  <c r="H62" i="13" s="1"/>
  <c r="E63" i="13"/>
  <c r="H63" i="13" s="1" a="1"/>
  <c r="H63" i="13" s="1"/>
  <c r="E65" i="13"/>
  <c r="H65" i="13" s="1" a="1"/>
  <c r="H65" i="13" s="1"/>
  <c r="E66" i="13"/>
  <c r="H66" i="13" s="1" a="1"/>
  <c r="H66" i="13" s="1"/>
  <c r="E67" i="13"/>
  <c r="H67" i="13" s="1" a="1"/>
  <c r="H67" i="13" s="1"/>
  <c r="E70" i="13"/>
  <c r="H70" i="13" s="1" a="1"/>
  <c r="H70" i="13" s="1"/>
  <c r="E71" i="13"/>
  <c r="H71" i="13" s="1" a="1"/>
  <c r="H71" i="13" s="1"/>
  <c r="E72" i="13"/>
  <c r="H72" i="13" s="1" a="1"/>
  <c r="H72" i="13" s="1"/>
  <c r="E73" i="13"/>
  <c r="H73" i="13" s="1" a="1"/>
  <c r="H73" i="13" s="1"/>
  <c r="E74" i="13"/>
  <c r="H74" i="13" s="1" a="1"/>
  <c r="H74" i="13" s="1"/>
  <c r="L112" i="10"/>
  <c r="E75" i="13"/>
  <c r="H75" i="13" s="1" a="1"/>
  <c r="H75" i="13" s="1"/>
  <c r="E78" i="13"/>
  <c r="H78" i="13" s="1" a="1"/>
  <c r="H78" i="13" s="1"/>
  <c r="E79" i="13"/>
  <c r="H79" i="13" s="1" a="1"/>
  <c r="H79" i="13" s="1"/>
  <c r="E80" i="13"/>
  <c r="H80" i="13" s="1" a="1"/>
  <c r="H80" i="13" s="1"/>
  <c r="E81" i="13"/>
  <c r="H81" i="13" s="1" a="1"/>
  <c r="H81" i="13" s="1"/>
  <c r="E82" i="13"/>
  <c r="H82" i="13" s="1" a="1"/>
  <c r="H82" i="13" s="1"/>
  <c r="E85" i="13"/>
  <c r="H85" i="13" s="1" a="1"/>
  <c r="H85" i="13" s="1"/>
  <c r="E86" i="13"/>
  <c r="H86" i="13" s="1" a="1"/>
  <c r="H86" i="13" s="1"/>
  <c r="E88" i="13"/>
  <c r="H88" i="13" s="1" a="1"/>
  <c r="H88" i="13" s="1"/>
  <c r="E89" i="13"/>
  <c r="H89" i="13" s="1" a="1"/>
  <c r="H89" i="13" s="1"/>
  <c r="E90" i="13"/>
  <c r="H90" i="13" s="1" a="1"/>
  <c r="H90" i="13" s="1"/>
  <c r="E91" i="13"/>
  <c r="H91" i="13" s="1" a="1"/>
  <c r="H91" i="13" s="1"/>
  <c r="E92" i="13"/>
  <c r="H92" i="13" s="1" a="1"/>
  <c r="H92" i="13" s="1"/>
  <c r="L180" i="10"/>
  <c r="E101" i="13"/>
  <c r="L184" i="10"/>
  <c r="E102" i="13"/>
  <c r="L188" i="10"/>
  <c r="E103" i="13"/>
  <c r="L196" i="10"/>
  <c r="E105" i="13"/>
  <c r="L200" i="10"/>
  <c r="E106" i="13"/>
  <c r="L208" i="10"/>
  <c r="E108" i="13"/>
  <c r="L220" i="10"/>
  <c r="E111" i="13"/>
  <c r="H111" i="13" s="1" a="1"/>
  <c r="H111" i="13" s="1"/>
  <c r="E114" i="13"/>
  <c r="H114" i="13" s="1" a="1"/>
  <c r="H114" i="13" s="1"/>
  <c r="E115" i="13"/>
  <c r="H115" i="13" s="1" a="1"/>
  <c r="H115" i="13" s="1"/>
  <c r="E116" i="13"/>
  <c r="H116" i="13" s="1" a="1"/>
  <c r="H116" i="13" s="1"/>
  <c r="E117" i="13"/>
  <c r="H117" i="13" s="1" a="1"/>
  <c r="H117" i="13" s="1"/>
  <c r="E118" i="13"/>
  <c r="H118" i="13" s="1" a="1"/>
  <c r="H118" i="13" s="1"/>
  <c r="E119" i="13"/>
  <c r="H119" i="13" s="1" a="1"/>
  <c r="H119" i="13" s="1"/>
  <c r="E120" i="13"/>
  <c r="H120" i="13" s="1" a="1"/>
  <c r="H120" i="13" s="1"/>
  <c r="E121" i="13"/>
  <c r="H121" i="13" s="1" a="1"/>
  <c r="H121" i="13" s="1"/>
  <c r="E122" i="13"/>
  <c r="H122" i="13" s="1" a="1"/>
  <c r="H122" i="13" s="1"/>
  <c r="E123" i="13"/>
  <c r="H123" i="13" s="1" a="1"/>
  <c r="H123" i="13" s="1"/>
  <c r="E126" i="13"/>
  <c r="H126" i="13" s="1" a="1"/>
  <c r="H126" i="13" s="1"/>
  <c r="E127" i="13"/>
  <c r="H127" i="13" s="1" a="1"/>
  <c r="H127" i="13" s="1"/>
  <c r="E128" i="13"/>
  <c r="H128" i="13" s="1" a="1"/>
  <c r="H128" i="13" s="1"/>
  <c r="E129" i="13"/>
  <c r="H129" i="13" s="1" a="1"/>
  <c r="H129" i="13" s="1"/>
  <c r="E130" i="13"/>
  <c r="H130" i="13" s="1" a="1"/>
  <c r="H130" i="13" s="1"/>
  <c r="E131" i="13"/>
  <c r="H131" i="13" s="1" a="1"/>
  <c r="H131" i="13" s="1"/>
  <c r="E132" i="13"/>
  <c r="H132" i="13" s="1" a="1"/>
  <c r="H132" i="13" s="1"/>
  <c r="E133" i="13"/>
  <c r="H133" i="13" s="1" a="1"/>
  <c r="H133" i="13" s="1"/>
  <c r="E142" i="13"/>
  <c r="H142" i="13" s="1" a="1"/>
  <c r="H142" i="13" s="1"/>
  <c r="E143" i="13"/>
  <c r="H143" i="13" s="1" a="1"/>
  <c r="H143" i="13" s="1"/>
  <c r="E144" i="13"/>
  <c r="H144" i="13" s="1" a="1"/>
  <c r="H144" i="13" s="1"/>
  <c r="E165" i="13"/>
  <c r="H165" i="13" s="1" a="1"/>
  <c r="H165" i="13" s="1"/>
  <c r="E166" i="13"/>
  <c r="H166" i="13" s="1" a="1"/>
  <c r="H166" i="13" s="1"/>
  <c r="E167" i="13"/>
  <c r="H167" i="13" s="1" a="1"/>
  <c r="H167" i="13" s="1"/>
  <c r="E168" i="13"/>
  <c r="H168" i="13" s="1" a="1"/>
  <c r="H168" i="13" s="1"/>
  <c r="E169" i="13"/>
  <c r="H169" i="13" s="1" a="1"/>
  <c r="H169" i="13" s="1"/>
  <c r="E173" i="13"/>
  <c r="H173" i="13" s="1" a="1"/>
  <c r="H173" i="13" s="1"/>
  <c r="E174" i="13"/>
  <c r="H174" i="13" s="1" a="1"/>
  <c r="H174" i="13" s="1"/>
  <c r="E175" i="13"/>
  <c r="H175" i="13" s="1" a="1"/>
  <c r="H175" i="13" s="1"/>
  <c r="E176" i="13"/>
  <c r="H176" i="13" s="1" a="1"/>
  <c r="H176" i="13" s="1"/>
  <c r="E177" i="13"/>
  <c r="H177" i="13" s="1" a="1"/>
  <c r="H177" i="13" s="1"/>
  <c r="E178" i="13"/>
  <c r="H178" i="13" s="1" a="1"/>
  <c r="H178" i="13" s="1"/>
  <c r="E185" i="13"/>
  <c r="H185" i="13" s="1" a="1"/>
  <c r="H185" i="13" s="1"/>
  <c r="E186" i="13"/>
  <c r="H186" i="13" s="1" a="1"/>
  <c r="H186" i="13" s="1"/>
  <c r="E187" i="13"/>
  <c r="H187" i="13" s="1" a="1"/>
  <c r="H187" i="13" s="1"/>
  <c r="E188" i="13"/>
  <c r="H188" i="13" s="1" a="1"/>
  <c r="H188" i="13" s="1"/>
  <c r="E189" i="13"/>
  <c r="H189" i="13" s="1" a="1"/>
  <c r="H189" i="13" s="1"/>
  <c r="E190" i="13"/>
  <c r="H190" i="13" s="1" a="1"/>
  <c r="H190" i="13" s="1"/>
  <c r="E191" i="13"/>
  <c r="H191" i="13" s="1" a="1"/>
  <c r="H191" i="13" s="1"/>
  <c r="E192" i="13"/>
  <c r="H192" i="13" s="1" a="1"/>
  <c r="H192" i="13" s="1"/>
  <c r="E193" i="13"/>
  <c r="H193" i="13" s="1" a="1"/>
  <c r="H193" i="13" s="1"/>
  <c r="E195" i="13"/>
  <c r="H195" i="13" s="1" a="1"/>
  <c r="H195" i="13" s="1"/>
  <c r="L410" i="10"/>
  <c r="E200" i="13"/>
  <c r="H200" i="13" s="1" a="1"/>
  <c r="H200" i="13" s="1"/>
  <c r="L414" i="10"/>
  <c r="E202" i="13"/>
  <c r="H202" i="13" s="1" a="1"/>
  <c r="H202" i="13" s="1"/>
  <c r="L418" i="10"/>
  <c r="E204" i="13"/>
  <c r="H204" i="13" s="1" a="1"/>
  <c r="H204" i="13" s="1"/>
  <c r="L420" i="10"/>
  <c r="E205" i="13"/>
  <c r="H205" i="13" s="1" a="1"/>
  <c r="H205" i="13" s="1"/>
  <c r="L425" i="10"/>
  <c r="E206" i="13"/>
  <c r="H206" i="13" s="1" a="1"/>
  <c r="H206" i="13" s="1"/>
  <c r="E207" i="13"/>
  <c r="H207" i="13" s="1" a="1"/>
  <c r="H207" i="13" s="1"/>
  <c r="E208" i="13"/>
  <c r="H208" i="13" s="1" a="1"/>
  <c r="H208" i="13" s="1"/>
  <c r="E209" i="13"/>
  <c r="H209" i="13" s="1" a="1"/>
  <c r="H209" i="13" s="1"/>
  <c r="E210" i="13"/>
  <c r="H210" i="13" s="1" a="1"/>
  <c r="H210" i="13" s="1"/>
  <c r="E211" i="13"/>
  <c r="H211" i="13" s="1" a="1"/>
  <c r="H211" i="13" s="1"/>
  <c r="E212" i="13"/>
  <c r="H212" i="13" s="1" a="1"/>
  <c r="H212" i="13" s="1"/>
  <c r="E213" i="13"/>
  <c r="H213" i="13" s="1" a="1"/>
  <c r="H213" i="13" s="1"/>
  <c r="E214" i="13"/>
  <c r="H214" i="13" s="1" a="1"/>
  <c r="H214" i="13" s="1"/>
  <c r="E215" i="13"/>
  <c r="H215" i="13" s="1" a="1"/>
  <c r="H215" i="13" s="1"/>
  <c r="L448" i="10"/>
  <c r="E216" i="13"/>
  <c r="H216" i="13" s="1" a="1"/>
  <c r="H216" i="13" s="1"/>
  <c r="E217" i="13"/>
  <c r="H217" i="13" s="1" a="1"/>
  <c r="H217" i="13" s="1"/>
  <c r="E219" i="13"/>
  <c r="H219" i="13" s="1" a="1"/>
  <c r="H219" i="13" s="1"/>
  <c r="E222" i="13"/>
  <c r="H222" i="13" s="1" a="1"/>
  <c r="H222" i="13" s="1"/>
  <c r="E223" i="13"/>
  <c r="H223" i="13" s="1" a="1"/>
  <c r="H223" i="13" s="1"/>
  <c r="E224" i="13"/>
  <c r="H224" i="13" s="1" a="1"/>
  <c r="H224" i="13" s="1"/>
  <c r="E225" i="13"/>
  <c r="H225" i="13" s="1" a="1"/>
  <c r="H225" i="13" s="1"/>
  <c r="E226" i="13"/>
  <c r="H226" i="13" s="1" a="1"/>
  <c r="H226" i="13" s="1"/>
  <c r="E227" i="13"/>
  <c r="H227" i="13" s="1" a="1"/>
  <c r="H227" i="13" s="1"/>
  <c r="E230" i="13"/>
  <c r="H230" i="13" s="1" a="1"/>
  <c r="H230" i="13" s="1"/>
  <c r="E231" i="13"/>
  <c r="H231" i="13" s="1" a="1"/>
  <c r="H231" i="13" s="1"/>
  <c r="E234" i="13"/>
  <c r="H234" i="13" s="1" a="1"/>
  <c r="H234" i="13" s="1"/>
  <c r="E235" i="13"/>
  <c r="H235" i="13" s="1" a="1"/>
  <c r="H235" i="13" s="1"/>
  <c r="E236" i="13"/>
  <c r="H236" i="13" s="1" a="1"/>
  <c r="H236" i="13" s="1"/>
  <c r="E237" i="13"/>
  <c r="H237" i="13" s="1" a="1"/>
  <c r="H237" i="13" s="1"/>
  <c r="E238" i="13"/>
  <c r="H238" i="13" s="1" a="1"/>
  <c r="H238" i="13" s="1"/>
  <c r="E239" i="13"/>
  <c r="H239" i="13" s="1" a="1"/>
  <c r="H239" i="13" s="1"/>
  <c r="E240" i="13"/>
  <c r="H240" i="13" s="1" a="1"/>
  <c r="H240" i="13" s="1"/>
  <c r="E241" i="13"/>
  <c r="H241" i="13" s="1" a="1"/>
  <c r="H241" i="13" s="1"/>
  <c r="E242" i="13"/>
  <c r="H242" i="13" s="1" a="1"/>
  <c r="H242" i="13" s="1"/>
  <c r="E243" i="13"/>
  <c r="H243" i="13" s="1" a="1"/>
  <c r="H243" i="13" s="1"/>
  <c r="E244" i="13"/>
  <c r="H244" i="13" s="1" a="1"/>
  <c r="H244" i="13" s="1"/>
  <c r="E245" i="13"/>
  <c r="H245" i="13" s="1" a="1"/>
  <c r="H245" i="13" s="1"/>
  <c r="E246" i="13"/>
  <c r="H246" i="13" s="1" a="1"/>
  <c r="H246" i="13" s="1"/>
  <c r="E247" i="13"/>
  <c r="H247" i="13" s="1" a="1"/>
  <c r="H247" i="13" s="1"/>
  <c r="E248" i="13"/>
  <c r="H248" i="13" s="1" a="1"/>
  <c r="H248" i="13" s="1"/>
  <c r="E249" i="13"/>
  <c r="H249" i="13" s="1" a="1"/>
  <c r="H249" i="13" s="1"/>
  <c r="E250" i="13"/>
  <c r="H250" i="13" s="1" a="1"/>
  <c r="H250" i="13" s="1"/>
  <c r="E251" i="13"/>
  <c r="H251" i="13" s="1" a="1"/>
  <c r="H251" i="13" s="1"/>
  <c r="E252" i="13"/>
  <c r="H252" i="13" s="1" a="1"/>
  <c r="H252" i="13" s="1"/>
  <c r="E253" i="13"/>
  <c r="H253" i="13" s="1" a="1"/>
  <c r="H253" i="13" s="1"/>
  <c r="E254" i="13"/>
  <c r="H254" i="13" s="1" a="1"/>
  <c r="H254" i="13" s="1"/>
  <c r="E255" i="13"/>
  <c r="H255" i="13" s="1" a="1"/>
  <c r="H255" i="13" s="1"/>
  <c r="E256" i="13"/>
  <c r="H256" i="13" s="1" a="1"/>
  <c r="H256" i="13" s="1"/>
  <c r="E257" i="13"/>
  <c r="H257" i="13" s="1" a="1"/>
  <c r="H257" i="13" s="1"/>
  <c r="E258" i="13"/>
  <c r="H258" i="13" s="1" a="1"/>
  <c r="H258" i="13" s="1"/>
  <c r="L549" i="10"/>
  <c r="E259" i="13"/>
  <c r="H259" i="13" s="1" a="1"/>
  <c r="H259" i="13" s="1"/>
  <c r="L551" i="10"/>
  <c r="E260" i="13"/>
  <c r="H260" i="13" s="1" a="1"/>
  <c r="H260" i="13" s="1"/>
  <c r="E261" i="13"/>
  <c r="H261" i="13" s="1" a="1"/>
  <c r="H261" i="13" s="1"/>
  <c r="L556" i="10"/>
  <c r="E262" i="13"/>
  <c r="H262" i="13" s="1" a="1"/>
  <c r="H262" i="13" s="1"/>
  <c r="E263" i="13"/>
  <c r="H263" i="13" s="1" a="1"/>
  <c r="H263" i="13" s="1"/>
  <c r="E264" i="13"/>
  <c r="H264" i="13" s="1" a="1"/>
  <c r="H264" i="13" s="1"/>
  <c r="E265" i="13"/>
  <c r="H265" i="13" s="1" a="1"/>
  <c r="H265" i="13" s="1"/>
  <c r="E266" i="13"/>
  <c r="H266" i="13" s="1" a="1"/>
  <c r="H266" i="13" s="1"/>
  <c r="E267" i="13"/>
  <c r="H267" i="13" s="1" a="1"/>
  <c r="H267" i="13" s="1"/>
  <c r="E268" i="13"/>
  <c r="H268" i="13" s="1" a="1"/>
  <c r="H268" i="13" s="1"/>
  <c r="E269" i="13"/>
  <c r="H269" i="13" s="1" a="1"/>
  <c r="H269" i="13" s="1"/>
  <c r="E270" i="13"/>
  <c r="H270" i="13" s="1" a="1"/>
  <c r="H270" i="13" s="1"/>
  <c r="L578" i="10"/>
  <c r="E271" i="13"/>
  <c r="H271" i="13" s="1" a="1"/>
  <c r="H271" i="13" s="1"/>
  <c r="L582" i="10"/>
  <c r="E272" i="13"/>
  <c r="H272" i="13" s="1" a="1"/>
  <c r="H272" i="13" s="1"/>
  <c r="E273" i="13"/>
  <c r="H273" i="13" s="1" a="1"/>
  <c r="H273" i="13" s="1"/>
  <c r="E274" i="13"/>
  <c r="H274" i="13" s="1" a="1"/>
  <c r="H274" i="13" s="1"/>
  <c r="E275" i="13"/>
  <c r="H275" i="13" s="1" a="1"/>
  <c r="H275" i="13" s="1"/>
  <c r="E276" i="13"/>
  <c r="H276" i="13" s="1" a="1"/>
  <c r="H276" i="13" s="1"/>
  <c r="E278" i="13"/>
  <c r="H278" i="13" s="1" a="1"/>
  <c r="H278" i="13" s="1"/>
  <c r="E281" i="13"/>
  <c r="H281" i="13" s="1" a="1"/>
  <c r="H281" i="13" s="1"/>
  <c r="L610" i="10"/>
  <c r="E282" i="13"/>
  <c r="H282" i="13" s="1" a="1"/>
  <c r="H282" i="13" s="1"/>
  <c r="E283" i="13"/>
  <c r="H283" i="13" s="1" a="1"/>
  <c r="H283" i="13" s="1"/>
  <c r="E284" i="13"/>
  <c r="H284" i="13" s="1" a="1"/>
  <c r="H284" i="13" s="1"/>
  <c r="E285" i="13"/>
  <c r="H285" i="13" s="1" a="1"/>
  <c r="H285" i="13" s="1"/>
  <c r="E286" i="13"/>
  <c r="H286" i="13" s="1" a="1"/>
  <c r="H286" i="13" s="1"/>
  <c r="E287" i="13"/>
  <c r="H287" i="13" s="1" a="1"/>
  <c r="H287" i="13" s="1"/>
  <c r="L627" i="10"/>
  <c r="E288" i="13"/>
  <c r="H288" i="13" s="1" a="1"/>
  <c r="H288" i="13" s="1"/>
  <c r="E289" i="13"/>
  <c r="H289" i="13" s="1" a="1"/>
  <c r="H289" i="13" s="1"/>
  <c r="E290" i="13"/>
  <c r="H290" i="13" s="1" a="1"/>
  <c r="H290" i="13" s="1"/>
  <c r="E291" i="13"/>
  <c r="H291" i="13" s="1" a="1"/>
  <c r="H291" i="13" s="1"/>
  <c r="E292" i="13"/>
  <c r="H292" i="13" s="1" a="1"/>
  <c r="H292" i="13" s="1"/>
  <c r="E293" i="13"/>
  <c r="H293" i="13" s="1" a="1"/>
  <c r="H293" i="13" s="1"/>
  <c r="E294" i="13"/>
  <c r="H294" i="13" s="1" a="1"/>
  <c r="H294" i="13" s="1"/>
  <c r="E295" i="13"/>
  <c r="H295" i="13" s="1" a="1"/>
  <c r="H295" i="13" s="1"/>
  <c r="E296" i="13"/>
  <c r="H296" i="13" s="1" a="1"/>
  <c r="H296" i="13" s="1"/>
  <c r="E297" i="13"/>
  <c r="H297" i="13" s="1" a="1"/>
  <c r="H297" i="13" s="1"/>
  <c r="L649" i="10"/>
  <c r="E299" i="13"/>
  <c r="H299" i="13" s="1" a="1"/>
  <c r="H299" i="13" s="1"/>
  <c r="E300" i="13"/>
  <c r="H300" i="13" s="1" a="1"/>
  <c r="H300" i="13" s="1"/>
  <c r="E301" i="13"/>
  <c r="H301" i="13" s="1" a="1"/>
  <c r="H301" i="13" s="1"/>
  <c r="E302" i="13"/>
  <c r="H302" i="13" s="1" a="1"/>
  <c r="H302" i="13" s="1"/>
  <c r="E304" i="13"/>
  <c r="H304" i="13" s="1" a="1"/>
  <c r="H304" i="13" s="1"/>
  <c r="E306" i="13"/>
  <c r="H306" i="13" s="1" a="1"/>
  <c r="H306" i="13" s="1"/>
  <c r="L672" i="10"/>
  <c r="E307" i="13"/>
  <c r="H307" i="13" s="1" a="1"/>
  <c r="H307" i="13" s="1"/>
  <c r="L675" i="10"/>
  <c r="E308" i="13"/>
  <c r="H308" i="13" s="1" a="1"/>
  <c r="H308" i="13" s="1"/>
  <c r="E309" i="13"/>
  <c r="H309" i="13" s="1" a="1"/>
  <c r="H309" i="13" s="1"/>
  <c r="E310" i="13"/>
  <c r="H310" i="13" s="1" a="1"/>
  <c r="H310" i="13" s="1"/>
  <c r="E311" i="13"/>
  <c r="H311" i="13" s="1" a="1"/>
  <c r="H311" i="13" s="1"/>
  <c r="L683" i="10"/>
  <c r="E312" i="13"/>
  <c r="H312" i="13" s="1" a="1"/>
  <c r="H312" i="13" s="1"/>
  <c r="E313" i="13"/>
  <c r="H313" i="13" s="1" a="1"/>
  <c r="H313" i="13" s="1"/>
  <c r="E314" i="13"/>
  <c r="H314" i="13" s="1" a="1"/>
  <c r="H314" i="13" s="1"/>
  <c r="Y720" i="13"/>
  <c r="Y636" i="13"/>
  <c r="Y680" i="13"/>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L681" i="10"/>
  <c r="H22" i="12"/>
  <c r="J22" i="12" s="1"/>
  <c r="D3" i="11"/>
  <c r="H21" i="12"/>
  <c r="J21" i="12" s="1"/>
  <c r="K21" i="12" s="1"/>
  <c r="AN13" i="13"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F314" i="13" s="1"/>
  <c r="L687" i="10"/>
  <c r="S685" i="10"/>
  <c r="I685" i="10" s="1"/>
  <c r="F313" i="13" s="1"/>
  <c r="S686" i="10"/>
  <c r="I686" i="10" s="1"/>
  <c r="K686" i="10" s="1"/>
  <c r="S683" i="10"/>
  <c r="I683" i="10" s="1"/>
  <c r="S684" i="10"/>
  <c r="I684" i="10" s="1"/>
  <c r="K684" i="10" s="1"/>
  <c r="S682" i="10"/>
  <c r="I682" i="10" s="1"/>
  <c r="K682" i="10" s="1"/>
  <c r="S681" i="10"/>
  <c r="I681" i="10" s="1"/>
  <c r="F311" i="13" s="1"/>
  <c r="S680" i="10"/>
  <c r="I680" i="10" s="1"/>
  <c r="K680" i="10" s="1"/>
  <c r="L679" i="10"/>
  <c r="S679" i="10"/>
  <c r="I679" i="10" s="1"/>
  <c r="S678" i="10"/>
  <c r="I678" i="10" s="1"/>
  <c r="K678" i="10" s="1"/>
  <c r="S676" i="10"/>
  <c r="I676" i="10" s="1"/>
  <c r="K676" i="10" s="1"/>
  <c r="S677" i="10"/>
  <c r="I677" i="10" s="1"/>
  <c r="F309" i="13" s="1"/>
  <c r="S675" i="10"/>
  <c r="I675" i="10" s="1"/>
  <c r="S674" i="10"/>
  <c r="I674" i="10" s="1"/>
  <c r="K674" i="10" s="1"/>
  <c r="S661" i="10"/>
  <c r="I661" i="10" s="1"/>
  <c r="S660" i="10"/>
  <c r="I660" i="10" s="1"/>
  <c r="K660" i="10" s="1"/>
  <c r="L660" i="10"/>
  <c r="S673" i="10"/>
  <c r="I673" i="10" s="1"/>
  <c r="F307" i="13" s="1"/>
  <c r="S672" i="10"/>
  <c r="I672" i="10" s="1"/>
  <c r="K672" i="10" s="1"/>
  <c r="L669" i="10"/>
  <c r="L657" i="10"/>
  <c r="S669" i="10"/>
  <c r="I669" i="10" s="1"/>
  <c r="K669" i="10" s="1"/>
  <c r="S671" i="10"/>
  <c r="I671" i="10" s="1"/>
  <c r="K671" i="10" s="1"/>
  <c r="S665" i="10"/>
  <c r="I665" i="10" s="1"/>
  <c r="K665" i="10" s="1"/>
  <c r="S667" i="10"/>
  <c r="I667" i="10" s="1"/>
  <c r="F305" i="13" s="1"/>
  <c r="S670" i="10"/>
  <c r="I670" i="10" s="1"/>
  <c r="F306" i="13" s="1"/>
  <c r="L666" i="10"/>
  <c r="S663" i="10"/>
  <c r="I663" i="10" s="1"/>
  <c r="K663" i="10" s="1"/>
  <c r="S668" i="10"/>
  <c r="I668" i="10" s="1"/>
  <c r="K668" i="10" s="1"/>
  <c r="S666" i="10"/>
  <c r="I666" i="10" s="1"/>
  <c r="K666" i="10" s="1"/>
  <c r="S664" i="10"/>
  <c r="I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F302" i="13" s="1"/>
  <c r="L641" i="10"/>
  <c r="E63" i="7"/>
  <c r="C61" i="9" s="1"/>
  <c r="L652" i="10"/>
  <c r="L633" i="10"/>
  <c r="L645" i="10"/>
  <c r="L637" i="10"/>
  <c r="L643" i="10"/>
  <c r="S655" i="10"/>
  <c r="I655" i="10" s="1"/>
  <c r="S656" i="10"/>
  <c r="I656" i="10" s="1"/>
  <c r="K656" i="10" s="1"/>
  <c r="Y651" i="10"/>
  <c r="L655" i="10"/>
  <c r="Y649" i="10"/>
  <c r="Z649" i="10" s="1"/>
  <c r="Y650" i="10"/>
  <c r="Z650" i="10" s="1"/>
  <c r="S654" i="10"/>
  <c r="I654" i="10" s="1"/>
  <c r="F300" i="13" s="1"/>
  <c r="S652" i="10"/>
  <c r="I652" i="10" s="1"/>
  <c r="K652" i="10" s="1"/>
  <c r="S653" i="10"/>
  <c r="I653" i="10" s="1"/>
  <c r="K653" i="10" s="1"/>
  <c r="S651" i="10"/>
  <c r="I651" i="10" s="1"/>
  <c r="K651" i="10" s="1"/>
  <c r="S649" i="10"/>
  <c r="I649" i="10" s="1"/>
  <c r="S650" i="10"/>
  <c r="I650" i="10" s="1"/>
  <c r="S648" i="10"/>
  <c r="I648" i="10" s="1"/>
  <c r="K648" i="10" s="1"/>
  <c r="S647" i="10"/>
  <c r="I647" i="10" s="1"/>
  <c r="F298" i="13" s="1"/>
  <c r="L647" i="10"/>
  <c r="S645" i="10"/>
  <c r="I645" i="10" s="1"/>
  <c r="F297" i="13" s="1"/>
  <c r="S644" i="10"/>
  <c r="I644" i="10" s="1"/>
  <c r="K644" i="10" s="1"/>
  <c r="S646" i="10"/>
  <c r="I646" i="10" s="1"/>
  <c r="K646" i="10" s="1"/>
  <c r="S643" i="10"/>
  <c r="I643" i="10" s="1"/>
  <c r="F296" i="13" s="1"/>
  <c r="S640" i="10"/>
  <c r="I640" i="10" s="1"/>
  <c r="K640" i="10" s="1"/>
  <c r="S638" i="10"/>
  <c r="I638" i="10" s="1"/>
  <c r="K638" i="10" s="1"/>
  <c r="S633" i="10"/>
  <c r="I633" i="10" s="1"/>
  <c r="F291" i="13" s="1"/>
  <c r="S635" i="10"/>
  <c r="I635" i="10" s="1"/>
  <c r="F292" i="13" s="1"/>
  <c r="S642" i="10"/>
  <c r="I642" i="10" s="1"/>
  <c r="K642" i="10" s="1"/>
  <c r="S636" i="10"/>
  <c r="I636" i="10" s="1"/>
  <c r="K636" i="10" s="1"/>
  <c r="L635" i="10"/>
  <c r="S641" i="10"/>
  <c r="I641" i="10" s="1"/>
  <c r="F295" i="13" s="1"/>
  <c r="S639" i="10"/>
  <c r="I639" i="10" s="1"/>
  <c r="F294" i="13" s="1"/>
  <c r="S637" i="10"/>
  <c r="I637" i="10" s="1"/>
  <c r="F293" i="13" s="1"/>
  <c r="L639" i="10"/>
  <c r="S634" i="10"/>
  <c r="I634" i="10" s="1"/>
  <c r="K634" i="10" s="1"/>
  <c r="S631" i="10"/>
  <c r="I631" i="10" s="1"/>
  <c r="L613" i="10"/>
  <c r="S632" i="10"/>
  <c r="I632" i="10" s="1"/>
  <c r="K632" i="10" s="1"/>
  <c r="S629" i="10"/>
  <c r="I629" i="10" s="1"/>
  <c r="K629" i="10" s="1"/>
  <c r="L631" i="10"/>
  <c r="L607" i="10"/>
  <c r="L625" i="10"/>
  <c r="S630" i="10"/>
  <c r="I630" i="10" s="1"/>
  <c r="F289" i="13" s="1"/>
  <c r="L629" i="10"/>
  <c r="S628" i="10"/>
  <c r="I628" i="10" s="1"/>
  <c r="K628" i="10" s="1"/>
  <c r="S627" i="10"/>
  <c r="I627" i="10" s="1"/>
  <c r="F288" i="13" s="1"/>
  <c r="L617" i="10"/>
  <c r="L604" i="10"/>
  <c r="Y623" i="10"/>
  <c r="S625" i="10"/>
  <c r="I625" i="10" s="1"/>
  <c r="F287" i="13" s="1"/>
  <c r="Y624" i="10"/>
  <c r="Z624" i="10" s="1"/>
  <c r="S626" i="10"/>
  <c r="I626" i="10" s="1"/>
  <c r="K626" i="10" s="1"/>
  <c r="Z622" i="10"/>
  <c r="AA622" i="10" s="1"/>
  <c r="AB622" i="10" s="1"/>
  <c r="S624" i="10"/>
  <c r="I624" i="10" s="1"/>
  <c r="F286" i="13" s="1"/>
  <c r="S623" i="10"/>
  <c r="I623" i="10" s="1"/>
  <c r="K623" i="10" s="1"/>
  <c r="S622" i="10"/>
  <c r="I622" i="10" s="1"/>
  <c r="K622" i="10" s="1"/>
  <c r="L622" i="10"/>
  <c r="S621" i="10"/>
  <c r="I621" i="10" s="1"/>
  <c r="K621" i="10" s="1"/>
  <c r="S620" i="10"/>
  <c r="I620" i="10" s="1"/>
  <c r="K620" i="10" s="1"/>
  <c r="S619" i="10"/>
  <c r="I619" i="10" s="1"/>
  <c r="K619" i="10" s="1"/>
  <c r="L619" i="10"/>
  <c r="S618" i="10"/>
  <c r="I618" i="10" s="1"/>
  <c r="F285" i="13" s="1"/>
  <c r="S617" i="10"/>
  <c r="I617" i="10" s="1"/>
  <c r="K617" i="10" s="1"/>
  <c r="S615" i="10"/>
  <c r="I615" i="10" s="1"/>
  <c r="K615" i="10" s="1"/>
  <c r="S616" i="10"/>
  <c r="I616" i="10" s="1"/>
  <c r="F284" i="13" s="1"/>
  <c r="S613" i="10"/>
  <c r="I613" i="10" s="1"/>
  <c r="K613" i="10" s="1"/>
  <c r="L615" i="10"/>
  <c r="S614" i="10"/>
  <c r="I614" i="10" s="1"/>
  <c r="F283" i="13" s="1"/>
  <c r="H63" i="7"/>
  <c r="C64" i="9" s="1"/>
  <c r="S611" i="10"/>
  <c r="I611" i="10" s="1"/>
  <c r="F282" i="13" s="1"/>
  <c r="S612" i="10"/>
  <c r="I612" i="10" s="1"/>
  <c r="K612" i="10" s="1"/>
  <c r="S609" i="10"/>
  <c r="I609" i="10" s="1"/>
  <c r="K609" i="10" s="1"/>
  <c r="S610" i="10"/>
  <c r="I610" i="10" s="1"/>
  <c r="K610" i="10" s="1"/>
  <c r="S608" i="10"/>
  <c r="I608" i="10" s="1"/>
  <c r="K608" i="10" s="1"/>
  <c r="S606" i="10"/>
  <c r="I606" i="10" s="1"/>
  <c r="K606" i="10" s="1"/>
  <c r="S607" i="10"/>
  <c r="I607" i="10" s="1"/>
  <c r="F281" i="13" s="1"/>
  <c r="S604" i="10"/>
  <c r="I604" i="10" s="1"/>
  <c r="F280" i="13" s="1"/>
  <c r="S605" i="10"/>
  <c r="I605" i="10" s="1"/>
  <c r="K605" i="10" s="1"/>
  <c r="L597" i="10"/>
  <c r="L600" i="10"/>
  <c r="Y597" i="10"/>
  <c r="Y598" i="10"/>
  <c r="Z599" i="10"/>
  <c r="S603" i="10"/>
  <c r="I603" i="10" s="1"/>
  <c r="F279" i="13" s="1"/>
  <c r="S602" i="10"/>
  <c r="I602" i="10" s="1"/>
  <c r="K602" i="10" s="1"/>
  <c r="S601" i="10"/>
  <c r="I601" i="10" s="1"/>
  <c r="K601" i="10" s="1"/>
  <c r="S600" i="10"/>
  <c r="I600" i="10" s="1"/>
  <c r="K600" i="10" s="1"/>
  <c r="S599" i="10"/>
  <c r="I599" i="10" s="1"/>
  <c r="F278" i="13" s="1"/>
  <c r="S597" i="10"/>
  <c r="I597" i="10" s="1"/>
  <c r="K597" i="10" s="1"/>
  <c r="S598" i="10"/>
  <c r="I598" i="10" s="1"/>
  <c r="K598" i="10" s="1"/>
  <c r="L593" i="10"/>
  <c r="S595" i="10"/>
  <c r="I595" i="10" s="1"/>
  <c r="S596" i="10"/>
  <c r="I596" i="10" s="1"/>
  <c r="K596" i="10" s="1"/>
  <c r="S593" i="10"/>
  <c r="I593" i="10" s="1"/>
  <c r="L589" i="10"/>
  <c r="S594" i="10"/>
  <c r="I594" i="10" s="1"/>
  <c r="K594" i="10" s="1"/>
  <c r="L595" i="10"/>
  <c r="H277" i="13" a="1"/>
  <c r="H277" i="13" s="1"/>
  <c r="S591" i="10"/>
  <c r="I591" i="10" s="1"/>
  <c r="S592" i="10"/>
  <c r="I592" i="10" s="1"/>
  <c r="K592" i="10" s="1"/>
  <c r="S590" i="10"/>
  <c r="I590" i="10" s="1"/>
  <c r="K590" i="10" s="1"/>
  <c r="L591" i="10"/>
  <c r="S589" i="10"/>
  <c r="I589" i="10" s="1"/>
  <c r="F274" i="13" s="1"/>
  <c r="S588" i="10"/>
  <c r="I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L574" i="10"/>
  <c r="S584" i="10"/>
  <c r="I584" i="10" s="1"/>
  <c r="K584" i="10" s="1"/>
  <c r="S585" i="10"/>
  <c r="I585" i="10" s="1"/>
  <c r="K585" i="10" s="1"/>
  <c r="S582" i="10"/>
  <c r="I582" i="10" s="1"/>
  <c r="F272" i="13" s="1"/>
  <c r="S583" i="10"/>
  <c r="I583" i="10" s="1"/>
  <c r="K583" i="10" s="1"/>
  <c r="Z583" i="10"/>
  <c r="AA583" i="10" s="1"/>
  <c r="AB583" i="10" s="1"/>
  <c r="I109" i="7" s="1"/>
  <c r="S580" i="10"/>
  <c r="I580" i="10" s="1"/>
  <c r="K580" i="10" s="1"/>
  <c r="S581" i="10"/>
  <c r="I581" i="10" s="1"/>
  <c r="K581" i="10" s="1"/>
  <c r="S579" i="10"/>
  <c r="I579" i="10" s="1"/>
  <c r="K579" i="10" s="1"/>
  <c r="S578" i="10"/>
  <c r="I578" i="10" s="1"/>
  <c r="F271" i="13" s="1"/>
  <c r="S577" i="10"/>
  <c r="I577" i="10" s="1"/>
  <c r="K577" i="10" s="1"/>
  <c r="S575" i="10"/>
  <c r="I575" i="10" s="1"/>
  <c r="K575" i="10" s="1"/>
  <c r="S574" i="10"/>
  <c r="I574" i="10" s="1"/>
  <c r="F270" i="13" s="1"/>
  <c r="S576" i="10"/>
  <c r="I576" i="10" s="1"/>
  <c r="K576" i="10" s="1"/>
  <c r="S572" i="10"/>
  <c r="I572" i="10" s="1"/>
  <c r="K572" i="10" s="1"/>
  <c r="S573" i="10"/>
  <c r="I573" i="10" s="1"/>
  <c r="K573" i="10" s="1"/>
  <c r="S570" i="10"/>
  <c r="I570" i="10" s="1"/>
  <c r="F269" i="13" s="1"/>
  <c r="S571" i="10"/>
  <c r="I571" i="10" s="1"/>
  <c r="K571" i="10" s="1"/>
  <c r="L571" i="10"/>
  <c r="L570" i="10"/>
  <c r="L568" i="10"/>
  <c r="S568" i="10"/>
  <c r="I568" i="10" s="1"/>
  <c r="F268" i="13" s="1"/>
  <c r="S569" i="10"/>
  <c r="I569" i="10" s="1"/>
  <c r="K569" i="10" s="1"/>
  <c r="S567" i="10"/>
  <c r="I567" i="10" s="1"/>
  <c r="K567" i="10" s="1"/>
  <c r="S566" i="10"/>
  <c r="I566" i="10" s="1"/>
  <c r="F267" i="13" s="1"/>
  <c r="L566" i="10"/>
  <c r="L564" i="10"/>
  <c r="S565" i="10"/>
  <c r="I565" i="10" s="1"/>
  <c r="S564" i="10"/>
  <c r="I564" i="10" s="1"/>
  <c r="S563" i="10"/>
  <c r="I563" i="10" s="1"/>
  <c r="F265" i="13" s="1"/>
  <c r="S562" i="10"/>
  <c r="I562" i="10" s="1"/>
  <c r="K562" i="10" s="1"/>
  <c r="L562" i="10"/>
  <c r="L560" i="10"/>
  <c r="L543" i="10"/>
  <c r="S560" i="10"/>
  <c r="I560" i="10" s="1"/>
  <c r="F264" i="13" s="1"/>
  <c r="S561" i="10"/>
  <c r="I561" i="10" s="1"/>
  <c r="K561" i="10" s="1"/>
  <c r="S558" i="10"/>
  <c r="I558" i="10" s="1"/>
  <c r="F263" i="13" s="1"/>
  <c r="S559" i="10"/>
  <c r="I559" i="10" s="1"/>
  <c r="K559" i="10" s="1"/>
  <c r="L558" i="10"/>
  <c r="L554" i="10"/>
  <c r="L547" i="10"/>
  <c r="S556" i="10"/>
  <c r="I556" i="10" s="1"/>
  <c r="F262" i="13" s="1"/>
  <c r="S557" i="10"/>
  <c r="I557" i="10" s="1"/>
  <c r="K557" i="10" s="1"/>
  <c r="S554" i="10"/>
  <c r="I554" i="10" s="1"/>
  <c r="K554" i="10" s="1"/>
  <c r="S555" i="10"/>
  <c r="I555" i="10" s="1"/>
  <c r="Y551" i="10"/>
  <c r="Y552" i="10"/>
  <c r="Z552" i="10" s="1"/>
  <c r="S553" i="10"/>
  <c r="I553" i="10" s="1"/>
  <c r="K553" i="10" s="1"/>
  <c r="S552" i="10"/>
  <c r="I552" i="10" s="1"/>
  <c r="F260" i="13" s="1"/>
  <c r="S551" i="10"/>
  <c r="I551" i="10" s="1"/>
  <c r="K551" i="10" s="1"/>
  <c r="S549" i="10"/>
  <c r="I549" i="10" s="1"/>
  <c r="K549" i="10" s="1"/>
  <c r="S550" i="10"/>
  <c r="I550" i="10" s="1"/>
  <c r="F259" i="13" s="1"/>
  <c r="S548" i="10"/>
  <c r="I548" i="10" s="1"/>
  <c r="K548" i="10" s="1"/>
  <c r="S547" i="10"/>
  <c r="I547" i="10" s="1"/>
  <c r="F258" i="13" s="1"/>
  <c r="S545" i="10"/>
  <c r="I545" i="10" s="1"/>
  <c r="K545" i="10" s="1"/>
  <c r="S546" i="10"/>
  <c r="I546" i="10" s="1"/>
  <c r="F257" i="13" s="1"/>
  <c r="L545" i="10"/>
  <c r="S543" i="10"/>
  <c r="I543" i="10" s="1"/>
  <c r="S544" i="10"/>
  <c r="I544" i="10" s="1"/>
  <c r="K544" i="10" s="1"/>
  <c r="S541" i="10"/>
  <c r="I541" i="10" s="1"/>
  <c r="F255" i="13" s="1"/>
  <c r="S542" i="10"/>
  <c r="I542" i="10" s="1"/>
  <c r="K542" i="10" s="1"/>
  <c r="L541" i="10"/>
  <c r="S540" i="10"/>
  <c r="I540" i="10" s="1"/>
  <c r="K540" i="10" s="1"/>
  <c r="S539" i="10"/>
  <c r="I539" i="10" s="1"/>
  <c r="F254" i="13" s="1"/>
  <c r="L539" i="10"/>
  <c r="S537" i="10"/>
  <c r="I537" i="10" s="1"/>
  <c r="Y5" i="10"/>
  <c r="Z5" i="10" s="1"/>
  <c r="AA5" i="10" s="1"/>
  <c r="AB5" i="10" s="1"/>
  <c r="U326" i="10" s="1"/>
  <c r="V4" i="10"/>
  <c r="W4" i="10" s="1"/>
  <c r="X4" i="10" s="1"/>
  <c r="Y4" i="10"/>
  <c r="Z4" i="10" s="1"/>
  <c r="S538" i="10"/>
  <c r="I538" i="10" s="1"/>
  <c r="K538" i="10" s="1"/>
  <c r="L537" i="10"/>
  <c r="L533" i="10"/>
  <c r="S536" i="10"/>
  <c r="I536" i="10" s="1"/>
  <c r="K536" i="10" s="1"/>
  <c r="S533" i="10"/>
  <c r="I533" i="10" s="1"/>
  <c r="S535" i="10"/>
  <c r="I535" i="10" s="1"/>
  <c r="K535" i="10" s="1"/>
  <c r="S534" i="10"/>
  <c r="I534" i="10" s="1"/>
  <c r="K534" i="10" s="1"/>
  <c r="L529" i="10"/>
  <c r="Y532" i="10"/>
  <c r="Z532" i="10" s="1"/>
  <c r="AA532" i="10" s="1"/>
  <c r="AB532" i="10" s="1"/>
  <c r="S529" i="10"/>
  <c r="I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F250" i="13" s="1"/>
  <c r="S528" i="10"/>
  <c r="I528" i="10" s="1"/>
  <c r="K528" i="10" s="1"/>
  <c r="S525" i="10"/>
  <c r="I525" i="10" s="1"/>
  <c r="K525" i="10" s="1"/>
  <c r="S526" i="10"/>
  <c r="I526" i="10" s="1"/>
  <c r="K526" i="10" s="1"/>
  <c r="S524" i="10"/>
  <c r="I524" i="10" s="1"/>
  <c r="K524" i="10" s="1"/>
  <c r="S523" i="10"/>
  <c r="I523" i="10" s="1"/>
  <c r="K523" i="10" s="1"/>
  <c r="S519" i="10"/>
  <c r="I519" i="10" s="1"/>
  <c r="F249" i="13" s="1"/>
  <c r="S522" i="10"/>
  <c r="I522" i="10" s="1"/>
  <c r="K522" i="10" s="1"/>
  <c r="S521" i="10"/>
  <c r="I521" i="10" s="1"/>
  <c r="K521" i="10" s="1"/>
  <c r="S520" i="10"/>
  <c r="I520" i="10" s="1"/>
  <c r="K520" i="10" s="1"/>
  <c r="L519" i="10"/>
  <c r="L515" i="10"/>
  <c r="L517" i="10"/>
  <c r="S518" i="10"/>
  <c r="I518" i="10" s="1"/>
  <c r="F248" i="13" s="1"/>
  <c r="S517" i="10"/>
  <c r="I517" i="10" s="1"/>
  <c r="K517" i="10" s="1"/>
  <c r="S515" i="10"/>
  <c r="I515" i="10" s="1"/>
  <c r="F247" i="13" s="1"/>
  <c r="S516" i="10"/>
  <c r="I516" i="10" s="1"/>
  <c r="K516" i="10" s="1"/>
  <c r="L513" i="10"/>
  <c r="S514" i="10"/>
  <c r="I514" i="10" s="1"/>
  <c r="K514" i="10" s="1"/>
  <c r="S513" i="10"/>
  <c r="I513" i="10" s="1"/>
  <c r="F246" i="13" s="1"/>
  <c r="S512" i="10"/>
  <c r="I512" i="10" s="1"/>
  <c r="K512" i="10" s="1"/>
  <c r="L509" i="10"/>
  <c r="L511" i="10"/>
  <c r="S511" i="10"/>
  <c r="I511" i="10" s="1"/>
  <c r="F245" i="13" s="1"/>
  <c r="S509" i="10"/>
  <c r="I509" i="10" s="1"/>
  <c r="G27" i="5"/>
  <c r="S510" i="10"/>
  <c r="I510" i="10" s="1"/>
  <c r="K510" i="10" s="1"/>
  <c r="S508" i="10"/>
  <c r="I508" i="10" s="1"/>
  <c r="F243" i="13" s="1"/>
  <c r="S507" i="10"/>
  <c r="I507" i="10" s="1"/>
  <c r="K507" i="10" s="1"/>
  <c r="L507" i="10"/>
  <c r="S506" i="10"/>
  <c r="I506" i="10" s="1"/>
  <c r="K506" i="10" s="1"/>
  <c r="L505" i="10"/>
  <c r="S504" i="10"/>
  <c r="I504" i="10" s="1"/>
  <c r="S505" i="10"/>
  <c r="I505" i="10" s="1"/>
  <c r="L351" i="10"/>
  <c r="L503" i="10"/>
  <c r="S503" i="10"/>
  <c r="I503" i="10" s="1"/>
  <c r="K503" i="10" s="1"/>
  <c r="L501" i="10"/>
  <c r="L470" i="10"/>
  <c r="L493" i="10"/>
  <c r="S502" i="10"/>
  <c r="I502" i="10" s="1"/>
  <c r="K502" i="10" s="1"/>
  <c r="Y502" i="10"/>
  <c r="S501" i="10"/>
  <c r="I501" i="10" s="1"/>
  <c r="L21" i="10"/>
  <c r="L499" i="10"/>
  <c r="S499" i="10"/>
  <c r="I499" i="10" s="1"/>
  <c r="S500" i="10"/>
  <c r="I500" i="10" s="1"/>
  <c r="K500" i="10" s="1"/>
  <c r="L286" i="10"/>
  <c r="L333" i="10"/>
  <c r="L43" i="10"/>
  <c r="L240" i="10"/>
  <c r="I62" i="7"/>
  <c r="B65" i="9" s="1"/>
  <c r="G29" i="5"/>
  <c r="S498" i="10"/>
  <c r="I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L23" i="10"/>
  <c r="L387" i="10"/>
  <c r="L466" i="10"/>
  <c r="L454" i="10"/>
  <c r="L110" i="10"/>
  <c r="L252" i="10"/>
  <c r="L331" i="10"/>
  <c r="L433" i="10"/>
  <c r="L489" i="10"/>
  <c r="L138" i="10"/>
  <c r="L383" i="10"/>
  <c r="L288" i="10"/>
  <c r="S75" i="10"/>
  <c r="I75" i="10" s="1"/>
  <c r="F57" i="13" s="1"/>
  <c r="S33" i="10"/>
  <c r="I33" i="10" s="1"/>
  <c r="F36" i="13" s="1"/>
  <c r="G18" i="5"/>
  <c r="G26" i="5"/>
  <c r="Z496" i="10"/>
  <c r="AA496" i="10" s="1"/>
  <c r="AB496" i="10" s="1"/>
  <c r="O19" i="13"/>
  <c r="Y355" i="10"/>
  <c r="Z355" i="10" s="1"/>
  <c r="Y357" i="10"/>
  <c r="Z357" i="10" s="1"/>
  <c r="S235" i="10"/>
  <c r="I235" i="10" s="1"/>
  <c r="F118" i="13" s="1"/>
  <c r="S331" i="10"/>
  <c r="I331" i="10" s="1"/>
  <c r="K331" i="10" s="1"/>
  <c r="S36" i="10"/>
  <c r="I36" i="10" s="1"/>
  <c r="K36" i="10" s="1"/>
  <c r="S84" i="10"/>
  <c r="I84" i="10" s="1"/>
  <c r="S132" i="10"/>
  <c r="I132" i="10" s="1"/>
  <c r="F85" i="13" s="1"/>
  <c r="Y30" i="10"/>
  <c r="Z30" i="10" s="1"/>
  <c r="S80" i="10"/>
  <c r="I80" i="10" s="1"/>
  <c r="F59" i="13"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F156" i="13" s="1"/>
  <c r="S386" i="10"/>
  <c r="I386" i="10" s="1"/>
  <c r="F189" i="13" s="1"/>
  <c r="G7" i="13"/>
  <c r="H7" i="13" s="1"/>
  <c r="S112" i="10"/>
  <c r="I112" i="10" s="1"/>
  <c r="F75" i="13" s="1"/>
  <c r="S238" i="10"/>
  <c r="I238" i="10" s="1"/>
  <c r="K238" i="10" s="1"/>
  <c r="S316" i="10"/>
  <c r="I316" i="10" s="1"/>
  <c r="F158" i="13" s="1"/>
  <c r="S363" i="10"/>
  <c r="I363" i="10" s="1"/>
  <c r="F180" i="13" s="1"/>
  <c r="S433" i="10"/>
  <c r="I433" i="10" s="1"/>
  <c r="K433" i="10" s="1"/>
  <c r="S220" i="10"/>
  <c r="I220" i="10" s="1"/>
  <c r="F111" i="13" s="1"/>
  <c r="S334" i="10"/>
  <c r="I334" i="10" s="1"/>
  <c r="K334" i="10" s="1"/>
  <c r="S349" i="10"/>
  <c r="I349" i="10" s="1"/>
  <c r="F174" i="13" s="1"/>
  <c r="S448" i="10"/>
  <c r="I448" i="10" s="1"/>
  <c r="F216" i="13" s="1"/>
  <c r="S82" i="10"/>
  <c r="I82" i="10" s="1"/>
  <c r="S152" i="10"/>
  <c r="I152" i="10" s="1"/>
  <c r="S287" i="10"/>
  <c r="I287" i="10" s="1"/>
  <c r="K287" i="10" s="1"/>
  <c r="S340" i="10"/>
  <c r="I340" i="10" s="1"/>
  <c r="F169" i="13" s="1"/>
  <c r="S347" i="10"/>
  <c r="I347" i="10" s="1"/>
  <c r="F173" i="13" s="1"/>
  <c r="O8" i="13"/>
  <c r="S148" i="10"/>
  <c r="I148" i="10" s="1"/>
  <c r="S323" i="10"/>
  <c r="I323" i="10" s="1"/>
  <c r="F161" i="13" s="1"/>
  <c r="S11" i="10"/>
  <c r="I11" i="10" s="1"/>
  <c r="K11" i="10" s="1"/>
  <c r="S64" i="10"/>
  <c r="I64" i="10" s="1"/>
  <c r="K64" i="10" s="1"/>
  <c r="S38" i="10"/>
  <c r="I38" i="10" s="1"/>
  <c r="F38" i="13" s="1"/>
  <c r="S30" i="10"/>
  <c r="I30" i="10" s="1"/>
  <c r="K30" i="10" s="1"/>
  <c r="Y50" i="10"/>
  <c r="Z50" i="10" s="1"/>
  <c r="AA49" i="10" s="1"/>
  <c r="AB49" i="10" s="1"/>
  <c r="U51" i="10" s="1"/>
  <c r="S98" i="10"/>
  <c r="I98" i="10" s="1"/>
  <c r="S24" i="10"/>
  <c r="I24" i="10" s="1"/>
  <c r="S72" i="10"/>
  <c r="I72" i="10" s="1"/>
  <c r="K72" i="10" s="1"/>
  <c r="Z479" i="10"/>
  <c r="AA479" i="10" s="1"/>
  <c r="AB479" i="10" s="1"/>
  <c r="U482" i="10" s="1"/>
  <c r="S493" i="10"/>
  <c r="I493" i="10" s="1"/>
  <c r="K493" i="10" s="1"/>
  <c r="S34" i="10"/>
  <c r="I34" i="10" s="1"/>
  <c r="K34" i="10" s="1"/>
  <c r="S388" i="10"/>
  <c r="I388" i="10" s="1"/>
  <c r="F190" i="13" s="1"/>
  <c r="S399" i="10"/>
  <c r="I399" i="10" s="1"/>
  <c r="F195" i="13" s="1"/>
  <c r="S404" i="10"/>
  <c r="I404" i="10" s="1"/>
  <c r="K404" i="10" s="1"/>
  <c r="Y449" i="10"/>
  <c r="S51" i="10"/>
  <c r="I51" i="10" s="1"/>
  <c r="F45" i="13"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F171" i="13" s="1"/>
  <c r="S373" i="10"/>
  <c r="I373" i="10" s="1"/>
  <c r="F185" i="13" s="1"/>
  <c r="L64" i="7"/>
  <c r="D68" i="9" s="1"/>
  <c r="S425" i="10"/>
  <c r="I425" i="10" s="1"/>
  <c r="K425" i="10" s="1"/>
  <c r="S462" i="10"/>
  <c r="I462" i="10" s="1"/>
  <c r="K462" i="10" s="1"/>
  <c r="S110" i="10"/>
  <c r="I110" i="10" s="1"/>
  <c r="S125" i="10"/>
  <c r="I125" i="10" s="1"/>
  <c r="K125" i="10" s="1"/>
  <c r="G18" i="13"/>
  <c r="H18" i="13" s="1"/>
  <c r="S32" i="10"/>
  <c r="I32" i="10" s="1"/>
  <c r="K32" i="10" s="1"/>
  <c r="S50" i="10"/>
  <c r="I50" i="10" s="1"/>
  <c r="K50" i="10" s="1"/>
  <c r="S81" i="10"/>
  <c r="I81" i="10" s="1"/>
  <c r="K81" i="10" s="1"/>
  <c r="S101" i="10"/>
  <c r="I101" i="10" s="1"/>
  <c r="K101" i="10" s="1"/>
  <c r="S134" i="10"/>
  <c r="I134" i="10" s="1"/>
  <c r="U18" i="13"/>
  <c r="S274" i="10"/>
  <c r="I274" i="10" s="1"/>
  <c r="S298" i="10"/>
  <c r="I298" i="10" s="1"/>
  <c r="K298" i="10" s="1"/>
  <c r="S337" i="10"/>
  <c r="I337" i="10" s="1"/>
  <c r="S49" i="10"/>
  <c r="I49" i="10" s="1"/>
  <c r="F44" i="13" s="1"/>
  <c r="S97" i="10"/>
  <c r="I97" i="10" s="1"/>
  <c r="S108" i="10"/>
  <c r="I108" i="10" s="1"/>
  <c r="K108" i="10" s="1"/>
  <c r="Z125" i="10"/>
  <c r="AA125" i="10" s="1"/>
  <c r="AB125" i="10" s="1"/>
  <c r="U129" i="10" s="1"/>
  <c r="S330" i="10"/>
  <c r="I330" i="10" s="1"/>
  <c r="K330" i="10" s="1"/>
  <c r="S364" i="10"/>
  <c r="I364" i="10" s="1"/>
  <c r="F181" i="13" s="1"/>
  <c r="S85" i="10"/>
  <c r="I85" i="10" s="1"/>
  <c r="K85" i="10" s="1"/>
  <c r="S121" i="10"/>
  <c r="I121" i="10" s="1"/>
  <c r="F79" i="13" s="1"/>
  <c r="S193" i="10"/>
  <c r="I193" i="10" s="1"/>
  <c r="K193" i="10" s="1"/>
  <c r="S346" i="10"/>
  <c r="I346" i="10" s="1"/>
  <c r="K346" i="10" s="1"/>
  <c r="S406" i="10"/>
  <c r="I406" i="10" s="1"/>
  <c r="K406" i="10" s="1"/>
  <c r="P17" i="7"/>
  <c r="R17" i="7" s="1"/>
  <c r="S53" i="10"/>
  <c r="I53" i="10" s="1"/>
  <c r="F46" i="13"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S439" i="10"/>
  <c r="I439" i="10" s="1"/>
  <c r="K439" i="10" s="1"/>
  <c r="Y23" i="10"/>
  <c r="Z23" i="10" s="1"/>
  <c r="AA23" i="10" s="1"/>
  <c r="AB23" i="10" s="1"/>
  <c r="U25" i="10" s="1"/>
  <c r="S57" i="10"/>
  <c r="I57" i="10" s="1"/>
  <c r="F48" i="13" s="1"/>
  <c r="S128" i="10"/>
  <c r="I128" i="10" s="1"/>
  <c r="S270" i="10"/>
  <c r="I270" i="10" s="1"/>
  <c r="F135" i="13" s="1"/>
  <c r="S293" i="10"/>
  <c r="I293" i="10" s="1"/>
  <c r="K293" i="10" s="1"/>
  <c r="P28" i="7"/>
  <c r="E30" i="3" s="1"/>
  <c r="P19" i="7"/>
  <c r="E21" i="3" s="1"/>
  <c r="P20" i="7"/>
  <c r="E22" i="3" s="1"/>
  <c r="S102" i="10"/>
  <c r="I102" i="10" s="1"/>
  <c r="K102" i="10" s="1"/>
  <c r="S147" i="10"/>
  <c r="I147" i="10" s="1"/>
  <c r="K147" i="10" s="1"/>
  <c r="S20" i="10"/>
  <c r="I20" i="10" s="1"/>
  <c r="F29" i="13" s="1"/>
  <c r="S92" i="10"/>
  <c r="I92" i="10" s="1"/>
  <c r="K92" i="10" s="1"/>
  <c r="S216" i="10"/>
  <c r="I216" i="10" s="1"/>
  <c r="S435" i="10"/>
  <c r="I435" i="10" s="1"/>
  <c r="K435" i="10" s="1"/>
  <c r="L66" i="7"/>
  <c r="F68" i="9" s="1"/>
  <c r="V14" i="10"/>
  <c r="S172" i="10"/>
  <c r="I172" i="10" s="1"/>
  <c r="K172" i="10" s="1"/>
  <c r="O16" i="13"/>
  <c r="S375" i="10"/>
  <c r="I375" i="10" s="1"/>
  <c r="K375" i="10" s="1"/>
  <c r="S292" i="10"/>
  <c r="I292" i="10" s="1"/>
  <c r="D33" i="9"/>
  <c r="Z6" i="10"/>
  <c r="AA6" i="10" s="1"/>
  <c r="AB6" i="10" s="1"/>
  <c r="S26" i="10"/>
  <c r="I26" i="10" s="1"/>
  <c r="F32" i="13" s="1"/>
  <c r="S63" i="10"/>
  <c r="I63" i="10" s="1"/>
  <c r="S129" i="10"/>
  <c r="I129" i="10" s="1"/>
  <c r="K129" i="10" s="1"/>
  <c r="S153" i="10"/>
  <c r="I153" i="10" s="1"/>
  <c r="K153" i="10" s="1"/>
  <c r="S215" i="10"/>
  <c r="I215" i="10" s="1"/>
  <c r="K215" i="10" s="1"/>
  <c r="Y245" i="10"/>
  <c r="Z245" i="10" s="1"/>
  <c r="AA244" i="10" s="1"/>
  <c r="AB244" i="10" s="1"/>
  <c r="U276" i="10" s="1"/>
  <c r="S260" i="10"/>
  <c r="I260" i="10" s="1"/>
  <c r="S335" i="10"/>
  <c r="I335" i="10" s="1"/>
  <c r="S106" i="10"/>
  <c r="I106" i="10" s="1"/>
  <c r="S122" i="10"/>
  <c r="I122" i="10" s="1"/>
  <c r="S205" i="10"/>
  <c r="I205" i="10" s="1"/>
  <c r="K205" i="10" s="1"/>
  <c r="S291" i="10"/>
  <c r="I291" i="10" s="1"/>
  <c r="F145" i="13" s="1"/>
  <c r="S333" i="10"/>
  <c r="I333" i="10" s="1"/>
  <c r="S458" i="10"/>
  <c r="I458" i="10" s="1"/>
  <c r="K458" i="10" s="1"/>
  <c r="S465" i="10"/>
  <c r="I465" i="10" s="1"/>
  <c r="S54" i="10"/>
  <c r="I54" i="10" s="1"/>
  <c r="K54" i="10" s="1"/>
  <c r="S83" i="10"/>
  <c r="I83" i="10" s="1"/>
  <c r="K83" i="10" s="1"/>
  <c r="S104" i="10"/>
  <c r="I104" i="10" s="1"/>
  <c r="S120" i="10"/>
  <c r="I120" i="10" s="1"/>
  <c r="K120" i="10" s="1"/>
  <c r="S327" i="10"/>
  <c r="I327" i="10" s="1"/>
  <c r="K327" i="10" s="1"/>
  <c r="S392" i="10"/>
  <c r="I392" i="10" s="1"/>
  <c r="S443" i="10"/>
  <c r="I443" i="10" s="1"/>
  <c r="K443" i="10" s="1"/>
  <c r="F70" i="7"/>
  <c r="J62" i="9" s="1"/>
  <c r="Z123" i="10"/>
  <c r="AA123" i="10" s="1"/>
  <c r="AB123" i="10" s="1"/>
  <c r="U149" i="10" s="1"/>
  <c r="Y124" i="10"/>
  <c r="Z124" i="10" s="1"/>
  <c r="S157" i="10"/>
  <c r="I157" i="10" s="1"/>
  <c r="K157" i="10" s="1"/>
  <c r="S259" i="10"/>
  <c r="I259" i="10" s="1"/>
  <c r="K259" i="10" s="1"/>
  <c r="S308" i="10"/>
  <c r="I308" i="10" s="1"/>
  <c r="F154" i="13" s="1"/>
  <c r="S350" i="10"/>
  <c r="I350" i="10" s="1"/>
  <c r="K350" i="10" s="1"/>
  <c r="I73" i="7"/>
  <c r="M65" i="9" s="1"/>
  <c r="S22" i="10"/>
  <c r="I22" i="10" s="1"/>
  <c r="K22" i="10" s="1"/>
  <c r="S436" i="10"/>
  <c r="I436" i="10" s="1"/>
  <c r="K436" i="10" s="1"/>
  <c r="S35" i="10"/>
  <c r="I35" i="10" s="1"/>
  <c r="S42" i="10"/>
  <c r="I42" i="10" s="1"/>
  <c r="F40" i="13" s="1"/>
  <c r="S52" i="10"/>
  <c r="I52" i="10" s="1"/>
  <c r="K52" i="10" s="1"/>
  <c r="S111" i="10"/>
  <c r="I111" i="10" s="1"/>
  <c r="K111" i="10" s="1"/>
  <c r="S250" i="10"/>
  <c r="I250" i="10" s="1"/>
  <c r="F125" i="13" s="1"/>
  <c r="S257" i="10"/>
  <c r="I257" i="10" s="1"/>
  <c r="S286" i="10"/>
  <c r="I286" i="10" s="1"/>
  <c r="Z359" i="10"/>
  <c r="AA359" i="10" s="1"/>
  <c r="AB359" i="10" s="1"/>
  <c r="J130" i="7" s="1"/>
  <c r="S486" i="10"/>
  <c r="I486" i="10" s="1"/>
  <c r="S489" i="10"/>
  <c r="I489" i="10" s="1"/>
  <c r="K489" i="10" s="1"/>
  <c r="S62" i="10"/>
  <c r="I62" i="10" s="1"/>
  <c r="F50" i="13" s="1"/>
  <c r="S431" i="10"/>
  <c r="I431" i="10" s="1"/>
  <c r="K431" i="10" s="1"/>
  <c r="E35" i="9"/>
  <c r="F35" i="9" s="1"/>
  <c r="G21" i="5"/>
  <c r="S27" i="10"/>
  <c r="I27" i="10" s="1"/>
  <c r="K27" i="10" s="1"/>
  <c r="S47" i="10"/>
  <c r="I47" i="10" s="1"/>
  <c r="S66" i="10"/>
  <c r="I66" i="10" s="1"/>
  <c r="K66" i="10" s="1"/>
  <c r="S87" i="10"/>
  <c r="I87" i="10" s="1"/>
  <c r="K87" i="10" s="1"/>
  <c r="S89" i="10"/>
  <c r="I89" i="10" s="1"/>
  <c r="K89" i="10" s="1"/>
  <c r="S100" i="10"/>
  <c r="I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F52" i="13" s="1"/>
  <c r="S86" i="10"/>
  <c r="I86" i="10" s="1"/>
  <c r="S88" i="10"/>
  <c r="I88" i="10" s="1"/>
  <c r="S139" i="10"/>
  <c r="I139" i="10" s="1"/>
  <c r="K139" i="10" s="1"/>
  <c r="S174" i="10"/>
  <c r="I174" i="10" s="1"/>
  <c r="K174" i="10" s="1"/>
  <c r="S221" i="10"/>
  <c r="I221" i="10" s="1"/>
  <c r="K221" i="10" s="1"/>
  <c r="S329" i="10"/>
  <c r="I329" i="10" s="1"/>
  <c r="F164" i="13" s="1"/>
  <c r="S354" i="10"/>
  <c r="I354" i="10" s="1"/>
  <c r="K354" i="10" s="1"/>
  <c r="S403" i="10"/>
  <c r="I403" i="10" s="1"/>
  <c r="K403" i="10" s="1"/>
  <c r="S434" i="10"/>
  <c r="I434" i="10" s="1"/>
  <c r="S487" i="10"/>
  <c r="I487" i="10" s="1"/>
  <c r="F233" i="13" s="1"/>
  <c r="S55" i="10"/>
  <c r="I55" i="10" s="1"/>
  <c r="F47" i="13" s="1"/>
  <c r="S255" i="10"/>
  <c r="I255" i="10" s="1"/>
  <c r="K255" i="10" s="1"/>
  <c r="S285" i="10"/>
  <c r="I285" i="10" s="1"/>
  <c r="S305" i="10"/>
  <c r="I305" i="10" s="1"/>
  <c r="F152" i="13" s="1"/>
  <c r="S314" i="10"/>
  <c r="I314" i="10" s="1"/>
  <c r="K314" i="10" s="1"/>
  <c r="L70" i="7"/>
  <c r="J68" i="9" s="1"/>
  <c r="S39" i="10"/>
  <c r="I39" i="10" s="1"/>
  <c r="K39" i="10" s="1"/>
  <c r="S115" i="10"/>
  <c r="I115" i="10" s="1"/>
  <c r="K115" i="10" s="1"/>
  <c r="S126" i="10"/>
  <c r="I126" i="10" s="1"/>
  <c r="S137" i="10"/>
  <c r="I137" i="10" s="1"/>
  <c r="K137" i="10" s="1"/>
  <c r="S203" i="10"/>
  <c r="I203" i="10" s="1"/>
  <c r="K203" i="10" s="1"/>
  <c r="S239" i="10"/>
  <c r="I239" i="10" s="1"/>
  <c r="K239" i="10" s="1"/>
  <c r="S243" i="10"/>
  <c r="I243" i="10" s="1"/>
  <c r="K243" i="10" s="1"/>
  <c r="S248" i="10"/>
  <c r="I248" i="10" s="1"/>
  <c r="S265" i="10"/>
  <c r="I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F220" i="13" s="1"/>
  <c r="S480" i="10"/>
  <c r="I480" i="10" s="1"/>
  <c r="U10" i="13"/>
  <c r="Q20" i="13"/>
  <c r="R20" i="13"/>
  <c r="U12" i="13"/>
  <c r="U13" i="13"/>
  <c r="U9" i="13"/>
  <c r="U7" i="13"/>
  <c r="U11" i="13"/>
  <c r="P16" i="7"/>
  <c r="E18" i="3" s="1"/>
  <c r="S19" i="10"/>
  <c r="I19" i="10" s="1"/>
  <c r="K19" i="10" s="1"/>
  <c r="S71" i="10"/>
  <c r="I71" i="10" s="1"/>
  <c r="F55" i="13" s="1"/>
  <c r="S96" i="10"/>
  <c r="I96" i="10" s="1"/>
  <c r="K96" i="10" s="1"/>
  <c r="S114" i="10"/>
  <c r="I114" i="10" s="1"/>
  <c r="S116" i="10"/>
  <c r="I116" i="10" s="1"/>
  <c r="F77" i="13" s="1"/>
  <c r="S290" i="10"/>
  <c r="I290" i="10" s="1"/>
  <c r="K290" i="10" s="1"/>
  <c r="Y306" i="10"/>
  <c r="Z306" i="10" s="1"/>
  <c r="S339" i="10"/>
  <c r="I339" i="10" s="1"/>
  <c r="K339" i="10" s="1"/>
  <c r="S407" i="10"/>
  <c r="I407" i="10" s="1"/>
  <c r="F198" i="13" s="1"/>
  <c r="P15" i="7"/>
  <c r="Q15" i="7" s="1"/>
  <c r="P32" i="7"/>
  <c r="E34" i="3" s="1"/>
  <c r="Y11" i="10"/>
  <c r="Z11" i="10" s="1"/>
  <c r="AA11" i="10" s="1"/>
  <c r="AB11" i="10" s="1"/>
  <c r="H111" i="7" s="1"/>
  <c r="L35" i="10"/>
  <c r="S160" i="10"/>
  <c r="I160" i="10" s="1"/>
  <c r="S202" i="10"/>
  <c r="I202" i="10" s="1"/>
  <c r="K202" i="10" s="1"/>
  <c r="S418" i="10"/>
  <c r="I418" i="10" s="1"/>
  <c r="F204" i="13" s="1"/>
  <c r="S437" i="10"/>
  <c r="I437" i="10" s="1"/>
  <c r="P14" i="7"/>
  <c r="R14" i="7" s="1"/>
  <c r="P30" i="7"/>
  <c r="Q30" i="7" s="1"/>
  <c r="Q6" i="10"/>
  <c r="Y122" i="10"/>
  <c r="Z122" i="10" s="1"/>
  <c r="S186" i="10"/>
  <c r="I186" i="10" s="1"/>
  <c r="K186" i="10" s="1"/>
  <c r="Z225" i="10"/>
  <c r="AA225" i="10" s="1"/>
  <c r="AB225" i="10" s="1"/>
  <c r="U239" i="10" s="1"/>
  <c r="S236" i="10"/>
  <c r="I236" i="10" s="1"/>
  <c r="K236" i="10" s="1"/>
  <c r="L254" i="10"/>
  <c r="S319" i="10"/>
  <c r="I319" i="10" s="1"/>
  <c r="F159" i="13" s="1"/>
  <c r="L355" i="10"/>
  <c r="Z356" i="10"/>
  <c r="AA356" i="10" s="1"/>
  <c r="AB356" i="10" s="1"/>
  <c r="I127" i="7" s="1"/>
  <c r="S416" i="10"/>
  <c r="I416" i="10" s="1"/>
  <c r="S438" i="10"/>
  <c r="I438" i="10" s="1"/>
  <c r="K438" i="10" s="1"/>
  <c r="S441" i="10"/>
  <c r="I441" i="10" s="1"/>
  <c r="S446" i="10"/>
  <c r="I446" i="10" s="1"/>
  <c r="P13" i="7"/>
  <c r="E15" i="3" s="1"/>
  <c r="P29" i="7"/>
  <c r="E31" i="3" s="1"/>
  <c r="S16" i="10"/>
  <c r="I16" i="10" s="1"/>
  <c r="F27" i="13" s="1"/>
  <c r="S58" i="10"/>
  <c r="I58" i="10" s="1"/>
  <c r="K58" i="10" s="1"/>
  <c r="Y90" i="10"/>
  <c r="Z90" i="10" s="1"/>
  <c r="L148" i="10"/>
  <c r="S151" i="10"/>
  <c r="I151" i="10" s="1"/>
  <c r="K151" i="10" s="1"/>
  <c r="S191" i="10"/>
  <c r="I191" i="10" s="1"/>
  <c r="K191" i="10" s="1"/>
  <c r="L256" i="10"/>
  <c r="S279" i="10"/>
  <c r="I279" i="10" s="1"/>
  <c r="F139" i="13" s="1"/>
  <c r="S365" i="10"/>
  <c r="I365" i="10" s="1"/>
  <c r="K365" i="10" s="1"/>
  <c r="L381" i="10"/>
  <c r="S459" i="10"/>
  <c r="I459" i="10" s="1"/>
  <c r="F221" i="13" s="1"/>
  <c r="P12" i="7"/>
  <c r="E14" i="3" s="1"/>
  <c r="V6" i="10"/>
  <c r="S31" i="10"/>
  <c r="I31" i="10" s="1"/>
  <c r="F35" i="13" s="1"/>
  <c r="L347" i="10"/>
  <c r="L353" i="10"/>
  <c r="S356" i="10"/>
  <c r="I356" i="10" s="1"/>
  <c r="K356" i="10" s="1"/>
  <c r="S414" i="10"/>
  <c r="I414" i="10" s="1"/>
  <c r="F202" i="13" s="1"/>
  <c r="S445" i="10"/>
  <c r="I445" i="10" s="1"/>
  <c r="K445" i="10" s="1"/>
  <c r="P11" i="7"/>
  <c r="R11" i="7" s="1"/>
  <c r="P27" i="7"/>
  <c r="R27" i="7" s="1"/>
  <c r="B32" i="8"/>
  <c r="S28" i="10"/>
  <c r="I28" i="10" s="1"/>
  <c r="F33" i="13" s="1"/>
  <c r="S48" i="10"/>
  <c r="I48" i="10" s="1"/>
  <c r="K48" i="10" s="1"/>
  <c r="S56" i="10"/>
  <c r="I56" i="10" s="1"/>
  <c r="K56" i="10" s="1"/>
  <c r="L80" i="10"/>
  <c r="L82" i="10"/>
  <c r="L84" i="10"/>
  <c r="S124" i="10"/>
  <c r="I124" i="10" s="1"/>
  <c r="S133" i="10"/>
  <c r="I133" i="10" s="1"/>
  <c r="K133" i="10" s="1"/>
  <c r="S135" i="10"/>
  <c r="I135" i="10" s="1"/>
  <c r="K135" i="10" s="1"/>
  <c r="S149" i="10"/>
  <c r="I149" i="10" s="1"/>
  <c r="K149" i="10" s="1"/>
  <c r="S165" i="10"/>
  <c r="I165" i="10" s="1"/>
  <c r="K165" i="10" s="1"/>
  <c r="Y221" i="10"/>
  <c r="S229" i="10"/>
  <c r="I229" i="10" s="1"/>
  <c r="S231" i="10"/>
  <c r="I231" i="10" s="1"/>
  <c r="F116" i="13" s="1"/>
  <c r="S254" i="10"/>
  <c r="I254" i="10" s="1"/>
  <c r="S258" i="10"/>
  <c r="I258" i="10" s="1"/>
  <c r="S264" i="10"/>
  <c r="I264" i="10" s="1"/>
  <c r="K264" i="10" s="1"/>
  <c r="S273" i="10"/>
  <c r="I273" i="10" s="1"/>
  <c r="K273" i="10" s="1"/>
  <c r="S300" i="10"/>
  <c r="I300" i="10" s="1"/>
  <c r="S317" i="10"/>
  <c r="I317" i="10" s="1"/>
  <c r="K317" i="10" s="1"/>
  <c r="S332" i="10"/>
  <c r="I332" i="10" s="1"/>
  <c r="S355" i="10"/>
  <c r="I355" i="10" s="1"/>
  <c r="S412" i="10"/>
  <c r="I412" i="10" s="1"/>
  <c r="F201" i="13" s="1"/>
  <c r="P10" i="7"/>
  <c r="E12" i="3" s="1"/>
  <c r="P26" i="7"/>
  <c r="S29" i="10"/>
  <c r="I29" i="10" s="1"/>
  <c r="F34" i="13"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F56" i="13" s="1"/>
  <c r="L86" i="10"/>
  <c r="S105" i="10"/>
  <c r="I105" i="10" s="1"/>
  <c r="K105" i="10" s="1"/>
  <c r="S107" i="10"/>
  <c r="I107" i="10" s="1"/>
  <c r="K107" i="10" s="1"/>
  <c r="S118" i="10"/>
  <c r="I118" i="10" s="1"/>
  <c r="S127" i="10"/>
  <c r="I127" i="10" s="1"/>
  <c r="K127" i="10" s="1"/>
  <c r="Y139" i="10"/>
  <c r="S226" i="10"/>
  <c r="I226" i="10" s="1"/>
  <c r="K226" i="10" s="1"/>
  <c r="S227" i="10"/>
  <c r="I227" i="10" s="1"/>
  <c r="S299" i="10"/>
  <c r="I299" i="10" s="1"/>
  <c r="F149" i="13" s="1"/>
  <c r="S309" i="10"/>
  <c r="I309" i="10" s="1"/>
  <c r="K309" i="10" s="1"/>
  <c r="S353" i="10"/>
  <c r="I353" i="10" s="1"/>
  <c r="S358" i="10"/>
  <c r="I358" i="10" s="1"/>
  <c r="K358" i="10" s="1"/>
  <c r="S391" i="10"/>
  <c r="I391" i="10" s="1"/>
  <c r="K391" i="10" s="1"/>
  <c r="S430" i="10"/>
  <c r="I430" i="10" s="1"/>
  <c r="K430" i="10" s="1"/>
  <c r="S463" i="10"/>
  <c r="I463" i="10" s="1"/>
  <c r="P8" i="7"/>
  <c r="E10" i="3" s="1"/>
  <c r="P24" i="7"/>
  <c r="E26" i="3" s="1"/>
  <c r="S17" i="10"/>
  <c r="I17" i="10" s="1"/>
  <c r="K17" i="10" s="1"/>
  <c r="V30" i="10"/>
  <c r="S61" i="10"/>
  <c r="I61" i="10" s="1"/>
  <c r="K61" i="10" s="1"/>
  <c r="S70" i="10"/>
  <c r="I70" i="10" s="1"/>
  <c r="K70" i="10" s="1"/>
  <c r="S78" i="10"/>
  <c r="I78" i="10" s="1"/>
  <c r="K78" i="10" s="1"/>
  <c r="S144" i="10"/>
  <c r="I144" i="10" s="1"/>
  <c r="S195" i="10"/>
  <c r="I195" i="10" s="1"/>
  <c r="K195" i="10" s="1"/>
  <c r="Y379" i="10"/>
  <c r="L450" i="10"/>
  <c r="S455" i="10"/>
  <c r="I455" i="10" s="1"/>
  <c r="K455" i="10" s="1"/>
  <c r="S461" i="10"/>
  <c r="I461" i="10" s="1"/>
  <c r="K461" i="10" s="1"/>
  <c r="S471" i="10"/>
  <c r="I471" i="10" s="1"/>
  <c r="K471" i="10" s="1"/>
  <c r="L491" i="10"/>
  <c r="P23" i="7"/>
  <c r="E25" i="3" s="1"/>
  <c r="L4" i="10"/>
  <c r="S40" i="10"/>
  <c r="I40" i="10" s="1"/>
  <c r="F39" i="13" s="1"/>
  <c r="S76" i="10"/>
  <c r="I76" i="10" s="1"/>
  <c r="K76" i="10" s="1"/>
  <c r="P86" i="10"/>
  <c r="Q86" i="10" s="1"/>
  <c r="S93" i="10"/>
  <c r="I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F140" i="13" s="1"/>
  <c r="S344" i="10"/>
  <c r="I344" i="10" s="1"/>
  <c r="K344" i="10" s="1"/>
  <c r="S367" i="10"/>
  <c r="I367" i="10" s="1"/>
  <c r="F182" i="13" s="1"/>
  <c r="S390" i="10"/>
  <c r="I390" i="10" s="1"/>
  <c r="S393" i="10"/>
  <c r="I393" i="10" s="1"/>
  <c r="S405" i="10"/>
  <c r="I405" i="10" s="1"/>
  <c r="F197" i="13" s="1"/>
  <c r="S417" i="10"/>
  <c r="I417" i="10" s="1"/>
  <c r="K417" i="10" s="1"/>
  <c r="S428" i="10"/>
  <c r="I428" i="10" s="1"/>
  <c r="K428" i="10" s="1"/>
  <c r="L437" i="10"/>
  <c r="L446" i="10"/>
  <c r="S453" i="10"/>
  <c r="I453" i="10" s="1"/>
  <c r="L27" i="10"/>
  <c r="S123" i="10"/>
  <c r="I123" i="10" s="1"/>
  <c r="K123" i="10" s="1"/>
  <c r="S130" i="10"/>
  <c r="I130" i="10" s="1"/>
  <c r="F84" i="13" s="1"/>
  <c r="S138" i="10"/>
  <c r="I138" i="10" s="1"/>
  <c r="S161" i="10"/>
  <c r="I161" i="10" s="1"/>
  <c r="K161" i="10" s="1"/>
  <c r="S190" i="10"/>
  <c r="I190" i="10" s="1"/>
  <c r="K190" i="10" s="1"/>
  <c r="S213" i="10"/>
  <c r="I213" i="10" s="1"/>
  <c r="K213" i="10" s="1"/>
  <c r="S296" i="10"/>
  <c r="I296" i="10" s="1"/>
  <c r="S374" i="10"/>
  <c r="I374" i="10" s="1"/>
  <c r="K374" i="10" s="1"/>
  <c r="P31" i="7"/>
  <c r="S68" i="10"/>
  <c r="I68" i="10" s="1"/>
  <c r="F53" i="13" s="1"/>
  <c r="S136" i="10"/>
  <c r="I136" i="10" s="1"/>
  <c r="S142" i="10"/>
  <c r="I142" i="10" s="1"/>
  <c r="S237" i="10"/>
  <c r="I237" i="10" s="1"/>
  <c r="V11" i="10"/>
  <c r="S141" i="10"/>
  <c r="I141" i="10" s="1"/>
  <c r="K141" i="10" s="1"/>
  <c r="S188" i="10"/>
  <c r="I188" i="10" s="1"/>
  <c r="S247" i="10"/>
  <c r="I247" i="10" s="1"/>
  <c r="K247" i="10" s="1"/>
  <c r="S252" i="10"/>
  <c r="I252" i="10" s="1"/>
  <c r="S322" i="10"/>
  <c r="I322" i="10" s="1"/>
  <c r="K322" i="10" s="1"/>
  <c r="L335" i="10"/>
  <c r="S402" i="10"/>
  <c r="I402" i="10" s="1"/>
  <c r="F196" i="13" s="1"/>
  <c r="L431" i="10"/>
  <c r="S444" i="10"/>
  <c r="I444" i="10" s="1"/>
  <c r="L473" i="10"/>
  <c r="Y14" i="10"/>
  <c r="Z14" i="10" s="1"/>
  <c r="AA14" i="10" s="1"/>
  <c r="AB14" i="10" s="1"/>
  <c r="D111" i="7" s="1"/>
  <c r="L45" i="10"/>
  <c r="L96" i="10"/>
  <c r="L106" i="10"/>
  <c r="L118" i="10"/>
  <c r="L122" i="10"/>
  <c r="S146" i="10"/>
  <c r="I146" i="10" s="1"/>
  <c r="S156" i="10"/>
  <c r="I156" i="10" s="1"/>
  <c r="S207" i="10"/>
  <c r="I207" i="10" s="1"/>
  <c r="K207" i="10" s="1"/>
  <c r="L264" i="10"/>
  <c r="L339" i="10"/>
  <c r="S345" i="10"/>
  <c r="I345" i="10" s="1"/>
  <c r="F172" i="13" s="1"/>
  <c r="S352" i="10"/>
  <c r="I352" i="10" s="1"/>
  <c r="K352" i="10" s="1"/>
  <c r="S362" i="10"/>
  <c r="I362" i="10" s="1"/>
  <c r="K362" i="10" s="1"/>
  <c r="L385" i="10"/>
  <c r="S387" i="10"/>
  <c r="I387" i="10" s="1"/>
  <c r="K387" i="10" s="1"/>
  <c r="L462" i="10"/>
  <c r="L464" i="10"/>
  <c r="S467" i="10"/>
  <c r="I467" i="10" s="1"/>
  <c r="L478" i="10"/>
  <c r="S9" i="10"/>
  <c r="I9" i="10" s="1"/>
  <c r="K9" i="10" s="1"/>
  <c r="S21" i="10"/>
  <c r="I21" i="10" s="1"/>
  <c r="V86" i="10"/>
  <c r="L88" i="10"/>
  <c r="L94" i="10"/>
  <c r="S109" i="10"/>
  <c r="I109" i="10" s="1"/>
  <c r="Y132" i="10"/>
  <c r="Z132" i="10" s="1"/>
  <c r="L227" i="10"/>
  <c r="S242" i="10"/>
  <c r="I242" i="10" s="1"/>
  <c r="L262" i="10"/>
  <c r="S283" i="10"/>
  <c r="I283" i="10" s="1"/>
  <c r="S315" i="10"/>
  <c r="I315" i="10" s="1"/>
  <c r="S360" i="10"/>
  <c r="I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R45" i="11" s="1"/>
  <c r="P38"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H27" i="13" a="1"/>
  <c r="H27" i="13" s="1"/>
  <c r="L25" i="10"/>
  <c r="L31" i="10"/>
  <c r="S44" i="10"/>
  <c r="I44" i="10" s="1"/>
  <c r="K44" i="10" s="1"/>
  <c r="S43" i="10"/>
  <c r="I43" i="10" s="1"/>
  <c r="F41" i="13" s="1"/>
  <c r="M62" i="7"/>
  <c r="B69" i="9" s="1"/>
  <c r="S6" i="10"/>
  <c r="I6" i="10" s="1"/>
  <c r="K6" i="10" s="1"/>
  <c r="S4" i="10"/>
  <c r="I4" i="10" s="1"/>
  <c r="F25" i="13" s="1"/>
  <c r="S7" i="10"/>
  <c r="I7" i="10" s="1"/>
  <c r="F26" i="13" s="1"/>
  <c r="Y9" i="10"/>
  <c r="Z9" i="10" s="1"/>
  <c r="Y15" i="10"/>
  <c r="Z15" i="10" s="1"/>
  <c r="AA16" i="10" s="1"/>
  <c r="AB16" i="10" s="1"/>
  <c r="U18" i="10" s="1"/>
  <c r="L34" i="10"/>
  <c r="N62" i="7"/>
  <c r="B70" i="9" s="1"/>
  <c r="O62" i="7"/>
  <c r="B71" i="9" s="1"/>
  <c r="L50" i="10"/>
  <c r="L72" i="10"/>
  <c r="V7" i="10"/>
  <c r="P8" i="10"/>
  <c r="U14" i="13"/>
  <c r="S18" i="10"/>
  <c r="I18" i="10" s="1"/>
  <c r="F28" i="13" s="1"/>
  <c r="H29" i="13" a="1"/>
  <c r="H29" i="13" s="1"/>
  <c r="E93" i="7"/>
  <c r="U17" i="13"/>
  <c r="Y10" i="10"/>
  <c r="Z10" i="10" s="1"/>
  <c r="AA10" i="10" s="1"/>
  <c r="AB10" i="10" s="1"/>
  <c r="F111" i="7" s="1"/>
  <c r="S5" i="10"/>
  <c r="I5" i="10" s="1"/>
  <c r="K5" i="10" s="1"/>
  <c r="H26" i="13" a="1"/>
  <c r="H26" i="13" s="1"/>
  <c r="Y13" i="10"/>
  <c r="Z13" i="10" s="1"/>
  <c r="AA13" i="10" s="1"/>
  <c r="AB13" i="10" s="1"/>
  <c r="L111" i="7" s="1"/>
  <c r="L22" i="10"/>
  <c r="S25" i="10"/>
  <c r="I25" i="10" s="1"/>
  <c r="K25" i="10"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F64" i="13" s="1"/>
  <c r="Y44" i="10"/>
  <c r="Z44" i="10" s="1"/>
  <c r="AA44" i="10" s="1"/>
  <c r="AB44" i="10" s="1"/>
  <c r="F108" i="7" s="1"/>
  <c r="S45" i="10"/>
  <c r="I45" i="10" s="1"/>
  <c r="F42" i="13" s="1"/>
  <c r="H46" i="13" a="1"/>
  <c r="H46" i="13" s="1"/>
  <c r="L53" i="10"/>
  <c r="S69" i="10"/>
  <c r="I69" i="10" s="1"/>
  <c r="F54" i="13" s="1"/>
  <c r="S77" i="10"/>
  <c r="I77" i="10" s="1"/>
  <c r="F58" i="13" s="1"/>
  <c r="H51" i="13" a="1"/>
  <c r="H51" i="13" s="1"/>
  <c r="L63" i="10"/>
  <c r="H53" i="13" a="1"/>
  <c r="H53" i="13" s="1"/>
  <c r="L67" i="10"/>
  <c r="S79" i="10"/>
  <c r="I79" i="10" s="1"/>
  <c r="K79" i="10" s="1"/>
  <c r="Y79" i="10"/>
  <c r="Z79" i="10" s="1"/>
  <c r="Y78" i="10"/>
  <c r="Z78" i="10" s="1"/>
  <c r="AA78" i="10" s="1"/>
  <c r="AB78" i="10" s="1"/>
  <c r="U422" i="10" s="1"/>
  <c r="L57" i="10"/>
  <c r="Y77" i="10"/>
  <c r="Z77" i="10" s="1"/>
  <c r="U15" i="13"/>
  <c r="H54" i="13" a="1"/>
  <c r="H54" i="13" s="1"/>
  <c r="L69" i="10"/>
  <c r="L61" i="10"/>
  <c r="L77" i="10"/>
  <c r="H52" i="13" a="1"/>
  <c r="H52" i="13" s="1"/>
  <c r="L65" i="10"/>
  <c r="L68" i="10"/>
  <c r="Y72" i="10"/>
  <c r="Z72" i="10" s="1"/>
  <c r="AA71" i="10" s="1"/>
  <c r="AB71" i="10" s="1"/>
  <c r="U73" i="10" s="1"/>
  <c r="L81" i="10"/>
  <c r="S95" i="10"/>
  <c r="I95" i="10" s="1"/>
  <c r="K95" i="10" s="1"/>
  <c r="S94" i="10"/>
  <c r="I94" i="10" s="1"/>
  <c r="F66" i="13" s="1"/>
  <c r="S59" i="10"/>
  <c r="I59" i="10" s="1"/>
  <c r="F49" i="13" s="1"/>
  <c r="L64" i="10"/>
  <c r="H64" i="13" a="1"/>
  <c r="H64" i="13" s="1"/>
  <c r="L90" i="10"/>
  <c r="H47" i="13" a="1"/>
  <c r="H47" i="13" s="1"/>
  <c r="L55" i="10"/>
  <c r="L30" i="10"/>
  <c r="U16" i="13"/>
  <c r="H44" i="13" a="1"/>
  <c r="H44" i="13" s="1"/>
  <c r="L49" i="10"/>
  <c r="S67" i="10"/>
  <c r="I67" i="10" s="1"/>
  <c r="K67" i="10" s="1"/>
  <c r="L71" i="10"/>
  <c r="Y71" i="10"/>
  <c r="Z71" i="10" s="1"/>
  <c r="L40" i="10"/>
  <c r="L41" i="10"/>
  <c r="H84" i="13" a="1"/>
  <c r="H84" i="13" s="1"/>
  <c r="L130" i="10"/>
  <c r="L116" i="10"/>
  <c r="H57" i="13" a="1"/>
  <c r="H57" i="13" s="1"/>
  <c r="L75" i="10"/>
  <c r="L87" i="10"/>
  <c r="H68" i="13" a="1"/>
  <c r="H68" i="13" s="1"/>
  <c r="H69" i="13" a="1"/>
  <c r="H69" i="13" s="1"/>
  <c r="L100" i="10"/>
  <c r="L92" i="10"/>
  <c r="S119" i="10"/>
  <c r="I119" i="10" s="1"/>
  <c r="K119" i="10" s="1"/>
  <c r="L98" i="10"/>
  <c r="H76" i="13" a="1"/>
  <c r="H76" i="13" s="1"/>
  <c r="L114" i="10"/>
  <c r="L104" i="10"/>
  <c r="V119" i="10"/>
  <c r="S140" i="10"/>
  <c r="I140" i="10" s="1"/>
  <c r="F89" i="13" s="1"/>
  <c r="L83" i="10"/>
  <c r="Y126" i="10"/>
  <c r="Z126" i="10" s="1"/>
  <c r="Y127" i="10"/>
  <c r="Z127" i="10" s="1"/>
  <c r="H83" i="13" a="1"/>
  <c r="H83" i="13" s="1"/>
  <c r="L128" i="10"/>
  <c r="Y131" i="10"/>
  <c r="Z131" i="10" s="1"/>
  <c r="AA131" i="10" s="1"/>
  <c r="AB131" i="10" s="1"/>
  <c r="U139" i="10" s="1"/>
  <c r="L70" i="10"/>
  <c r="H87" i="13" a="1"/>
  <c r="H87" i="13" s="1"/>
  <c r="Y130" i="10"/>
  <c r="Z130" i="10" s="1"/>
  <c r="L136" i="10"/>
  <c r="L85" i="10"/>
  <c r="Y105" i="10"/>
  <c r="Z105" i="10" s="1"/>
  <c r="AA105" i="10" s="1"/>
  <c r="AB105" i="10" s="1"/>
  <c r="U107" i="10" s="1"/>
  <c r="L120"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F112" i="13" s="1"/>
  <c r="L142" i="10"/>
  <c r="S163" i="10"/>
  <c r="I163" i="10" s="1"/>
  <c r="K163" i="10" s="1"/>
  <c r="U8" i="13"/>
  <c r="L152" i="10"/>
  <c r="L172" i="10"/>
  <c r="L201" i="10"/>
  <c r="L140" i="10"/>
  <c r="S178" i="10"/>
  <c r="I178" i="10" s="1"/>
  <c r="K178" i="10" s="1"/>
  <c r="S177" i="10"/>
  <c r="I177" i="10" s="1"/>
  <c r="K177" i="10" s="1"/>
  <c r="L186" i="10"/>
  <c r="L192" i="10"/>
  <c r="L218" i="10"/>
  <c r="H113" i="13" a="1"/>
  <c r="H113" i="13" s="1"/>
  <c r="S246" i="10"/>
  <c r="I246" i="10" s="1"/>
  <c r="F123" i="13" s="1"/>
  <c r="S269" i="10"/>
  <c r="I269" i="10" s="1"/>
  <c r="K269" i="10" s="1"/>
  <c r="S268" i="10"/>
  <c r="I268" i="10" s="1"/>
  <c r="F134" i="13" s="1"/>
  <c r="L242" i="10"/>
  <c r="S245" i="10"/>
  <c r="I245" i="10" s="1"/>
  <c r="K245" i="10" s="1"/>
  <c r="S251" i="10"/>
  <c r="I251" i="10" s="1"/>
  <c r="K251" i="10" s="1"/>
  <c r="S262" i="10"/>
  <c r="I262" i="10" s="1"/>
  <c r="K262" i="10" s="1"/>
  <c r="S263" i="10"/>
  <c r="I263" i="10" s="1"/>
  <c r="F131" i="13" s="1"/>
  <c r="S214" i="10"/>
  <c r="I214" i="10" s="1"/>
  <c r="K214" i="10" s="1"/>
  <c r="L224" i="10"/>
  <c r="L238" i="10"/>
  <c r="L248" i="10"/>
  <c r="H112" i="13" a="1"/>
  <c r="H112" i="13" s="1"/>
  <c r="L233" i="10"/>
  <c r="S278" i="10"/>
  <c r="I278" i="10" s="1"/>
  <c r="K278" i="10" s="1"/>
  <c r="L253" i="10"/>
  <c r="S200" i="10"/>
  <c r="I200" i="10" s="1"/>
  <c r="S206" i="10"/>
  <c r="I206" i="10" s="1"/>
  <c r="K206" i="10" s="1"/>
  <c r="L216" i="10"/>
  <c r="S232" i="10"/>
  <c r="I232" i="10" s="1"/>
  <c r="K232" i="10" s="1"/>
  <c r="L236" i="10"/>
  <c r="S240" i="10"/>
  <c r="I240" i="10" s="1"/>
  <c r="F120" i="13" s="1"/>
  <c r="S241" i="10"/>
  <c r="I241" i="10" s="1"/>
  <c r="K241" i="10" s="1"/>
  <c r="S212" i="10"/>
  <c r="I212" i="10" s="1"/>
  <c r="L222" i="10"/>
  <c r="L229" i="10"/>
  <c r="L235" i="10"/>
  <c r="S225" i="10"/>
  <c r="I225" i="10" s="1"/>
  <c r="K225" i="10" s="1"/>
  <c r="S192" i="10"/>
  <c r="I192" i="10" s="1"/>
  <c r="S224" i="10"/>
  <c r="I224" i="10" s="1"/>
  <c r="F113" i="13" s="1"/>
  <c r="S228" i="10"/>
  <c r="I228" i="10" s="1"/>
  <c r="K228" i="10" s="1"/>
  <c r="L230" i="10"/>
  <c r="L255" i="10"/>
  <c r="L182" i="10"/>
  <c r="S204" i="10"/>
  <c r="I204" i="10" s="1"/>
  <c r="L214" i="10"/>
  <c r="Y226" i="10"/>
  <c r="Z226" i="10" s="1"/>
  <c r="AA226" i="10" s="1"/>
  <c r="AB226" i="10" s="1"/>
  <c r="U238" i="10" s="1"/>
  <c r="Y224" i="10"/>
  <c r="Z224" i="10" s="1"/>
  <c r="L226" i="10"/>
  <c r="S234" i="10"/>
  <c r="I234" i="10" s="1"/>
  <c r="F117" i="13" s="1"/>
  <c r="L243" i="10"/>
  <c r="H125" i="13" a="1"/>
  <c r="H125" i="13" s="1"/>
  <c r="L250" i="10"/>
  <c r="H135" i="13" a="1"/>
  <c r="H135" i="13" s="1"/>
  <c r="L270" i="10"/>
  <c r="S271" i="10"/>
  <c r="I271" i="10" s="1"/>
  <c r="K271" i="10" s="1"/>
  <c r="S294" i="10"/>
  <c r="I294" i="10" s="1"/>
  <c r="K294" i="10" s="1"/>
  <c r="S295" i="10"/>
  <c r="I295" i="10" s="1"/>
  <c r="F147" i="13" s="1"/>
  <c r="H155" i="13" a="1"/>
  <c r="H155" i="13" s="1"/>
  <c r="L310" i="10"/>
  <c r="L297" i="10"/>
  <c r="S320" i="10"/>
  <c r="I320" i="10" s="1"/>
  <c r="K320" i="10" s="1"/>
  <c r="S321" i="10"/>
  <c r="I321" i="10" s="1"/>
  <c r="F160" i="13" s="1"/>
  <c r="S306" i="10"/>
  <c r="I306" i="10" s="1"/>
  <c r="F153" i="13" s="1"/>
  <c r="H137" i="13" a="1"/>
  <c r="H137" i="13" s="1"/>
  <c r="L274" i="10"/>
  <c r="H139" i="13" a="1"/>
  <c r="H139" i="13" s="1"/>
  <c r="L278" i="10"/>
  <c r="L282" i="10"/>
  <c r="L296" i="10"/>
  <c r="S266" i="10"/>
  <c r="I266" i="10" s="1"/>
  <c r="F133" i="13" s="1"/>
  <c r="S284" i="10"/>
  <c r="I284" i="10" s="1"/>
  <c r="K284" i="10" s="1"/>
  <c r="H160" i="13" a="1"/>
  <c r="H160" i="13" s="1"/>
  <c r="L320" i="10"/>
  <c r="H161" i="13" a="1"/>
  <c r="H161" i="13" s="1"/>
  <c r="L322" i="10"/>
  <c r="S370" i="10"/>
  <c r="I370" i="10" s="1"/>
  <c r="K370" i="10" s="1"/>
  <c r="S372" i="10"/>
  <c r="I372" i="10" s="1"/>
  <c r="K372" i="10" s="1"/>
  <c r="S371" i="10"/>
  <c r="I371" i="10" s="1"/>
  <c r="F184" i="13" s="1"/>
  <c r="S244" i="10"/>
  <c r="I244" i="10" s="1"/>
  <c r="F122" i="13" s="1"/>
  <c r="L268" i="10"/>
  <c r="S272" i="10"/>
  <c r="I272" i="10" s="1"/>
  <c r="F136" i="13" s="1"/>
  <c r="S276" i="10"/>
  <c r="I276" i="10" s="1"/>
  <c r="F138" i="13" s="1"/>
  <c r="S280" i="10"/>
  <c r="I280" i="10" s="1"/>
  <c r="K280" i="10" s="1"/>
  <c r="L295" i="10"/>
  <c r="S297" i="10"/>
  <c r="I297" i="10" s="1"/>
  <c r="K297" i="10" s="1"/>
  <c r="Z307" i="10"/>
  <c r="AA307" i="10" s="1"/>
  <c r="AB307" i="10" s="1"/>
  <c r="U309" i="10" s="1"/>
  <c r="L260" i="10"/>
  <c r="S318" i="10"/>
  <c r="I318" i="10" s="1"/>
  <c r="K318" i="10" s="1"/>
  <c r="S288" i="10"/>
  <c r="I288" i="10" s="1"/>
  <c r="F144" i="13" s="1"/>
  <c r="H154" i="13" a="1"/>
  <c r="H154" i="13" s="1"/>
  <c r="L308" i="10"/>
  <c r="L317" i="10"/>
  <c r="S304" i="10"/>
  <c r="I304" i="10" s="1"/>
  <c r="K304" i="10" s="1"/>
  <c r="L258" i="10"/>
  <c r="L246" i="10"/>
  <c r="H136" i="13" a="1"/>
  <c r="H136" i="13" s="1"/>
  <c r="L272" i="10"/>
  <c r="H138" i="13" a="1"/>
  <c r="H138" i="13" s="1"/>
  <c r="L276" i="10"/>
  <c r="L280" i="10"/>
  <c r="H146" i="13" a="1"/>
  <c r="H146" i="13" s="1"/>
  <c r="L292" i="10"/>
  <c r="L319" i="10"/>
  <c r="L293" i="10"/>
  <c r="H153" i="13" a="1"/>
  <c r="H153" i="13" s="1"/>
  <c r="L306" i="10"/>
  <c r="Y270" i="10"/>
  <c r="Z270" i="10" s="1"/>
  <c r="H145" i="13" a="1"/>
  <c r="H145" i="13" s="1"/>
  <c r="L290" i="10"/>
  <c r="S342" i="10"/>
  <c r="I342" i="10" s="1"/>
  <c r="K342" i="10" s="1"/>
  <c r="S341" i="10"/>
  <c r="I341" i="10" s="1"/>
  <c r="F170" i="13" s="1"/>
  <c r="S326" i="10"/>
  <c r="I326" i="10" s="1"/>
  <c r="F163" i="13" s="1"/>
  <c r="S328" i="10"/>
  <c r="I328" i="10" s="1"/>
  <c r="K328" i="10" s="1"/>
  <c r="L361" i="10"/>
  <c r="Y366" i="10"/>
  <c r="Z366" i="10" s="1"/>
  <c r="AA367" i="10" s="1"/>
  <c r="AB367" i="10" s="1"/>
  <c r="S397" i="10"/>
  <c r="I397" i="10" s="1"/>
  <c r="K397" i="10" s="1"/>
  <c r="S396" i="10"/>
  <c r="I396" i="10" s="1"/>
  <c r="K396" i="10" s="1"/>
  <c r="S398" i="10"/>
  <c r="I398" i="10" s="1"/>
  <c r="F194" i="13" s="1"/>
  <c r="H162" i="13" a="1"/>
  <c r="H162" i="13" s="1"/>
  <c r="L324" i="10"/>
  <c r="L336" i="10"/>
  <c r="Y367" i="10"/>
  <c r="Z367" i="10" s="1"/>
  <c r="S381" i="10"/>
  <c r="I381" i="10" s="1"/>
  <c r="K381" i="10" s="1"/>
  <c r="S382" i="10"/>
  <c r="I382" i="10" s="1"/>
  <c r="F187" i="13" s="1"/>
  <c r="Y334" i="10"/>
  <c r="Z334" i="10" s="1"/>
  <c r="AA333" i="10" s="1"/>
  <c r="AB333" i="10" s="1"/>
  <c r="U336" i="10" s="1"/>
  <c r="L325" i="10"/>
  <c r="Y338" i="10"/>
  <c r="Z338" i="10" s="1"/>
  <c r="AA337" i="10" s="1"/>
  <c r="AB337" i="10" s="1"/>
  <c r="U471" i="10" s="1"/>
  <c r="L354" i="10"/>
  <c r="S378" i="10"/>
  <c r="I378" i="10" s="1"/>
  <c r="K378" i="10" s="1"/>
  <c r="S380" i="10"/>
  <c r="I380" i="10" s="1"/>
  <c r="F186" i="13" s="1"/>
  <c r="S384" i="10"/>
  <c r="I384" i="10" s="1"/>
  <c r="F188" i="13" s="1"/>
  <c r="S383" i="10"/>
  <c r="I383" i="10" s="1"/>
  <c r="K383" i="10" s="1"/>
  <c r="S302" i="10"/>
  <c r="I302" i="10" s="1"/>
  <c r="F151" i="13" s="1"/>
  <c r="H152" i="13" a="1"/>
  <c r="H152" i="13" s="1"/>
  <c r="L304" i="10"/>
  <c r="S312" i="10"/>
  <c r="I312" i="10" s="1"/>
  <c r="K312" i="10" s="1"/>
  <c r="Y333" i="10"/>
  <c r="Z333" i="10" s="1"/>
  <c r="H147" i="13" a="1"/>
  <c r="H147" i="13" s="1"/>
  <c r="L294" i="10"/>
  <c r="L311" i="10"/>
  <c r="L327" i="10"/>
  <c r="S361" i="10"/>
  <c r="I361" i="10" s="1"/>
  <c r="K361" i="10" s="1"/>
  <c r="S377" i="10"/>
  <c r="I377" i="10" s="1"/>
  <c r="K377" i="10" s="1"/>
  <c r="L318" i="10"/>
  <c r="S368" i="10"/>
  <c r="I368" i="10" s="1"/>
  <c r="F183" i="13" s="1"/>
  <c r="S369" i="10"/>
  <c r="I369" i="10" s="1"/>
  <c r="K369" i="10" s="1"/>
  <c r="S359" i="10"/>
  <c r="I359" i="10" s="1"/>
  <c r="K359" i="10" s="1"/>
  <c r="H156" i="13" a="1"/>
  <c r="H156" i="13" s="1"/>
  <c r="L312" i="10"/>
  <c r="S324" i="10"/>
  <c r="I324" i="10" s="1"/>
  <c r="F162" i="13" s="1"/>
  <c r="H164" i="13" a="1"/>
  <c r="H164" i="13" s="1"/>
  <c r="L329" i="10"/>
  <c r="L334" i="10"/>
  <c r="H170" i="13" a="1"/>
  <c r="H170" i="13" s="1"/>
  <c r="L341" i="10"/>
  <c r="H171" i="13" a="1"/>
  <c r="H171" i="13" s="1"/>
  <c r="L343" i="10"/>
  <c r="S357" i="10"/>
  <c r="I357" i="10" s="1"/>
  <c r="F178" i="13" s="1"/>
  <c r="L284" i="10"/>
  <c r="H151" i="13" a="1"/>
  <c r="H151" i="13" s="1"/>
  <c r="L302" i="10"/>
  <c r="H172" i="13" a="1"/>
  <c r="H172" i="13" s="1"/>
  <c r="L345" i="10"/>
  <c r="Y348" i="10"/>
  <c r="Z348" i="10" s="1"/>
  <c r="S310" i="10"/>
  <c r="I310" i="10" s="1"/>
  <c r="F155" i="13" s="1"/>
  <c r="S325" i="10"/>
  <c r="I325" i="10" s="1"/>
  <c r="K325" i="10" s="1"/>
  <c r="S338" i="10"/>
  <c r="I338" i="10" s="1"/>
  <c r="K338" i="10" s="1"/>
  <c r="S351" i="10"/>
  <c r="I351" i="10" s="1"/>
  <c r="F175" i="13" s="1"/>
  <c r="Y358" i="10"/>
  <c r="Z358" i="10" s="1"/>
  <c r="H184" i="13" a="1"/>
  <c r="H184" i="13" s="1"/>
  <c r="L370" i="10"/>
  <c r="H183" i="13" a="1"/>
  <c r="H183" i="13" s="1"/>
  <c r="L368" i="10"/>
  <c r="S401" i="10"/>
  <c r="I401" i="10" s="1"/>
  <c r="K401" i="10" s="1"/>
  <c r="H198" i="13" a="1"/>
  <c r="H198" i="13" s="1"/>
  <c r="L406" i="10"/>
  <c r="H201" i="13" a="1"/>
  <c r="H201" i="13" s="1"/>
  <c r="L412" i="10"/>
  <c r="S421" i="10"/>
  <c r="I421" i="10" s="1"/>
  <c r="K421" i="10" s="1"/>
  <c r="H203" i="13" a="1"/>
  <c r="H203" i="13" s="1"/>
  <c r="H182" i="13" a="1"/>
  <c r="H182" i="13" s="1"/>
  <c r="L366" i="10"/>
  <c r="S394" i="10"/>
  <c r="I394" i="10" s="1"/>
  <c r="K394" i="10" s="1"/>
  <c r="S408" i="10"/>
  <c r="I408" i="10" s="1"/>
  <c r="F199" i="13" s="1"/>
  <c r="S385" i="10"/>
  <c r="I385" i="10" s="1"/>
  <c r="K385" i="10" s="1"/>
  <c r="H150" i="13" a="1"/>
  <c r="H150" i="13" s="1"/>
  <c r="L300" i="10"/>
  <c r="H158" i="13" a="1"/>
  <c r="H158" i="13" s="1"/>
  <c r="L316" i="10"/>
  <c r="H181" i="13" a="1"/>
  <c r="H181" i="13" s="1"/>
  <c r="L364" i="10"/>
  <c r="S376" i="10"/>
  <c r="I376" i="10" s="1"/>
  <c r="K376" i="10" s="1"/>
  <c r="L377" i="10"/>
  <c r="L393" i="10"/>
  <c r="H194" i="13" a="1"/>
  <c r="H194" i="13" s="1"/>
  <c r="L396" i="10"/>
  <c r="L413" i="10"/>
  <c r="L422" i="10"/>
  <c r="S410" i="10"/>
  <c r="I410" i="10" s="1"/>
  <c r="F200" i="13" s="1"/>
  <c r="L416" i="10"/>
  <c r="H149" i="13" a="1"/>
  <c r="H149" i="13" s="1"/>
  <c r="L298" i="10"/>
  <c r="H157" i="13" a="1"/>
  <c r="H157" i="13" s="1"/>
  <c r="L314" i="10"/>
  <c r="H180" i="13" a="1"/>
  <c r="H180" i="13" s="1"/>
  <c r="L362" i="10"/>
  <c r="Y380" i="10"/>
  <c r="Z380" i="10" s="1"/>
  <c r="L391" i="10"/>
  <c r="H197" i="13" a="1"/>
  <c r="H197" i="13" s="1"/>
  <c r="L404" i="10"/>
  <c r="S424" i="10"/>
  <c r="I424" i="10" s="1"/>
  <c r="F205" i="13" s="1"/>
  <c r="Y411" i="10"/>
  <c r="Z411" i="10" s="1"/>
  <c r="AA411" i="10" s="1"/>
  <c r="AB411" i="10" s="1"/>
  <c r="U412" i="10" s="1"/>
  <c r="Y410" i="10"/>
  <c r="Z410" i="10" s="1"/>
  <c r="L357" i="10"/>
  <c r="H179" i="13" a="1"/>
  <c r="H179" i="13" s="1"/>
  <c r="L360" i="10"/>
  <c r="L373" i="10"/>
  <c r="Y378" i="10"/>
  <c r="Z378" i="10" s="1"/>
  <c r="AA378" i="10" s="1"/>
  <c r="AB378" i="10" s="1"/>
  <c r="H119" i="7" s="1"/>
  <c r="L389" i="10"/>
  <c r="H199" i="13" a="1"/>
  <c r="H199" i="13" s="1"/>
  <c r="L408" i="10"/>
  <c r="S395" i="10"/>
  <c r="I395" i="10" s="1"/>
  <c r="K395" i="10" s="1"/>
  <c r="H163" i="13" a="1"/>
  <c r="H163" i="13" s="1"/>
  <c r="L326" i="10"/>
  <c r="H196" i="13" a="1"/>
  <c r="H196" i="13" s="1"/>
  <c r="L402" i="10"/>
  <c r="L432" i="10"/>
  <c r="S426" i="10"/>
  <c r="I426" i="10" s="1"/>
  <c r="F206" i="13" s="1"/>
  <c r="S429" i="10"/>
  <c r="I429" i="10" s="1"/>
  <c r="F208" i="13" s="1"/>
  <c r="Y457" i="10"/>
  <c r="Y456" i="10"/>
  <c r="Z456" i="10" s="1"/>
  <c r="Y450" i="10"/>
  <c r="Z450" i="10" s="1"/>
  <c r="L452" i="10"/>
  <c r="L442" i="10"/>
  <c r="L458" i="10"/>
  <c r="S427" i="10"/>
  <c r="I427" i="10" s="1"/>
  <c r="F207" i="13" s="1"/>
  <c r="S447" i="10"/>
  <c r="I447" i="10" s="1"/>
  <c r="K447" i="10" s="1"/>
  <c r="S420" i="10"/>
  <c r="I420" i="10" s="1"/>
  <c r="K420" i="10" s="1"/>
  <c r="S454" i="10"/>
  <c r="I454" i="10" s="1"/>
  <c r="F219" i="13" s="1"/>
  <c r="S477" i="10"/>
  <c r="I477" i="10" s="1"/>
  <c r="F229" i="13" s="1"/>
  <c r="S476" i="10"/>
  <c r="I476" i="10" s="1"/>
  <c r="K476" i="10" s="1"/>
  <c r="S475" i="10"/>
  <c r="I475" i="10" s="1"/>
  <c r="K475" i="10" s="1"/>
  <c r="L438" i="10"/>
  <c r="H10" i="13"/>
  <c r="V10" i="13"/>
  <c r="Q48" i="11"/>
  <c r="P48" i="11"/>
  <c r="S452" i="10"/>
  <c r="I452" i="10" s="1"/>
  <c r="K452" i="10" s="1"/>
  <c r="L456" i="10"/>
  <c r="S423" i="10"/>
  <c r="I423" i="10" s="1"/>
  <c r="K423" i="10" s="1"/>
  <c r="L434" i="10"/>
  <c r="S469" i="10"/>
  <c r="I469" i="10" s="1"/>
  <c r="K469" i="10" s="1"/>
  <c r="S468" i="10"/>
  <c r="I468" i="10" s="1"/>
  <c r="F226" i="13" s="1"/>
  <c r="S442" i="10"/>
  <c r="I442" i="10" s="1"/>
  <c r="K442" i="10" s="1"/>
  <c r="S440" i="10"/>
  <c r="I440" i="10" s="1"/>
  <c r="K440" i="10" s="1"/>
  <c r="S460" i="10"/>
  <c r="I460" i="10" s="1"/>
  <c r="F222" i="13" s="1"/>
  <c r="S483" i="10"/>
  <c r="I483" i="10" s="1"/>
  <c r="K483" i="10" s="1"/>
  <c r="S481" i="10"/>
  <c r="I481" i="10" s="1"/>
  <c r="F231" i="13" s="1"/>
  <c r="S457" i="10"/>
  <c r="I457" i="10" s="1"/>
  <c r="K457" i="10" s="1"/>
  <c r="Q43" i="11"/>
  <c r="P43" i="11"/>
  <c r="R43" i="11" s="1"/>
  <c r="S472" i="10"/>
  <c r="I472" i="10" s="1"/>
  <c r="K472" i="10" s="1"/>
  <c r="L484" i="10"/>
  <c r="S491" i="10"/>
  <c r="I491" i="10" s="1"/>
  <c r="F235" i="13" s="1"/>
  <c r="S492" i="10"/>
  <c r="I492" i="10" s="1"/>
  <c r="K492" i="10" s="1"/>
  <c r="R33" i="11"/>
  <c r="V13" i="13"/>
  <c r="G14" i="13"/>
  <c r="H14" i="13" s="1"/>
  <c r="P49" i="11"/>
  <c r="S470" i="10"/>
  <c r="I470" i="10" s="1"/>
  <c r="F227" i="13" s="1"/>
  <c r="S478" i="10"/>
  <c r="I478" i="10" s="1"/>
  <c r="K478" i="10" s="1"/>
  <c r="Q49" i="11"/>
  <c r="G12" i="13"/>
  <c r="H12" i="13" s="1"/>
  <c r="Q15" i="13"/>
  <c r="Q16" i="13"/>
  <c r="T16" i="13" s="1"/>
  <c r="Q44" i="11"/>
  <c r="P44" i="11"/>
  <c r="H20" i="12"/>
  <c r="J20" i="12" s="1"/>
  <c r="K20" i="12" s="1"/>
  <c r="O25" i="12" s="1"/>
  <c r="Q9" i="13"/>
  <c r="T9" i="13" s="1"/>
  <c r="L490" i="10"/>
  <c r="S494" i="10"/>
  <c r="I494" i="10" s="1"/>
  <c r="F236" i="13" s="1"/>
  <c r="I20" i="12"/>
  <c r="V9" i="13"/>
  <c r="H229" i="13" a="1"/>
  <c r="H229" i="13" s="1"/>
  <c r="L480" i="10"/>
  <c r="R9" i="11"/>
  <c r="P35" i="11"/>
  <c r="H19" i="12"/>
  <c r="K22" i="12"/>
  <c r="O22" i="12" s="1"/>
  <c r="Q10" i="13"/>
  <c r="O20" i="13"/>
  <c r="G20" i="13"/>
  <c r="H20" i="13" s="1"/>
  <c r="S450" i="10"/>
  <c r="I450" i="10" s="1"/>
  <c r="F217" i="13" s="1"/>
  <c r="L460" i="10"/>
  <c r="S466" i="10"/>
  <c r="I466" i="10" s="1"/>
  <c r="K466" i="10" s="1"/>
  <c r="S473" i="10"/>
  <c r="I473" i="10" s="1"/>
  <c r="F228" i="13"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L492" i="10"/>
  <c r="Q31" i="11"/>
  <c r="AH8" i="13"/>
  <c r="L475" i="10"/>
  <c r="L481" i="10"/>
  <c r="S484" i="10"/>
  <c r="I484" i="10" s="1"/>
  <c r="K484" i="10" s="1"/>
  <c r="P31" i="1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F234" i="13" s="1"/>
  <c r="Y374" i="13"/>
  <c r="Y358" i="13"/>
  <c r="Y342" i="13"/>
  <c r="Y437" i="13"/>
  <c r="Y421" i="13"/>
  <c r="Y405" i="13"/>
  <c r="Y389" i="13"/>
  <c r="Y373" i="13"/>
  <c r="Y444" i="13"/>
  <c r="Y428" i="13"/>
  <c r="Y412" i="13"/>
  <c r="Y396" i="13"/>
  <c r="Y380" i="13"/>
  <c r="Y364" i="13"/>
  <c r="Y348" i="13"/>
  <c r="Y332"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39" i="13"/>
  <c r="Y367" i="13"/>
  <c r="Y355" i="13"/>
  <c r="Y344" i="13"/>
  <c r="Y360" i="13"/>
  <c r="Y346" i="13"/>
  <c r="Y369" i="13"/>
  <c r="Y341" i="13"/>
  <c r="Y357" i="13"/>
  <c r="Y376" i="13"/>
  <c r="Y343" i="13"/>
  <c r="Y351" i="13"/>
  <c r="Y335" i="13"/>
  <c r="Y353" i="13"/>
  <c r="Y337" i="13"/>
  <c r="AG19" i="13"/>
  <c r="AG11" i="13"/>
  <c r="AH18" i="13"/>
  <c r="AH10" i="13"/>
  <c r="AH17" i="13"/>
  <c r="AH9" i="13"/>
  <c r="AG17" i="13"/>
  <c r="AH19" i="13"/>
  <c r="AG10" i="13"/>
  <c r="AG14" i="13"/>
  <c r="AH11" i="13"/>
  <c r="AH7" i="13"/>
  <c r="AH20" i="13"/>
  <c r="AG20" i="13"/>
  <c r="AG15" i="13"/>
  <c r="AH12" i="13"/>
  <c r="AG8" i="13"/>
  <c r="AG12" i="13"/>
  <c r="I19" i="12"/>
  <c r="V19" i="13"/>
  <c r="R55" i="11"/>
  <c r="Q11" i="13"/>
  <c r="Q17" i="13"/>
  <c r="R17" i="13" s="1"/>
  <c r="V8" i="13"/>
  <c r="V16" i="13"/>
  <c r="Y379" i="13"/>
  <c r="Y386" i="13"/>
  <c r="Y402" i="13"/>
  <c r="Y418" i="13"/>
  <c r="Y434"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47" i="13"/>
  <c r="Y361" i="13"/>
  <c r="Y393" i="13"/>
  <c r="Y397" i="13"/>
  <c r="Y409" i="13"/>
  <c r="Y413" i="13"/>
  <c r="Y425" i="13"/>
  <c r="Y429" i="13"/>
  <c r="Y382" i="13"/>
  <c r="Y375" i="13"/>
  <c r="Y345" i="13"/>
  <c r="Y441" i="13"/>
  <c r="Y356" i="13"/>
  <c r="Y359" i="13"/>
  <c r="Y365" i="13"/>
  <c r="Y368" i="13"/>
  <c r="Y390" i="13"/>
  <c r="Y398" i="13"/>
  <c r="Y406" i="13"/>
  <c r="Y414" i="13"/>
  <c r="Y422" i="13"/>
  <c r="Y430" i="13"/>
  <c r="Y340" i="13"/>
  <c r="Y438" i="13"/>
  <c r="G330" i="13" l="1"/>
  <c r="I330" i="13" s="1"/>
  <c r="Y330" i="13" s="1"/>
  <c r="G329" i="13"/>
  <c r="I329" i="13" s="1"/>
  <c r="Y329" i="13" s="1"/>
  <c r="K719" i="10"/>
  <c r="F328" i="13"/>
  <c r="G328" i="13" s="1"/>
  <c r="I328" i="13" s="1"/>
  <c r="Y328" i="13" s="1"/>
  <c r="K717" i="10"/>
  <c r="F327" i="13"/>
  <c r="G327" i="13" s="1"/>
  <c r="I327" i="13" s="1"/>
  <c r="Y327" i="13" s="1"/>
  <c r="K713" i="10"/>
  <c r="F325" i="13"/>
  <c r="G325" i="13" s="1"/>
  <c r="I325" i="13" s="1"/>
  <c r="Y325" i="13" s="1"/>
  <c r="F324" i="13"/>
  <c r="G324" i="13" s="1"/>
  <c r="I324" i="13" s="1"/>
  <c r="Y324" i="13" s="1"/>
  <c r="K711" i="10"/>
  <c r="G38" i="13"/>
  <c r="I38" i="13" s="1"/>
  <c r="Y38" i="13" s="1"/>
  <c r="S20" i="13"/>
  <c r="G79" i="13"/>
  <c r="I79" i="13" s="1"/>
  <c r="Y79" i="13" s="1"/>
  <c r="G118" i="13"/>
  <c r="I118" i="13" s="1"/>
  <c r="Y118" i="13" s="1"/>
  <c r="G85" i="13"/>
  <c r="I85" i="13" s="1"/>
  <c r="Y85" i="13" s="1"/>
  <c r="G59" i="13"/>
  <c r="I59" i="13" s="1"/>
  <c r="Y59" i="13" s="1"/>
  <c r="G189" i="13"/>
  <c r="I189" i="13" s="1"/>
  <c r="Y189" i="13" s="1"/>
  <c r="G174" i="13"/>
  <c r="I174" i="13" s="1"/>
  <c r="Y174" i="13" s="1"/>
  <c r="G173" i="13"/>
  <c r="I173" i="13" s="1"/>
  <c r="Y173" i="13" s="1"/>
  <c r="G190" i="13"/>
  <c r="I190" i="13" s="1"/>
  <c r="Y190" i="13" s="1"/>
  <c r="K710" i="10"/>
  <c r="F323" i="13"/>
  <c r="G323" i="13" s="1"/>
  <c r="I323" i="13" s="1"/>
  <c r="Y323" i="13" s="1"/>
  <c r="F322" i="13"/>
  <c r="G322" i="13" s="1"/>
  <c r="I322" i="13" s="1"/>
  <c r="Y322" i="13" s="1"/>
  <c r="K706" i="10"/>
  <c r="F321" i="13"/>
  <c r="G321" i="13" s="1"/>
  <c r="I321" i="13" s="1"/>
  <c r="Y321" i="13" s="1"/>
  <c r="G195" i="13"/>
  <c r="I195" i="13" s="1"/>
  <c r="Y195" i="13" s="1"/>
  <c r="G169" i="13"/>
  <c r="I169" i="13" s="1"/>
  <c r="Y169" i="13" s="1"/>
  <c r="F320" i="13"/>
  <c r="G320" i="13" s="1"/>
  <c r="I320" i="13" s="1"/>
  <c r="Y320" i="13" s="1"/>
  <c r="F318" i="13"/>
  <c r="G318" i="13" s="1"/>
  <c r="I318" i="13" s="1"/>
  <c r="Y318" i="13" s="1"/>
  <c r="G185" i="13"/>
  <c r="I185" i="13" s="1"/>
  <c r="Y185" i="13" s="1"/>
  <c r="K702" i="10"/>
  <c r="F319" i="13"/>
  <c r="G319" i="13" s="1"/>
  <c r="I319" i="13" s="1"/>
  <c r="Y319" i="13" s="1"/>
  <c r="K448" i="10"/>
  <c r="K51" i="10"/>
  <c r="O15" i="13"/>
  <c r="H15" i="13"/>
  <c r="K112" i="10"/>
  <c r="K696" i="10"/>
  <c r="F317" i="13"/>
  <c r="G317" i="13" s="1"/>
  <c r="I317" i="13" s="1"/>
  <c r="Y317" i="13" s="1"/>
  <c r="K316" i="10"/>
  <c r="K349" i="10"/>
  <c r="K220" i="10"/>
  <c r="F106" i="13"/>
  <c r="G106" i="13" s="1"/>
  <c r="I106" i="13" s="1"/>
  <c r="Y106" i="13" s="1"/>
  <c r="AA122" i="10"/>
  <c r="AB122" i="10" s="1"/>
  <c r="U133" i="10" s="1"/>
  <c r="Z133" i="10" s="1"/>
  <c r="K121" i="10"/>
  <c r="K693" i="10"/>
  <c r="F316" i="13"/>
  <c r="G316" i="13" s="1"/>
  <c r="I316" i="13" s="1"/>
  <c r="Y316" i="13" s="1"/>
  <c r="K347" i="10"/>
  <c r="F101" i="13"/>
  <c r="G101" i="13" s="1"/>
  <c r="I101" i="13" s="1"/>
  <c r="Y101" i="13" s="1"/>
  <c r="K323" i="10"/>
  <c r="F315" i="13"/>
  <c r="G315" i="13" s="1"/>
  <c r="I315" i="13" s="1"/>
  <c r="Y315" i="13" s="1"/>
  <c r="K49" i="10"/>
  <c r="O18" i="13"/>
  <c r="K388" i="10"/>
  <c r="F107" i="13"/>
  <c r="G107" i="13" s="1"/>
  <c r="I107" i="13" s="1"/>
  <c r="Y107" i="13" s="1"/>
  <c r="K340" i="10"/>
  <c r="K373" i="10"/>
  <c r="F108" i="13"/>
  <c r="G108" i="13" s="1"/>
  <c r="I108" i="13" s="1"/>
  <c r="Y108" i="13" s="1"/>
  <c r="K386" i="10"/>
  <c r="F110" i="13"/>
  <c r="G110" i="13" s="1"/>
  <c r="I110" i="13" s="1"/>
  <c r="Y110" i="13" s="1"/>
  <c r="F109" i="13"/>
  <c r="F97" i="13"/>
  <c r="G97" i="13" s="1"/>
  <c r="I97" i="13" s="1"/>
  <c r="Y97" i="13" s="1"/>
  <c r="F105" i="13"/>
  <c r="F99" i="13"/>
  <c r="G99" i="13" s="1"/>
  <c r="I99" i="13" s="1"/>
  <c r="Y99" i="13" s="1"/>
  <c r="K363" i="10"/>
  <c r="F104" i="13"/>
  <c r="K216" i="10"/>
  <c r="K132" i="10"/>
  <c r="F95" i="13"/>
  <c r="G95" i="13" s="1"/>
  <c r="I95" i="13" s="1"/>
  <c r="Y95" i="13" s="1"/>
  <c r="F98" i="13"/>
  <c r="K235" i="10"/>
  <c r="F102" i="13"/>
  <c r="G102" i="13" s="1"/>
  <c r="I102" i="13" s="1"/>
  <c r="Y102" i="13" s="1"/>
  <c r="K399" i="10"/>
  <c r="F100" i="13"/>
  <c r="G100" i="13" s="1"/>
  <c r="I100" i="13" s="1"/>
  <c r="Y100" i="13" s="1"/>
  <c r="K360" i="10"/>
  <c r="F179" i="13"/>
  <c r="G179" i="13" s="1"/>
  <c r="I179" i="13" s="1"/>
  <c r="Y179" i="13" s="1"/>
  <c r="K315" i="10"/>
  <c r="F157" i="13"/>
  <c r="G157" i="13" s="1"/>
  <c r="I157" i="13" s="1"/>
  <c r="Y157" i="13" s="1"/>
  <c r="K283" i="10"/>
  <c r="F141" i="13"/>
  <c r="G141" i="13" s="1"/>
  <c r="I141" i="13" s="1"/>
  <c r="Y141" i="13" s="1"/>
  <c r="F121" i="13"/>
  <c r="G121" i="13" s="1"/>
  <c r="I121" i="13" s="1"/>
  <c r="Y121" i="13" s="1"/>
  <c r="K109" i="10"/>
  <c r="F73" i="13"/>
  <c r="G73" i="13" s="1"/>
  <c r="I73" i="13" s="1"/>
  <c r="Y73" i="13" s="1"/>
  <c r="F30" i="13"/>
  <c r="G30" i="13" s="1"/>
  <c r="I30" i="13" s="1"/>
  <c r="Y30" i="13" s="1"/>
  <c r="K467" i="10"/>
  <c r="F225" i="13"/>
  <c r="G225" i="13" s="1"/>
  <c r="I225" i="13" s="1"/>
  <c r="Y225" i="13" s="1"/>
  <c r="F92" i="13"/>
  <c r="G92" i="13" s="1"/>
  <c r="I92" i="13" s="1"/>
  <c r="Y92" i="13" s="1"/>
  <c r="F214" i="13"/>
  <c r="G214" i="13" s="1"/>
  <c r="I214" i="13" s="1"/>
  <c r="Y214" i="13" s="1"/>
  <c r="F126" i="13"/>
  <c r="G126" i="13" s="1"/>
  <c r="I126" i="13" s="1"/>
  <c r="Y126" i="13" s="1"/>
  <c r="K188" i="10"/>
  <c r="F103" i="13"/>
  <c r="G103" i="13" s="1"/>
  <c r="I103" i="13" s="1"/>
  <c r="Y103" i="13" s="1"/>
  <c r="F119" i="13"/>
  <c r="G119" i="13" s="1"/>
  <c r="I119" i="13" s="1"/>
  <c r="Y119" i="13" s="1"/>
  <c r="K142" i="10"/>
  <c r="F90" i="13"/>
  <c r="G90" i="13" s="1"/>
  <c r="I90" i="13" s="1"/>
  <c r="Y90" i="13" s="1"/>
  <c r="K136" i="10"/>
  <c r="F87" i="13"/>
  <c r="G87" i="13" s="1"/>
  <c r="I87" i="13" s="1"/>
  <c r="Y87" i="13" s="1"/>
  <c r="K296" i="10"/>
  <c r="F148" i="13"/>
  <c r="G148" i="13" s="1"/>
  <c r="I148" i="13" s="1"/>
  <c r="Y148" i="13" s="1"/>
  <c r="K138" i="10"/>
  <c r="F88" i="13"/>
  <c r="G88" i="13" s="1"/>
  <c r="I88" i="13" s="1"/>
  <c r="Y88" i="13" s="1"/>
  <c r="K453" i="10"/>
  <c r="F218" i="13"/>
  <c r="G218" i="13" s="1"/>
  <c r="I218" i="13" s="1"/>
  <c r="Y218" i="13" s="1"/>
  <c r="K393" i="10"/>
  <c r="F193" i="13"/>
  <c r="G193" i="13" s="1"/>
  <c r="I193" i="13" s="1"/>
  <c r="Y193" i="13" s="1"/>
  <c r="F191" i="13"/>
  <c r="G191" i="13" s="1"/>
  <c r="I191" i="13" s="1"/>
  <c r="Y191" i="13" s="1"/>
  <c r="K93" i="10"/>
  <c r="F65" i="13"/>
  <c r="G65" i="13" s="1"/>
  <c r="I65" i="13" s="1"/>
  <c r="Y65" i="13" s="1"/>
  <c r="K144" i="10"/>
  <c r="F91" i="13"/>
  <c r="G91" i="13" s="1"/>
  <c r="I91" i="13" s="1"/>
  <c r="Y91" i="13" s="1"/>
  <c r="K463" i="10"/>
  <c r="F223" i="13"/>
  <c r="G223" i="13" s="1"/>
  <c r="I223" i="13" s="1"/>
  <c r="Y223" i="13" s="1"/>
  <c r="F176" i="13"/>
  <c r="G176" i="13" s="1"/>
  <c r="I176" i="13" s="1"/>
  <c r="Y176" i="13" s="1"/>
  <c r="K227" i="10"/>
  <c r="F114" i="13"/>
  <c r="G114" i="13" s="1"/>
  <c r="I114" i="13" s="1"/>
  <c r="Y114" i="13" s="1"/>
  <c r="F78" i="13"/>
  <c r="G78" i="13" s="1"/>
  <c r="I78" i="13" s="1"/>
  <c r="Y78" i="13" s="1"/>
  <c r="R26" i="7"/>
  <c r="E28" i="3"/>
  <c r="K355" i="10"/>
  <c r="F177" i="13"/>
  <c r="G177" i="13" s="1"/>
  <c r="I177" i="13" s="1"/>
  <c r="Y177" i="13" s="1"/>
  <c r="K332" i="10"/>
  <c r="F165" i="13"/>
  <c r="G165" i="13" s="1"/>
  <c r="I165" i="13" s="1"/>
  <c r="Y165" i="13" s="1"/>
  <c r="K300" i="10"/>
  <c r="F150" i="13"/>
  <c r="G150" i="13" s="1"/>
  <c r="I150" i="13" s="1"/>
  <c r="Y150" i="13" s="1"/>
  <c r="F129" i="13"/>
  <c r="G129" i="13" s="1"/>
  <c r="I129" i="13" s="1"/>
  <c r="Y129" i="13" s="1"/>
  <c r="F127" i="13"/>
  <c r="G127" i="13" s="1"/>
  <c r="I127" i="13" s="1"/>
  <c r="Y127" i="13" s="1"/>
  <c r="F115" i="13"/>
  <c r="G115" i="13" s="1"/>
  <c r="I115" i="13" s="1"/>
  <c r="Y115" i="13" s="1"/>
  <c r="F81" i="13"/>
  <c r="G81" i="13" s="1"/>
  <c r="I81" i="13" s="1"/>
  <c r="Y81" i="13" s="1"/>
  <c r="K446" i="10"/>
  <c r="F215" i="13"/>
  <c r="G215" i="13" s="1"/>
  <c r="I215" i="13" s="1"/>
  <c r="Y215" i="13" s="1"/>
  <c r="F213" i="13"/>
  <c r="G213" i="13" s="1"/>
  <c r="I213" i="13" s="1"/>
  <c r="Y213" i="13" s="1"/>
  <c r="K416" i="10"/>
  <c r="F203" i="13"/>
  <c r="G203" i="13" s="1"/>
  <c r="I203" i="13" s="1"/>
  <c r="Y203" i="13" s="1"/>
  <c r="F212" i="13"/>
  <c r="G212" i="13" s="1"/>
  <c r="I212" i="13" s="1"/>
  <c r="Y212" i="13" s="1"/>
  <c r="K160" i="10"/>
  <c r="F96" i="13"/>
  <c r="G96" i="13" s="1"/>
  <c r="I96" i="13" s="1"/>
  <c r="Y96" i="13" s="1"/>
  <c r="K114" i="10"/>
  <c r="F76" i="13"/>
  <c r="G76" i="13" s="1"/>
  <c r="I76" i="13" s="1"/>
  <c r="Y76" i="13" s="1"/>
  <c r="K480" i="10"/>
  <c r="F230" i="13"/>
  <c r="G230" i="13" s="1"/>
  <c r="I230" i="13" s="1"/>
  <c r="Y230" i="13" s="1"/>
  <c r="F70" i="13"/>
  <c r="G70" i="13" s="1"/>
  <c r="I70" i="13" s="1"/>
  <c r="Y70" i="13" s="1"/>
  <c r="K265" i="10"/>
  <c r="F132" i="13"/>
  <c r="G132" i="13" s="1"/>
  <c r="I132" i="13" s="1"/>
  <c r="Y132" i="13" s="1"/>
  <c r="K248" i="10"/>
  <c r="F124" i="13"/>
  <c r="G124" i="13" s="1"/>
  <c r="I124" i="13" s="1"/>
  <c r="Y124" i="13" s="1"/>
  <c r="F82" i="13"/>
  <c r="G82" i="13" s="1"/>
  <c r="I82" i="13" s="1"/>
  <c r="Y82" i="13" s="1"/>
  <c r="F142" i="13"/>
  <c r="G142" i="13" s="1"/>
  <c r="I142" i="13" s="1"/>
  <c r="Y142" i="13" s="1"/>
  <c r="F210" i="13"/>
  <c r="G210" i="13" s="1"/>
  <c r="I210" i="13" s="1"/>
  <c r="Y210" i="13" s="1"/>
  <c r="F63" i="13"/>
  <c r="G63" i="13" s="1"/>
  <c r="I63" i="13" s="1"/>
  <c r="Y63" i="13" s="1"/>
  <c r="F62" i="13"/>
  <c r="G62" i="13" s="1"/>
  <c r="I62" i="13" s="1"/>
  <c r="Y62" i="13" s="1"/>
  <c r="K100" i="10"/>
  <c r="F69" i="13"/>
  <c r="G69" i="13" s="1"/>
  <c r="I69" i="13" s="1"/>
  <c r="Y69" i="13" s="1"/>
  <c r="K47" i="10"/>
  <c r="F43" i="13"/>
  <c r="G43" i="13" s="1"/>
  <c r="I43" i="13" s="1"/>
  <c r="Y43" i="13" s="1"/>
  <c r="K486" i="10"/>
  <c r="F232" i="13"/>
  <c r="G232" i="13" s="1"/>
  <c r="I232" i="13" s="1"/>
  <c r="Y232" i="13" s="1"/>
  <c r="K286" i="10"/>
  <c r="F143" i="13"/>
  <c r="G143" i="13" s="1"/>
  <c r="I143" i="13" s="1"/>
  <c r="Y143" i="13" s="1"/>
  <c r="F128" i="13"/>
  <c r="G128" i="13" s="1"/>
  <c r="I128" i="13" s="1"/>
  <c r="Y128" i="13" s="1"/>
  <c r="F37" i="13"/>
  <c r="G37" i="13" s="1"/>
  <c r="I37" i="13" s="1"/>
  <c r="Y37" i="13" s="1"/>
  <c r="F192" i="13"/>
  <c r="G192" i="13" s="1"/>
  <c r="I192" i="13" s="1"/>
  <c r="Y192" i="13" s="1"/>
  <c r="K104" i="10"/>
  <c r="F71" i="13"/>
  <c r="G71" i="13" s="1"/>
  <c r="I71" i="13" s="1"/>
  <c r="Y71" i="13" s="1"/>
  <c r="F224" i="13"/>
  <c r="G224" i="13" s="1"/>
  <c r="I224" i="13" s="1"/>
  <c r="Y224" i="13" s="1"/>
  <c r="F166" i="13"/>
  <c r="G166" i="13" s="1"/>
  <c r="I166" i="13" s="1"/>
  <c r="Y166" i="13" s="1"/>
  <c r="F80" i="13"/>
  <c r="G80" i="13" s="1"/>
  <c r="I80" i="13" s="1"/>
  <c r="Y80" i="13" s="1"/>
  <c r="F72" i="13"/>
  <c r="G72" i="13" s="1"/>
  <c r="I72" i="13" s="1"/>
  <c r="Y72" i="13" s="1"/>
  <c r="F167" i="13"/>
  <c r="G167" i="13" s="1"/>
  <c r="I167" i="13" s="1"/>
  <c r="Y167" i="13" s="1"/>
  <c r="K260" i="10"/>
  <c r="F130" i="13"/>
  <c r="G130" i="13" s="1"/>
  <c r="I130" i="13" s="1"/>
  <c r="Y130" i="13" s="1"/>
  <c r="K63" i="10"/>
  <c r="F51" i="13"/>
  <c r="G51" i="13" s="1"/>
  <c r="I51" i="13" s="1"/>
  <c r="Y51" i="13" s="1"/>
  <c r="K292" i="10"/>
  <c r="F146" i="13"/>
  <c r="G146" i="13" s="1"/>
  <c r="I146" i="13" s="1"/>
  <c r="Y146" i="13" s="1"/>
  <c r="F211" i="13"/>
  <c r="G211" i="13" s="1"/>
  <c r="I211" i="13" s="1"/>
  <c r="Y211" i="13" s="1"/>
  <c r="K128" i="10"/>
  <c r="F83" i="13"/>
  <c r="G83" i="13" s="1"/>
  <c r="I83" i="13" s="1"/>
  <c r="Y83" i="13" s="1"/>
  <c r="K432" i="10"/>
  <c r="F209" i="13"/>
  <c r="G209" i="13" s="1"/>
  <c r="I209" i="13" s="1"/>
  <c r="Y209" i="13" s="1"/>
  <c r="K97" i="10"/>
  <c r="F67" i="13"/>
  <c r="G67" i="13" s="1"/>
  <c r="I67" i="13" s="1"/>
  <c r="Y67" i="13" s="1"/>
  <c r="F168" i="13"/>
  <c r="G168" i="13" s="1"/>
  <c r="I168" i="13" s="1"/>
  <c r="Y168" i="13" s="1"/>
  <c r="K274" i="10"/>
  <c r="F137" i="13"/>
  <c r="G137" i="13" s="1"/>
  <c r="I137" i="13" s="1"/>
  <c r="Y137" i="13" s="1"/>
  <c r="F86" i="13"/>
  <c r="G86" i="13" s="1"/>
  <c r="I86" i="13" s="1"/>
  <c r="Y86" i="13" s="1"/>
  <c r="K110" i="10"/>
  <c r="F74" i="13"/>
  <c r="G74" i="13" s="1"/>
  <c r="I74" i="13" s="1"/>
  <c r="Y74" i="13" s="1"/>
  <c r="K24" i="10"/>
  <c r="F31" i="13"/>
  <c r="G31" i="13" s="1"/>
  <c r="I31" i="13" s="1"/>
  <c r="Y31" i="13" s="1"/>
  <c r="K98" i="10"/>
  <c r="F68" i="13"/>
  <c r="G68" i="13" s="1"/>
  <c r="I68" i="13" s="1"/>
  <c r="Y68" i="13" s="1"/>
  <c r="K148" i="10"/>
  <c r="F93" i="13"/>
  <c r="G93" i="13" s="1"/>
  <c r="I93" i="13" s="1"/>
  <c r="Y93" i="13" s="1"/>
  <c r="K152" i="10"/>
  <c r="F94" i="13"/>
  <c r="G94" i="13" s="1"/>
  <c r="I94" i="13" s="1"/>
  <c r="Y94" i="13" s="1"/>
  <c r="F60" i="13"/>
  <c r="G60" i="13" s="1"/>
  <c r="I60" i="13" s="1"/>
  <c r="Y60" i="13" s="1"/>
  <c r="F61" i="13"/>
  <c r="G61" i="13" s="1"/>
  <c r="I61" i="13" s="1"/>
  <c r="Y61" i="13" s="1"/>
  <c r="K495" i="10"/>
  <c r="F237" i="13"/>
  <c r="G237" i="13" s="1"/>
  <c r="I237" i="13" s="1"/>
  <c r="Y237" i="13" s="1"/>
  <c r="K498" i="10"/>
  <c r="F238" i="13"/>
  <c r="G238" i="13" s="1"/>
  <c r="I238" i="13" s="1"/>
  <c r="Y238" i="13" s="1"/>
  <c r="K499" i="10"/>
  <c r="F239" i="13"/>
  <c r="G239" i="13" s="1"/>
  <c r="I239" i="13" s="1"/>
  <c r="Y239" i="13" s="1"/>
  <c r="K501" i="10"/>
  <c r="F240" i="13"/>
  <c r="G240" i="13" s="1"/>
  <c r="I240" i="13" s="1"/>
  <c r="Y240" i="13" s="1"/>
  <c r="K505" i="10"/>
  <c r="F242" i="13"/>
  <c r="G242" i="13" s="1"/>
  <c r="I242" i="13" s="1"/>
  <c r="Y242" i="13" s="1"/>
  <c r="K504" i="10"/>
  <c r="F241" i="13"/>
  <c r="G241" i="13" s="1"/>
  <c r="I241" i="13" s="1"/>
  <c r="Y241" i="13" s="1"/>
  <c r="K509" i="10"/>
  <c r="F244" i="13"/>
  <c r="G244" i="13" s="1"/>
  <c r="I244" i="13" s="1"/>
  <c r="Y244" i="13" s="1"/>
  <c r="K529" i="10"/>
  <c r="F251" i="13"/>
  <c r="G251" i="13" s="1"/>
  <c r="I251" i="13" s="1"/>
  <c r="Y251" i="13" s="1"/>
  <c r="K533" i="10"/>
  <c r="F252" i="13"/>
  <c r="G252" i="13" s="1"/>
  <c r="I252" i="13" s="1"/>
  <c r="Y252" i="13" s="1"/>
  <c r="K537" i="10"/>
  <c r="F253" i="13"/>
  <c r="G253" i="13" s="1"/>
  <c r="I253" i="13" s="1"/>
  <c r="Y253" i="13" s="1"/>
  <c r="K543" i="10"/>
  <c r="F256" i="13"/>
  <c r="G256" i="13" s="1"/>
  <c r="I256" i="13" s="1"/>
  <c r="Y256" i="13" s="1"/>
  <c r="K555" i="10"/>
  <c r="F261" i="13"/>
  <c r="G261" i="13" s="1"/>
  <c r="I261" i="13" s="1"/>
  <c r="Y261" i="13" s="1"/>
  <c r="K565" i="10"/>
  <c r="F266" i="13"/>
  <c r="G266" i="13" s="1"/>
  <c r="I266" i="13" s="1"/>
  <c r="Y266" i="13" s="1"/>
  <c r="K588" i="10"/>
  <c r="F273" i="13"/>
  <c r="G273" i="13" s="1"/>
  <c r="I273" i="13" s="1"/>
  <c r="Y273" i="13" s="1"/>
  <c r="K591" i="10"/>
  <c r="F275" i="13"/>
  <c r="G275" i="13" s="1"/>
  <c r="I275" i="13" s="1"/>
  <c r="Y275" i="13" s="1"/>
  <c r="K593" i="10"/>
  <c r="F276" i="13"/>
  <c r="G276" i="13" s="1"/>
  <c r="I276" i="13" s="1"/>
  <c r="Y276" i="13" s="1"/>
  <c r="K595" i="10"/>
  <c r="F277" i="13"/>
  <c r="G277" i="13" s="1"/>
  <c r="I277" i="13" s="1"/>
  <c r="Y277" i="13" s="1"/>
  <c r="K631" i="10"/>
  <c r="F290" i="13"/>
  <c r="G290" i="13" s="1"/>
  <c r="I290" i="13" s="1"/>
  <c r="Y290" i="13" s="1"/>
  <c r="K650" i="10"/>
  <c r="F299" i="13"/>
  <c r="G299" i="13" s="1"/>
  <c r="I299" i="13" s="1"/>
  <c r="Y299" i="13" s="1"/>
  <c r="K655" i="10"/>
  <c r="F301" i="13"/>
  <c r="G301" i="13" s="1"/>
  <c r="I301" i="13" s="1"/>
  <c r="Y301" i="13" s="1"/>
  <c r="K664" i="10"/>
  <c r="F304" i="13"/>
  <c r="G304" i="13" s="1"/>
  <c r="I304" i="13" s="1"/>
  <c r="Y304" i="13" s="1"/>
  <c r="K661" i="10"/>
  <c r="F303" i="13"/>
  <c r="G303" i="13" s="1"/>
  <c r="I303" i="13" s="1"/>
  <c r="Y303" i="13" s="1"/>
  <c r="K675" i="10"/>
  <c r="F308" i="13"/>
  <c r="G308" i="13" s="1"/>
  <c r="I308" i="13" s="1"/>
  <c r="Y308" i="13" s="1"/>
  <c r="K679" i="10"/>
  <c r="F310" i="13"/>
  <c r="G310" i="13" s="1"/>
  <c r="I310" i="13" s="1"/>
  <c r="Y310" i="13" s="1"/>
  <c r="K683" i="10"/>
  <c r="F312" i="13"/>
  <c r="G312" i="13" s="1"/>
  <c r="I312" i="13" s="1"/>
  <c r="Y312" i="13" s="1"/>
  <c r="R35" i="11"/>
  <c r="AN14" i="13"/>
  <c r="R31" i="11"/>
  <c r="R54" i="11"/>
  <c r="AN11" i="13"/>
  <c r="J20" i="13"/>
  <c r="K688" i="10"/>
  <c r="G314" i="13"/>
  <c r="I314" i="13" s="1"/>
  <c r="Y314" i="13" s="1"/>
  <c r="K685" i="10"/>
  <c r="G313" i="13"/>
  <c r="I313" i="13" s="1"/>
  <c r="Y313" i="13" s="1"/>
  <c r="K313" i="10"/>
  <c r="K681" i="10"/>
  <c r="G311" i="13"/>
  <c r="I311" i="13" s="1"/>
  <c r="Y311" i="13" s="1"/>
  <c r="U680" i="10"/>
  <c r="K414" i="10"/>
  <c r="K84" i="10"/>
  <c r="K677" i="10"/>
  <c r="G309" i="13"/>
  <c r="I309" i="13" s="1"/>
  <c r="Y309" i="13" s="1"/>
  <c r="Y660" i="10"/>
  <c r="Y662" i="10"/>
  <c r="Y661" i="10"/>
  <c r="Z661" i="10" s="1"/>
  <c r="K673" i="10"/>
  <c r="G307" i="13"/>
  <c r="I307" i="13" s="1"/>
  <c r="Y307" i="13" s="1"/>
  <c r="K392" i="10"/>
  <c r="K670" i="10"/>
  <c r="G306" i="13"/>
  <c r="I306" i="13" s="1"/>
  <c r="Y306" i="13" s="1"/>
  <c r="K667" i="10"/>
  <c r="G305" i="13"/>
  <c r="I305" i="13" s="1"/>
  <c r="Y305" i="13" s="1"/>
  <c r="K270" i="10"/>
  <c r="K82" i="10"/>
  <c r="K308" i="10"/>
  <c r="AA657" i="10"/>
  <c r="AB657" i="10" s="1"/>
  <c r="U660" i="10" s="1"/>
  <c r="U662" i="10"/>
  <c r="K657" i="10"/>
  <c r="G302" i="13"/>
  <c r="I302" i="13" s="1"/>
  <c r="Y302" i="13" s="1"/>
  <c r="K434" i="10"/>
  <c r="K654" i="10"/>
  <c r="G300" i="13"/>
  <c r="I300" i="13" s="1"/>
  <c r="Y300" i="13" s="1"/>
  <c r="K649" i="10"/>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K633" i="10"/>
  <c r="G291" i="13"/>
  <c r="I291" i="13" s="1"/>
  <c r="Y291" i="13" s="1"/>
  <c r="K257" i="10"/>
  <c r="Z139" i="10"/>
  <c r="AA139" i="10" s="1"/>
  <c r="AB139" i="10" s="1"/>
  <c r="U140" i="10" s="1"/>
  <c r="K630" i="10"/>
  <c r="G289" i="13"/>
  <c r="I289" i="13" s="1"/>
  <c r="Y289" i="13" s="1"/>
  <c r="K364" i="10"/>
  <c r="K456" i="10"/>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K80" i="10"/>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W6" i="10"/>
  <c r="X6" i="10" s="1"/>
  <c r="J6" i="10" s="1"/>
  <c r="M6" i="10" s="1"/>
  <c r="N6" i="10" s="1"/>
  <c r="K564" i="10"/>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K75" i="10"/>
  <c r="K552" i="10"/>
  <c r="G260" i="13"/>
  <c r="I260" i="13" s="1"/>
  <c r="Y260" i="13" s="1"/>
  <c r="K550" i="10"/>
  <c r="G259" i="13"/>
  <c r="I259" i="13" s="1"/>
  <c r="Y259" i="13" s="1"/>
  <c r="K547" i="10"/>
  <c r="G258" i="13"/>
  <c r="I258" i="13" s="1"/>
  <c r="Y258" i="13" s="1"/>
  <c r="K546" i="10"/>
  <c r="G257" i="13"/>
  <c r="I257" i="13" s="1"/>
  <c r="Y257" i="13" s="1"/>
  <c r="K541" i="10"/>
  <c r="G255" i="13"/>
  <c r="I255" i="13" s="1"/>
  <c r="Y255" i="13" s="1"/>
  <c r="K254" i="10"/>
  <c r="K539" i="10"/>
  <c r="G254" i="13"/>
  <c r="I254" i="13" s="1"/>
  <c r="Y254" i="13" s="1"/>
  <c r="U535" i="10"/>
  <c r="U536" i="10"/>
  <c r="U534" i="10"/>
  <c r="AA245" i="10"/>
  <c r="AB245" i="10" s="1"/>
  <c r="U277" i="10" s="1"/>
  <c r="AA529" i="10"/>
  <c r="AB529" i="10" s="1"/>
  <c r="K418" i="10"/>
  <c r="K527" i="10"/>
  <c r="G250" i="13"/>
  <c r="I250" i="13" s="1"/>
  <c r="Y250" i="13" s="1"/>
  <c r="K519" i="10"/>
  <c r="G249" i="13"/>
  <c r="I249" i="13" s="1"/>
  <c r="Y249" i="13" s="1"/>
  <c r="K126" i="10"/>
  <c r="K518" i="10"/>
  <c r="G248" i="13"/>
  <c r="I248" i="13" s="1"/>
  <c r="Y248" i="13" s="1"/>
  <c r="O7" i="13"/>
  <c r="V12" i="13"/>
  <c r="K515" i="10"/>
  <c r="G247" i="13"/>
  <c r="I247" i="13" s="1"/>
  <c r="Y247" i="13" s="1"/>
  <c r="K513" i="10"/>
  <c r="G246" i="13"/>
  <c r="I246" i="13" s="1"/>
  <c r="Y246" i="13" s="1"/>
  <c r="K511" i="10"/>
  <c r="G245" i="13"/>
  <c r="I245" i="13" s="1"/>
  <c r="Y245" i="13" s="1"/>
  <c r="H10" i="5"/>
  <c r="K459" i="10"/>
  <c r="K508" i="10"/>
  <c r="G243" i="13"/>
  <c r="I243" i="13" s="1"/>
  <c r="Y243" i="13" s="1"/>
  <c r="K57" i="10"/>
  <c r="AA24" i="10"/>
  <c r="AB24" i="10" s="1"/>
  <c r="U26" i="10" s="1"/>
  <c r="Y26" i="10" s="1"/>
  <c r="Z26" i="10" s="1"/>
  <c r="K116" i="10"/>
  <c r="T18" i="13"/>
  <c r="K465" i="10"/>
  <c r="K88" i="10"/>
  <c r="K412" i="10"/>
  <c r="K441" i="10"/>
  <c r="K20" i="10"/>
  <c r="K124" i="10"/>
  <c r="K122" i="10"/>
  <c r="K437" i="10"/>
  <c r="K250" i="10"/>
  <c r="K229" i="10"/>
  <c r="E23" i="3"/>
  <c r="K390" i="10"/>
  <c r="K33" i="10"/>
  <c r="K71" i="10"/>
  <c r="Q18" i="7"/>
  <c r="K62" i="10"/>
  <c r="K237" i="10"/>
  <c r="K285" i="10"/>
  <c r="AA495" i="10"/>
  <c r="AB495" i="10" s="1"/>
  <c r="U497" i="10" s="1"/>
  <c r="U498" i="10"/>
  <c r="K65" i="10"/>
  <c r="G77" i="13"/>
  <c r="I77" i="13" s="1"/>
  <c r="Y77" i="13" s="1"/>
  <c r="K279" i="10"/>
  <c r="K353" i="10"/>
  <c r="K242" i="10"/>
  <c r="K444" i="10"/>
  <c r="K86" i="10"/>
  <c r="G29" i="13"/>
  <c r="I29" i="13" s="1"/>
  <c r="Y29" i="13" s="1"/>
  <c r="V14" i="13"/>
  <c r="G57" i="13"/>
  <c r="I57" i="13" s="1"/>
  <c r="Y57" i="13" s="1"/>
  <c r="K103" i="10"/>
  <c r="G171" i="13"/>
  <c r="I171" i="13" s="1"/>
  <c r="Y171" i="13" s="1"/>
  <c r="AA355" i="10"/>
  <c r="AB355" i="10" s="1"/>
  <c r="U457" i="10" s="1"/>
  <c r="Z457" i="10" s="1"/>
  <c r="K367" i="10"/>
  <c r="K402" i="10"/>
  <c r="G44" i="13"/>
  <c r="I44" i="13" s="1"/>
  <c r="Y44" i="13" s="1"/>
  <c r="Q17" i="7"/>
  <c r="G111" i="13"/>
  <c r="I111" i="13" s="1"/>
  <c r="Y111" i="13" s="1"/>
  <c r="K281" i="10"/>
  <c r="G34" i="13"/>
  <c r="I34" i="13" s="1"/>
  <c r="Y34"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K405" i="10"/>
  <c r="G198" i="13"/>
  <c r="I198" i="13" s="1"/>
  <c r="Y198" i="13" s="1"/>
  <c r="G125" i="13"/>
  <c r="I125" i="13" s="1"/>
  <c r="Y125" i="13" s="1"/>
  <c r="Q25" i="7"/>
  <c r="Q19" i="7"/>
  <c r="A11" i="9" s="1"/>
  <c r="E24" i="3"/>
  <c r="G52" i="13"/>
  <c r="I52" i="13" s="1"/>
  <c r="Y52" i="13" s="1"/>
  <c r="Q12" i="7"/>
  <c r="K16" i="10"/>
  <c r="G182" i="13"/>
  <c r="I182" i="13" s="1"/>
  <c r="Y182" i="13" s="1"/>
  <c r="Q14" i="7"/>
  <c r="Q20" i="7"/>
  <c r="G154" i="13"/>
  <c r="I154" i="13" s="1"/>
  <c r="Y154" i="13" s="1"/>
  <c r="Q16" i="7"/>
  <c r="K146" i="10"/>
  <c r="K252" i="10"/>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K299" i="10"/>
  <c r="AA77" i="10"/>
  <c r="AB77" i="10" s="1"/>
  <c r="U424" i="10" s="1"/>
  <c r="Y420" i="10" s="1"/>
  <c r="Z420" i="10" s="1"/>
  <c r="K35" i="10"/>
  <c r="K329" i="10"/>
  <c r="R30" i="7"/>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50" i="13"/>
  <c r="I50" i="13" s="1"/>
  <c r="Y50"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K208" i="10"/>
  <c r="G49" i="13"/>
  <c r="I49" i="13" s="1"/>
  <c r="Y49" i="13" s="1"/>
  <c r="K59" i="10"/>
  <c r="G153" i="13"/>
  <c r="I153" i="13" s="1"/>
  <c r="Y153" i="13" s="1"/>
  <c r="K306" i="10"/>
  <c r="Y51" i="10"/>
  <c r="Z51" i="10" s="1"/>
  <c r="Y52" i="10"/>
  <c r="G64" i="13"/>
  <c r="I64" i="13" s="1"/>
  <c r="Y64" i="13" s="1"/>
  <c r="K90" i="10"/>
  <c r="G28" i="13"/>
  <c r="I28" i="13" s="1"/>
  <c r="Y28" i="13" s="1"/>
  <c r="K18" i="10"/>
  <c r="R10" i="13"/>
  <c r="T10" i="13"/>
  <c r="K204" i="10"/>
  <c r="K184" i="10"/>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K200" i="10"/>
  <c r="G135" i="13"/>
  <c r="I135" i="13" s="1"/>
  <c r="Y135" i="13" s="1"/>
  <c r="G105" i="13"/>
  <c r="I105" i="13" s="1"/>
  <c r="Y105" i="13" s="1"/>
  <c r="K196" i="10"/>
  <c r="G58" i="13"/>
  <c r="I58" i="13" s="1"/>
  <c r="Y58" i="13" s="1"/>
  <c r="K77" i="10"/>
  <c r="G226" i="13"/>
  <c r="I226" i="13" s="1"/>
  <c r="Y226" i="13" s="1"/>
  <c r="K468" i="10"/>
  <c r="G104" i="13"/>
  <c r="I104" i="13" s="1"/>
  <c r="Y104" i="13" s="1"/>
  <c r="K192" i="10"/>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G109" i="13"/>
  <c r="I109" i="13" s="1"/>
  <c r="Y109" i="13" s="1"/>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G186" i="13"/>
  <c r="I186" i="13" s="1"/>
  <c r="Y186" i="13" s="1"/>
  <c r="K380" i="10"/>
  <c r="G147" i="13"/>
  <c r="I147" i="13" s="1"/>
  <c r="Y147" i="13" s="1"/>
  <c r="K295" i="10"/>
  <c r="G117" i="13"/>
  <c r="I117" i="13" s="1"/>
  <c r="Y117" i="13" s="1"/>
  <c r="K234" i="10"/>
  <c r="G134" i="13"/>
  <c r="I134" i="13" s="1"/>
  <c r="Y134" i="13" s="1"/>
  <c r="K268" i="10"/>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G98" i="13"/>
  <c r="I98" i="13" s="1"/>
  <c r="Y98" i="13" s="1"/>
  <c r="K168" i="10"/>
  <c r="AC20" i="13"/>
  <c r="AC19" i="13"/>
  <c r="AI20" i="13" l="1"/>
  <c r="W20" i="13"/>
  <c r="F100" i="7"/>
  <c r="AA138" i="10"/>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U663" i="10" s="1"/>
  <c r="Y136" i="10"/>
  <c r="Z136" i="10" s="1"/>
  <c r="AA276" i="10"/>
  <c r="AB276" i="10" s="1"/>
  <c r="U364" i="10" s="1"/>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V60" i="10"/>
  <c r="Z34" i="10" l="1"/>
  <c r="AA75" i="10"/>
  <c r="AB75" i="10" s="1"/>
  <c r="U381" i="10" s="1"/>
  <c r="Z381" i="10" s="1"/>
  <c r="AA381" i="10" s="1"/>
  <c r="AB381" i="10" s="1"/>
  <c r="U383" i="10" s="1"/>
  <c r="AA76" i="10"/>
  <c r="AB76" i="10" s="1"/>
  <c r="D121" i="7" s="1"/>
  <c r="Y364" i="10"/>
  <c r="Z364" i="10" s="1"/>
  <c r="Y365" i="10"/>
  <c r="Z365" i="10" s="1"/>
  <c r="Y28" i="10"/>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141" i="10"/>
  <c r="Z484" i="10"/>
  <c r="J8" i="10"/>
  <c r="M8" i="10" s="1"/>
  <c r="N8" i="10" s="1"/>
  <c r="H68" i="10"/>
  <c r="Y311" i="10"/>
  <c r="Z311" i="10" s="1"/>
  <c r="Y310" i="10"/>
  <c r="Z310" i="10" s="1"/>
  <c r="Z150" i="10"/>
  <c r="W129" i="10"/>
  <c r="W128" i="10"/>
  <c r="X128" i="10" s="1"/>
  <c r="AA91" i="10"/>
  <c r="AB91" i="10" s="1"/>
  <c r="U117" i="10" s="1"/>
  <c r="Z117" i="10" s="1"/>
  <c r="AA90" i="10"/>
  <c r="AB90" i="10" s="1"/>
  <c r="U235"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34" i="10" l="1"/>
  <c r="AB34" i="10" s="1"/>
  <c r="U81" i="10" s="1"/>
  <c r="AA33" i="10"/>
  <c r="AB33" i="10" s="1"/>
  <c r="U57" i="10" s="1"/>
  <c r="AA365" i="10"/>
  <c r="AB365" i="10" s="1"/>
  <c r="U469" i="10" s="1"/>
  <c r="AA364" i="10"/>
  <c r="AB364" i="10" s="1"/>
  <c r="U468" i="10" s="1"/>
  <c r="AA663" i="10"/>
  <c r="AB663" i="10" s="1"/>
  <c r="U666" i="10" s="1"/>
  <c r="AA664" i="10"/>
  <c r="AB664" i="10" s="1"/>
  <c r="U667" i="10" s="1"/>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57" i="10" l="1"/>
  <c r="Z57" i="10" s="1"/>
  <c r="Y58" i="10"/>
  <c r="Z58" i="10" s="1"/>
  <c r="Y468" i="10"/>
  <c r="Z468" i="10" s="1"/>
  <c r="Y469" i="10"/>
  <c r="Z469" i="10" s="1"/>
  <c r="Y667" i="10"/>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57" i="10" l="1"/>
  <c r="AB57" i="10" s="1"/>
  <c r="U59" i="10" s="1"/>
  <c r="AA58" i="10"/>
  <c r="AB58" i="10" s="1"/>
  <c r="U62" i="10" s="1"/>
  <c r="AA469" i="10"/>
  <c r="AB469" i="10" s="1"/>
  <c r="U656" i="10" s="1"/>
  <c r="AA468" i="10"/>
  <c r="AB468" i="10" s="1"/>
  <c r="U655" i="10" s="1"/>
  <c r="AA667" i="10"/>
  <c r="AB667" i="10" s="1"/>
  <c r="U670" i="10" s="1"/>
  <c r="Y671" i="10" s="1"/>
  <c r="AA383" i="10"/>
  <c r="AB383" i="10" s="1"/>
  <c r="U385" i="10" s="1"/>
  <c r="U669" i="10"/>
  <c r="U671" i="10"/>
  <c r="AA570" i="10"/>
  <c r="AB570" i="10" s="1"/>
  <c r="U597" i="10" s="1"/>
  <c r="U602" i="10"/>
  <c r="U598" i="10"/>
  <c r="Y526" i="10"/>
  <c r="Z526" i="10" s="1"/>
  <c r="AA526" i="10" s="1"/>
  <c r="AB526" i="10" s="1"/>
  <c r="Y524" i="10"/>
  <c r="Y527" i="10"/>
  <c r="Z527" i="10" s="1"/>
  <c r="Y525" i="10"/>
  <c r="Z525" i="10" s="1"/>
  <c r="AA525" i="10" s="1"/>
  <c r="AB525" i="10" s="1"/>
  <c r="Y528" i="10"/>
  <c r="Z502" i="10"/>
  <c r="C33" i="3"/>
  <c r="Y147" i="10"/>
  <c r="Y146" i="10"/>
  <c r="Z146" i="10" s="1"/>
  <c r="H5" i="5"/>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0" i="10" l="1"/>
  <c r="Z60" i="10" s="1"/>
  <c r="Y59" i="10"/>
  <c r="Z59" i="10" s="1"/>
  <c r="Y62" i="10"/>
  <c r="Z62" i="10" s="1"/>
  <c r="Y61" i="10"/>
  <c r="Y669" i="10"/>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Y246" i="10"/>
  <c r="Z246" i="10" s="1"/>
  <c r="Y247" i="10"/>
  <c r="Z247" i="10" s="1"/>
  <c r="V29" i="10"/>
  <c r="P30" i="10"/>
  <c r="Q30" i="10" s="1"/>
  <c r="P29" i="10"/>
  <c r="Q29" i="10" s="1"/>
  <c r="Y318" i="10"/>
  <c r="Z318" i="10" s="1"/>
  <c r="Y319" i="10"/>
  <c r="Z319" i="10" s="1"/>
  <c r="AA417" i="10"/>
  <c r="AB417" i="10" s="1"/>
  <c r="U419" i="10" s="1"/>
  <c r="AA416" i="10"/>
  <c r="AB416" i="10" s="1"/>
  <c r="N110" i="7" s="1"/>
  <c r="AA60" i="10" l="1"/>
  <c r="AB60" i="10" s="1"/>
  <c r="U61" i="10" s="1"/>
  <c r="Z61" i="10" s="1"/>
  <c r="AA59" i="10"/>
  <c r="AB59" i="10" s="1"/>
  <c r="U63" i="10" s="1"/>
  <c r="AA386" i="10"/>
  <c r="AB386" i="10" s="1"/>
  <c r="U403" i="10" s="1"/>
  <c r="AA385" i="10"/>
  <c r="AB385" i="10" s="1"/>
  <c r="U402" i="10" s="1"/>
  <c r="U674" i="10"/>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H18" i="10"/>
  <c r="AA247" i="10"/>
  <c r="AB247" i="10" s="1"/>
  <c r="U249" i="10" s="1"/>
  <c r="AA246" i="10"/>
  <c r="AB246" i="10" s="1"/>
  <c r="U248" i="10" s="1"/>
  <c r="W30" i="10"/>
  <c r="X30" i="10" s="1"/>
  <c r="W29" i="10"/>
  <c r="X29" i="10" s="1"/>
  <c r="Z419" i="10"/>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Y64" i="10" l="1"/>
  <c r="Y63" i="10"/>
  <c r="Z63" i="10" s="1"/>
  <c r="Y402" i="10"/>
  <c r="Z402" i="10" s="1"/>
  <c r="Y403" i="10"/>
  <c r="Z403" i="10" s="1"/>
  <c r="U679" i="10"/>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AA403" i="10" l="1"/>
  <c r="AB403" i="10" s="1"/>
  <c r="U405" i="10" s="1"/>
  <c r="AA402" i="10"/>
  <c r="AB402" i="10" s="1"/>
  <c r="U404" i="10" s="1"/>
  <c r="Y679" i="10"/>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Y405" i="10" l="1"/>
  <c r="Z405" i="10" s="1"/>
  <c r="Y404" i="10"/>
  <c r="Z404" i="10" s="1"/>
  <c r="AA673" i="10"/>
  <c r="AB673" i="10" s="1"/>
  <c r="H115" i="7" s="1"/>
  <c r="P115" i="7" s="1"/>
  <c r="B19" i="3" s="1"/>
  <c r="C19" i="3" s="1"/>
  <c r="AA680" i="10"/>
  <c r="AB680" i="10" s="1"/>
  <c r="D106" i="7" s="1"/>
  <c r="AA679" i="10"/>
  <c r="AB679" i="10" s="1"/>
  <c r="G106" i="7"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V32" i="10"/>
  <c r="Y66" i="10"/>
  <c r="Z66" i="10" s="1"/>
  <c r="Y65" i="10"/>
  <c r="Z65" i="10" s="1"/>
  <c r="AA404" i="10" l="1"/>
  <c r="AB404" i="10" s="1"/>
  <c r="U406" i="10" s="1"/>
  <c r="AA405" i="10"/>
  <c r="AB405" i="10" s="1"/>
  <c r="U407" i="10" s="1"/>
  <c r="J17" i="10"/>
  <c r="M17" i="10" s="1"/>
  <c r="N17" i="10" s="1"/>
  <c r="J18" i="10"/>
  <c r="M18" i="10" s="1"/>
  <c r="N18" i="10" s="1"/>
  <c r="H20" i="10" s="1"/>
  <c r="P106" i="7"/>
  <c r="B10" i="3" s="1"/>
  <c r="D10" i="3"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AA274" i="10"/>
  <c r="AB274" i="10" s="1"/>
  <c r="B119" i="7" s="1"/>
  <c r="AA275" i="10"/>
  <c r="AB275" i="10" s="1"/>
  <c r="U278" i="10" s="1"/>
  <c r="Y295" i="10"/>
  <c r="Z295" i="10" s="1"/>
  <c r="Y294" i="10"/>
  <c r="Z294" i="10" s="1"/>
  <c r="Y406" i="10" l="1"/>
  <c r="Z406" i="10" s="1"/>
  <c r="Y407" i="10"/>
  <c r="Z407" i="10" s="1"/>
  <c r="C10" i="3"/>
  <c r="Y645" i="10"/>
  <c r="Z645" i="10" s="1"/>
  <c r="Y646" i="10"/>
  <c r="Z646" i="10" s="1"/>
  <c r="AA646" i="10" s="1"/>
  <c r="AB646" i="10" s="1"/>
  <c r="I125" i="7" s="1"/>
  <c r="U574" i="10"/>
  <c r="U508" i="10"/>
  <c r="U507" i="10"/>
  <c r="P19" i="10"/>
  <c r="P20" i="10"/>
  <c r="Q20" i="10" s="1"/>
  <c r="V20" i="10"/>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406" i="10" l="1"/>
  <c r="AB406" i="10" s="1"/>
  <c r="U408" i="10" s="1"/>
  <c r="AA407" i="10"/>
  <c r="AB407" i="10" s="1"/>
  <c r="U409" i="10" s="1"/>
  <c r="AA645" i="10"/>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Y408" i="10" l="1"/>
  <c r="Z408" i="10" s="1"/>
  <c r="Y409" i="10"/>
  <c r="Z409" i="10" s="1"/>
  <c r="AA508" i="10"/>
  <c r="AB508" i="10" s="1"/>
  <c r="C29" i="3"/>
  <c r="U619" i="10"/>
  <c r="Y605" i="10"/>
  <c r="Z605" i="10" s="1"/>
  <c r="AA605" i="10" s="1"/>
  <c r="AB605" i="10" s="1"/>
  <c r="U608" i="10" s="1"/>
  <c r="Y606" i="10"/>
  <c r="Y604" i="10"/>
  <c r="Z604" i="10" s="1"/>
  <c r="AA574" i="10"/>
  <c r="AB574" i="10" s="1"/>
  <c r="X19" i="10"/>
  <c r="J19" i="10" s="1"/>
  <c r="M19" i="10" s="1"/>
  <c r="U512" i="10"/>
  <c r="U510" i="10"/>
  <c r="U509" i="10"/>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AA408" i="10" l="1"/>
  <c r="AB408" i="10" s="1"/>
  <c r="B121" i="7" s="1"/>
  <c r="AA409" i="10"/>
  <c r="AB409" i="10" s="1"/>
  <c r="I121" i="7" s="1"/>
  <c r="J20" i="10"/>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l="1"/>
  <c r="B25" i="3" s="1"/>
  <c r="U691" i="10"/>
  <c r="U676" i="10"/>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Y282" i="10"/>
  <c r="Z282" i="10" s="1"/>
  <c r="Y283" i="10"/>
  <c r="Z283" i="10" s="1"/>
  <c r="D25" i="3" l="1"/>
  <c r="C25" i="3"/>
  <c r="Y676" i="10"/>
  <c r="Z676" i="10" s="1"/>
  <c r="AA676" i="10" s="1"/>
  <c r="AB676" i="10" s="1"/>
  <c r="Y675" i="10"/>
  <c r="Z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AA675" i="10" l="1"/>
  <c r="AB675" i="10" s="1"/>
  <c r="U678" i="10"/>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U713" i="10" s="1"/>
  <c r="Y677" i="10"/>
  <c r="Z677" i="10"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Y713" i="10" l="1"/>
  <c r="Y714" i="10"/>
  <c r="Z713" i="10"/>
  <c r="AA677" i="10"/>
  <c r="AB677" i="10" s="1"/>
  <c r="F110" i="7" s="1"/>
  <c r="H9" i="5" s="1"/>
  <c r="P128" i="7"/>
  <c r="B32" i="3" s="1"/>
  <c r="AA616" i="10"/>
  <c r="AB616" i="10" s="1"/>
  <c r="U714" i="10"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Z714" i="10" l="1"/>
  <c r="D32" i="3"/>
  <c r="C32" i="3"/>
  <c r="U618" i="10"/>
  <c r="U617" i="10"/>
  <c r="AA611" i="10"/>
  <c r="AB611" i="10" s="1"/>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AA714" i="10" l="1"/>
  <c r="AB714" i="10" s="1"/>
  <c r="U715" i="10" s="1"/>
  <c r="AA713" i="10"/>
  <c r="AB713" i="10" s="1"/>
  <c r="U716" i="10" s="1"/>
  <c r="Y621" i="10"/>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Y715" i="10" l="1"/>
  <c r="Z715" i="10" s="1"/>
  <c r="Y716" i="10"/>
  <c r="Z716" i="10" s="1"/>
  <c r="U626" i="10"/>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AA716" i="10" l="1"/>
  <c r="AB716" i="10" s="1"/>
  <c r="U717" i="10" s="1"/>
  <c r="AA715" i="10"/>
  <c r="AB715" i="10" s="1"/>
  <c r="U718" i="10" s="1"/>
  <c r="Y626" i="10"/>
  <c r="Z626" i="10" s="1"/>
  <c r="AA626" i="10" s="1"/>
  <c r="AB626" i="10" s="1"/>
  <c r="G107" i="7" s="1"/>
  <c r="Y625" i="10"/>
  <c r="Z625" i="10"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Y717" i="10" l="1"/>
  <c r="Z717" i="10" s="1"/>
  <c r="Y718" i="10"/>
  <c r="Z718" i="10" s="1"/>
  <c r="AA625" i="10"/>
  <c r="AB625" i="10" s="1"/>
  <c r="L107" i="7" s="1"/>
  <c r="P107" i="7" s="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AA718" i="10" l="1"/>
  <c r="AB718" i="10" s="1"/>
  <c r="J110" i="7" s="1"/>
  <c r="AA717" i="10"/>
  <c r="AB717" i="10" s="1"/>
  <c r="I110" i="7" s="1"/>
  <c r="P110" i="7" s="1"/>
  <c r="B14" i="3" s="1"/>
  <c r="C11" i="3"/>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C14" i="3" l="1"/>
  <c r="D14" i="3"/>
  <c r="AA449" i="10"/>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U721" i="10" s="1"/>
  <c r="AA494" i="10"/>
  <c r="AB494" i="10" s="1"/>
  <c r="U722" i="10"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Y721" i="10" l="1"/>
  <c r="Z721" i="10" s="1"/>
  <c r="Y722" i="10"/>
  <c r="Z722" i="10" s="1"/>
  <c r="H37" i="10"/>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AA722" i="10" l="1"/>
  <c r="AB722" i="10" s="1"/>
  <c r="U724" i="10" s="1"/>
  <c r="AA721" i="10"/>
  <c r="AB721" i="10" s="1"/>
  <c r="U723" i="10" s="1"/>
  <c r="AA433" i="10"/>
  <c r="AB433" i="10" s="1"/>
  <c r="U435" i="10" s="1"/>
  <c r="AA434" i="10"/>
  <c r="AB434" i="10" s="1"/>
  <c r="U438" i="10" s="1"/>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Y723" i="10" l="1"/>
  <c r="Z723" i="10" s="1"/>
  <c r="Y724" i="10"/>
  <c r="Z724" i="10" s="1"/>
  <c r="U542" i="10"/>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AA724" i="10" l="1"/>
  <c r="AB724" i="10" s="1"/>
  <c r="I119" i="7" s="1"/>
  <c r="AA723" i="10"/>
  <c r="AB723" i="10" s="1"/>
  <c r="F119" i="7" s="1"/>
  <c r="U566" i="10"/>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H18" i="5" l="1"/>
  <c r="P119" i="7"/>
  <c r="B23" i="3" s="1"/>
  <c r="Y566" i="10"/>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D23" i="3" l="1"/>
  <c r="C23" i="3"/>
  <c r="AA565" i="10"/>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U720"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U719" i="10" s="1"/>
  <c r="Y513" i="10"/>
  <c r="Z513" i="10" s="1"/>
  <c r="Y514" i="10"/>
  <c r="Z514" i="10" s="1"/>
  <c r="AA514" i="10" s="1"/>
  <c r="AB514" i="10" s="1"/>
  <c r="J49" i="10"/>
  <c r="M49" i="10" s="1"/>
  <c r="N49" i="10" s="1"/>
  <c r="J50" i="10"/>
  <c r="M50" i="10" s="1"/>
  <c r="N50" i="10" s="1"/>
  <c r="J67" i="10"/>
  <c r="M67" i="10" s="1"/>
  <c r="N67" i="10" s="1"/>
  <c r="J68" i="10"/>
  <c r="M68" i="10" s="1"/>
  <c r="N68" i="10" s="1"/>
  <c r="Y719" i="10" l="1"/>
  <c r="Z719" i="10" s="1"/>
  <c r="Y720" i="10"/>
  <c r="Z720" i="10" s="1"/>
  <c r="U685" i="10"/>
  <c r="U686" i="10"/>
  <c r="AA513" i="10"/>
  <c r="AB513" i="10" s="1"/>
  <c r="U516" i="10"/>
  <c r="U515" i="10"/>
  <c r="K53" i="13"/>
  <c r="H69" i="10"/>
  <c r="H87" i="10"/>
  <c r="R44" i="13"/>
  <c r="H52" i="10"/>
  <c r="M44" i="13"/>
  <c r="H51" i="10"/>
  <c r="AA720" i="10" l="1"/>
  <c r="AB720" i="10" s="1"/>
  <c r="G108" i="7" s="1"/>
  <c r="AA719" i="10"/>
  <c r="AB719" i="10" s="1"/>
  <c r="L108" i="7" s="1"/>
  <c r="Y686" i="10"/>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P108" i="7" l="1"/>
  <c r="B12" i="3" s="1"/>
  <c r="AA685" i="10"/>
  <c r="AB685" i="10" s="1"/>
  <c r="U688" i="10"/>
  <c r="U687" i="10"/>
  <c r="AA515" i="10"/>
  <c r="AB515" i="10" s="1"/>
  <c r="U518" i="10"/>
  <c r="U517" i="10"/>
  <c r="W70" i="10"/>
  <c r="W69" i="10"/>
  <c r="X69" i="10" s="1"/>
  <c r="J86" i="10"/>
  <c r="M86" i="10" s="1"/>
  <c r="N86" i="10" s="1"/>
  <c r="J87" i="10"/>
  <c r="M87" i="10" s="1"/>
  <c r="N87" i="10" s="1"/>
  <c r="W52" i="10"/>
  <c r="X52" i="10" s="1"/>
  <c r="W51" i="10"/>
  <c r="X51" i="10" s="1"/>
  <c r="D12" i="3" l="1"/>
  <c r="C12" i="3"/>
  <c r="Y688" i="10"/>
  <c r="Z688" i="10" s="1"/>
  <c r="AA688" i="10" s="1"/>
  <c r="AB688" i="10" s="1"/>
  <c r="Y687" i="10"/>
  <c r="Z687" i="10" s="1"/>
  <c r="AA687" i="10" s="1"/>
  <c r="AB687" i="10" s="1"/>
  <c r="Y517" i="10"/>
  <c r="Z517" i="10" s="1"/>
  <c r="AA517" i="10" s="1"/>
  <c r="AB517" i="10" s="1"/>
  <c r="Y518" i="10"/>
  <c r="Z518" i="10" s="1"/>
  <c r="J51" i="10"/>
  <c r="M51" i="10" s="1"/>
  <c r="N51" i="10" s="1"/>
  <c r="J52" i="10"/>
  <c r="M52" i="10" s="1"/>
  <c r="N52" i="10" s="1"/>
  <c r="S62" i="13"/>
  <c r="H88" i="10"/>
  <c r="H89" i="10"/>
  <c r="U690" i="10" l="1"/>
  <c r="U689" i="10"/>
  <c r="U556" i="10"/>
  <c r="AA518" i="10"/>
  <c r="AB518" i="10" s="1"/>
  <c r="V89" i="10"/>
  <c r="P89" i="10"/>
  <c r="Q89" i="10" s="1"/>
  <c r="P88" i="10"/>
  <c r="Q88" i="10" s="1"/>
  <c r="V88" i="10"/>
  <c r="R45" i="13"/>
  <c r="H54" i="10"/>
  <c r="M45" i="13"/>
  <c r="H53" i="10"/>
  <c r="Y691" i="10" l="1"/>
  <c r="Z691" i="10" s="1"/>
  <c r="AA691" i="10" s="1"/>
  <c r="AB691" i="10" s="1"/>
  <c r="Y689" i="10"/>
  <c r="Z689" i="10" s="1"/>
  <c r="Y690" i="10"/>
  <c r="Z690" i="10" s="1"/>
  <c r="Y556" i="10"/>
  <c r="Z556" i="10" s="1"/>
  <c r="Y557" i="10"/>
  <c r="U537" i="10"/>
  <c r="P53" i="10"/>
  <c r="Q53" i="10" s="1"/>
  <c r="P54" i="10"/>
  <c r="Q54" i="10" s="1"/>
  <c r="V53" i="10"/>
  <c r="V54" i="10"/>
  <c r="W89" i="10"/>
  <c r="X89" i="10" s="1"/>
  <c r="W88" i="10"/>
  <c r="X88" i="10" s="1"/>
  <c r="AA689" i="10" l="1"/>
  <c r="AB689" i="10" s="1"/>
  <c r="AA690" i="10"/>
  <c r="AB690" i="10" s="1"/>
  <c r="U694" i="10"/>
  <c r="U693" i="10"/>
  <c r="U692" i="10"/>
  <c r="Y538" i="10"/>
  <c r="Z538" i="10" s="1"/>
  <c r="AA538" i="10" s="1"/>
  <c r="AB538" i="10" s="1"/>
  <c r="Y537" i="10"/>
  <c r="Z537" i="10" s="1"/>
  <c r="J89" i="10"/>
  <c r="M89" i="10" s="1"/>
  <c r="N89" i="10" s="1"/>
  <c r="J88" i="10"/>
  <c r="M88" i="10" s="1"/>
  <c r="N88" i="10" s="1"/>
  <c r="W54" i="10"/>
  <c r="X54" i="10" s="1"/>
  <c r="W53" i="10"/>
  <c r="X53" i="10" s="1"/>
  <c r="Y693" i="10" l="1"/>
  <c r="Z693" i="10" s="1"/>
  <c r="Y692" i="10"/>
  <c r="Z692" i="10" s="1"/>
  <c r="AA692" i="10" s="1"/>
  <c r="AB692" i="10" s="1"/>
  <c r="Y694" i="10"/>
  <c r="Z694" i="10" s="1"/>
  <c r="AA694" i="10" s="1"/>
  <c r="AB694" i="10" s="1"/>
  <c r="AA537" i="10"/>
  <c r="AB537" i="10" s="1"/>
  <c r="U548" i="10"/>
  <c r="U539" i="10"/>
  <c r="J53" i="10"/>
  <c r="M53" i="10" s="1"/>
  <c r="N53" i="10" s="1"/>
  <c r="J54" i="10"/>
  <c r="M54" i="10" s="1"/>
  <c r="N54" i="10" s="1"/>
  <c r="S63" i="13"/>
  <c r="H91" i="10"/>
  <c r="H99" i="10"/>
  <c r="AA693" i="10" l="1"/>
  <c r="AB693" i="10" s="1"/>
  <c r="U697" i="10"/>
  <c r="U695" i="10"/>
  <c r="U696" i="10"/>
  <c r="Y539" i="10"/>
  <c r="Z539" i="10" s="1"/>
  <c r="Y540" i="10"/>
  <c r="Z540" i="10" s="1"/>
  <c r="AA540" i="10" s="1"/>
  <c r="AB540" i="10" s="1"/>
  <c r="V99" i="10"/>
  <c r="V91" i="10"/>
  <c r="R46" i="13"/>
  <c r="H56" i="10"/>
  <c r="M46" i="13"/>
  <c r="H55" i="10"/>
  <c r="Y697" i="10" l="1"/>
  <c r="Z697" i="10" s="1"/>
  <c r="AA697" i="10" s="1"/>
  <c r="AB697" i="10" s="1"/>
  <c r="Y695" i="10"/>
  <c r="Z695" i="10" s="1"/>
  <c r="AA695" i="10" s="1"/>
  <c r="AB695" i="10" s="1"/>
  <c r="Y696" i="10"/>
  <c r="Z696" i="10" s="1"/>
  <c r="AA539" i="10"/>
  <c r="AB539" i="10" s="1"/>
  <c r="U546" i="10"/>
  <c r="U541" i="10"/>
  <c r="P56" i="10"/>
  <c r="Q56" i="10" s="1"/>
  <c r="P55" i="10"/>
  <c r="Q55" i="10" s="1"/>
  <c r="V55" i="10"/>
  <c r="V56" i="10"/>
  <c r="AA696" i="10" l="1"/>
  <c r="AB696" i="10" s="1"/>
  <c r="U699" i="10"/>
  <c r="U698" i="10"/>
  <c r="U700" i="10"/>
  <c r="Y546" i="10"/>
  <c r="Z546" i="10" s="1"/>
  <c r="Y545" i="10"/>
  <c r="Y541" i="10"/>
  <c r="Z541" i="10" s="1"/>
  <c r="Y542" i="10"/>
  <c r="Z542" i="10" s="1"/>
  <c r="AA542" i="10" s="1"/>
  <c r="AB542" i="10" s="1"/>
  <c r="W55" i="10"/>
  <c r="X55" i="10" s="1"/>
  <c r="W56" i="10"/>
  <c r="X56" i="10" s="1"/>
  <c r="Y698" i="10" l="1"/>
  <c r="Z698" i="10" s="1"/>
  <c r="Y699" i="10"/>
  <c r="Z699" i="10" s="1"/>
  <c r="AA699" i="10" s="1"/>
  <c r="AB699" i="10" s="1"/>
  <c r="Y700" i="10"/>
  <c r="Z700" i="10" s="1"/>
  <c r="AA700" i="10" s="1"/>
  <c r="AB700" i="10" s="1"/>
  <c r="U712" i="10" s="1"/>
  <c r="AA541" i="10"/>
  <c r="AB541" i="10" s="1"/>
  <c r="U550" i="10"/>
  <c r="U543" i="10"/>
  <c r="J55" i="10"/>
  <c r="M55" i="10" s="1"/>
  <c r="N55" i="10" s="1"/>
  <c r="J56" i="10"/>
  <c r="M56" i="10" s="1"/>
  <c r="N56" i="10" s="1"/>
  <c r="AA698" i="10" l="1"/>
  <c r="AB698" i="10" s="1"/>
  <c r="U702" i="10"/>
  <c r="U701" i="10"/>
  <c r="Y549" i="10"/>
  <c r="Y550" i="10"/>
  <c r="Z550" i="10" s="1"/>
  <c r="Y544" i="10"/>
  <c r="Z544" i="10" s="1"/>
  <c r="AA544" i="10" s="1"/>
  <c r="AB544" i="10" s="1"/>
  <c r="Y543" i="10"/>
  <c r="Z543" i="10" s="1"/>
  <c r="R47" i="13"/>
  <c r="H58" i="10"/>
  <c r="M54" i="13"/>
  <c r="M48" i="13"/>
  <c r="M55" i="13"/>
  <c r="M53" i="13"/>
  <c r="M47" i="13"/>
  <c r="M52" i="13"/>
  <c r="M49" i="13"/>
  <c r="M50" i="13"/>
  <c r="M51" i="13"/>
  <c r="H74" i="10"/>
  <c r="Y702" i="10" l="1"/>
  <c r="Z702" i="10" s="1"/>
  <c r="Y701" i="10"/>
  <c r="Z701" i="10" s="1"/>
  <c r="AA701" i="10" s="1"/>
  <c r="AB701" i="10" s="1"/>
  <c r="AA543" i="10"/>
  <c r="AB543" i="10" s="1"/>
  <c r="U555" i="10"/>
  <c r="U545" i="10"/>
  <c r="V74" i="10"/>
  <c r="V58" i="10"/>
  <c r="X58" i="10" s="1"/>
  <c r="Q58" i="10"/>
  <c r="AA702" i="10" l="1"/>
  <c r="AB702" i="10" s="1"/>
  <c r="U704" i="10"/>
  <c r="U703" i="10"/>
  <c r="Y554" i="10"/>
  <c r="Y555" i="10"/>
  <c r="Z555" i="10" s="1"/>
  <c r="Z545" i="10"/>
  <c r="J57" i="10"/>
  <c r="M57" i="10" s="1"/>
  <c r="N57" i="10" s="1"/>
  <c r="J58" i="10"/>
  <c r="M58" i="10" s="1"/>
  <c r="N58" i="10" s="1"/>
  <c r="Y703" i="10" l="1"/>
  <c r="Z703" i="10" s="1"/>
  <c r="AA703" i="10" s="1"/>
  <c r="AB703" i="10" s="1"/>
  <c r="Y704" i="10"/>
  <c r="Z704" i="10" s="1"/>
  <c r="AA545" i="10"/>
  <c r="AB545" i="10" s="1"/>
  <c r="AA546" i="10"/>
  <c r="AB546" i="10" s="1"/>
  <c r="R49" i="13"/>
  <c r="R48" i="13"/>
  <c r="H62" i="10"/>
  <c r="O48" i="13"/>
  <c r="H59" i="10"/>
  <c r="AA704" i="10" l="1"/>
  <c r="AB704" i="10" s="1"/>
  <c r="U706" i="10"/>
  <c r="U705" i="10"/>
  <c r="U633" i="10"/>
  <c r="U547" i="10"/>
  <c r="P60" i="10"/>
  <c r="Q60" i="10" s="1"/>
  <c r="P59" i="10"/>
  <c r="Q59" i="10" s="1"/>
  <c r="V59" i="10"/>
  <c r="P62" i="10"/>
  <c r="Q62" i="10" s="1"/>
  <c r="P61" i="10"/>
  <c r="V62" i="10"/>
  <c r="Y705" i="10" l="1"/>
  <c r="Z705" i="10" s="1"/>
  <c r="AA705" i="10" s="1"/>
  <c r="AB705" i="10" s="1"/>
  <c r="Y706" i="10"/>
  <c r="Z706" i="10" s="1"/>
  <c r="Y633" i="10"/>
  <c r="Z633" i="10" s="1"/>
  <c r="Y634" i="10"/>
  <c r="Z634" i="10" s="1"/>
  <c r="AA634" i="10" s="1"/>
  <c r="AB634" i="10" s="1"/>
  <c r="U636" i="10" s="1"/>
  <c r="Y548" i="10"/>
  <c r="Z548" i="10" s="1"/>
  <c r="AA548" i="10" s="1"/>
  <c r="AB548" i="10" s="1"/>
  <c r="Y547" i="10"/>
  <c r="Z547" i="10" s="1"/>
  <c r="W62" i="10"/>
  <c r="X62" i="10" s="1"/>
  <c r="W61" i="10"/>
  <c r="W59" i="10"/>
  <c r="X59" i="10" s="1"/>
  <c r="W60" i="10"/>
  <c r="X60" i="10" s="1"/>
  <c r="AA706" i="10" l="1"/>
  <c r="AB706" i="10" s="1"/>
  <c r="U708" i="10"/>
  <c r="U707" i="10"/>
  <c r="AA633" i="10"/>
  <c r="AB633" i="10" s="1"/>
  <c r="U635" i="10"/>
  <c r="AA547" i="10"/>
  <c r="AB547" i="10" s="1"/>
  <c r="U554" i="10"/>
  <c r="U549" i="10"/>
  <c r="J59" i="10"/>
  <c r="M59" i="10" s="1"/>
  <c r="N59" i="10" s="1"/>
  <c r="J60" i="10"/>
  <c r="M60" i="10" s="1"/>
  <c r="N60" i="10" s="1"/>
  <c r="Y707" i="10" l="1"/>
  <c r="Z707" i="10" s="1"/>
  <c r="AA707" i="10" s="1"/>
  <c r="AB707" i="10" s="1"/>
  <c r="Y708" i="10"/>
  <c r="Z708" i="10" s="1"/>
  <c r="Y635" i="10"/>
  <c r="Z635" i="10" s="1"/>
  <c r="Y636" i="10"/>
  <c r="Z636" i="10" s="1"/>
  <c r="AA636" i="10" s="1"/>
  <c r="AB636" i="10" s="1"/>
  <c r="U638" i="10" s="1"/>
  <c r="Z554" i="10"/>
  <c r="Z549" i="10"/>
  <c r="N49" i="13"/>
  <c r="H61" i="10"/>
  <c r="O49" i="13"/>
  <c r="O50" i="13"/>
  <c r="H63" i="10"/>
  <c r="AA708" i="10" l="1"/>
  <c r="AB708" i="10" s="1"/>
  <c r="U710" i="10"/>
  <c r="U709" i="10"/>
  <c r="AA635" i="10"/>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709" i="10" l="1"/>
  <c r="Z709" i="10" s="1"/>
  <c r="Y710" i="10"/>
  <c r="Z710" i="10" s="1"/>
  <c r="Y638" i="10"/>
  <c r="Z638" i="10" s="1"/>
  <c r="AA638" i="10" s="1"/>
  <c r="AB638" i="10" s="1"/>
  <c r="U640" i="10" s="1"/>
  <c r="U559" i="10"/>
  <c r="U557" i="10"/>
  <c r="J61" i="10"/>
  <c r="M61" i="10" s="1"/>
  <c r="N61" i="10" s="1"/>
  <c r="J62" i="10"/>
  <c r="M62" i="10" s="1"/>
  <c r="N62" i="10" s="1"/>
  <c r="W64" i="10"/>
  <c r="W63" i="10"/>
  <c r="X63" i="10" s="1"/>
  <c r="AA710" i="10" l="1"/>
  <c r="AB710" i="10" s="1"/>
  <c r="U711" i="10" s="1"/>
  <c r="AA709" i="10"/>
  <c r="AB709" i="10" s="1"/>
  <c r="G124" i="7" s="1"/>
  <c r="AA637" i="10"/>
  <c r="AB637" i="10" s="1"/>
  <c r="U639" i="10" s="1"/>
  <c r="Z557" i="10"/>
  <c r="R50" i="13"/>
  <c r="H64" i="10"/>
  <c r="N51" i="13"/>
  <c r="N50" i="13"/>
  <c r="H66" i="10"/>
  <c r="Y711" i="10" l="1"/>
  <c r="Z711" i="10" s="1"/>
  <c r="Y712" i="10"/>
  <c r="Z712" i="10" s="1"/>
  <c r="Y639" i="10"/>
  <c r="Z639" i="10" s="1"/>
  <c r="Y640" i="10"/>
  <c r="Z640" i="10" s="1"/>
  <c r="AA640" i="10" s="1"/>
  <c r="AB640" i="10" s="1"/>
  <c r="U642" i="10" s="1"/>
  <c r="AA557" i="10"/>
  <c r="AB557" i="10" s="1"/>
  <c r="AA556" i="10"/>
  <c r="AB556" i="10" s="1"/>
  <c r="V66" i="10"/>
  <c r="V64" i="10"/>
  <c r="X64" i="10" s="1"/>
  <c r="Q64" i="10"/>
  <c r="AA712" i="10" l="1"/>
  <c r="AB712" i="10" s="1"/>
  <c r="B124" i="7" s="1"/>
  <c r="AA711" i="10"/>
  <c r="AB711" i="10" s="1"/>
  <c r="I124" i="7" s="1"/>
  <c r="P124" i="7" s="1"/>
  <c r="B28" i="3" s="1"/>
  <c r="AA639" i="10"/>
  <c r="AB639" i="10" s="1"/>
  <c r="U641" i="10" s="1"/>
  <c r="Y642" i="10" s="1"/>
  <c r="Z642" i="10" s="1"/>
  <c r="AA642" i="10" s="1"/>
  <c r="AB642" i="10" s="1"/>
  <c r="L117" i="7" s="1"/>
  <c r="U560" i="10"/>
  <c r="U558" i="10"/>
  <c r="J63" i="10"/>
  <c r="M63" i="10" s="1"/>
  <c r="N63" i="10" s="1"/>
  <c r="J64" i="10"/>
  <c r="M64" i="10" s="1"/>
  <c r="N64" i="10" s="1"/>
  <c r="D28" i="3" l="1"/>
  <c r="C28" i="3"/>
  <c r="Y641" i="10"/>
  <c r="Z641" i="10" s="1"/>
  <c r="AA641" i="10" s="1"/>
  <c r="AB641" i="10" s="1"/>
  <c r="H117" i="7" s="1"/>
  <c r="Y561" i="10"/>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K56" i="13"/>
  <c r="K55" i="13"/>
  <c r="H75" i="10"/>
  <c r="R55" i="13"/>
  <c r="H73" i="10"/>
  <c r="J81" i="10"/>
  <c r="M81" i="10" s="1"/>
  <c r="N81" i="10" s="1"/>
  <c r="J80" i="10"/>
  <c r="M80" i="10" s="1"/>
  <c r="N80" i="10" s="1"/>
  <c r="AA591" i="10" l="1"/>
  <c r="AB591" i="10" s="1"/>
  <c r="B117" i="7" s="1"/>
  <c r="U594" i="10"/>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W212" i="10" s="1"/>
  <c r="X212" i="10" s="1"/>
  <c r="P215" i="10"/>
  <c r="W215" i="10"/>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L330" i="13" s="1"/>
  <c r="L328" i="13" l="1"/>
  <c r="L329" i="13"/>
  <c r="L326" i="13"/>
  <c r="L327" i="13"/>
  <c r="L324" i="13"/>
  <c r="L325" i="13"/>
  <c r="L322" i="13"/>
  <c r="L323" i="13"/>
  <c r="L320" i="13"/>
  <c r="L321" i="13"/>
  <c r="L318" i="13"/>
  <c r="L319" i="13"/>
  <c r="L316" i="13"/>
  <c r="L317" i="13"/>
  <c r="AL8" i="13"/>
  <c r="J8" i="13" s="1"/>
  <c r="L315" i="13"/>
  <c r="L313" i="13"/>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T330" i="13" s="1"/>
  <c r="J241" i="10"/>
  <c r="M241" i="10" s="1"/>
  <c r="N241" i="10" s="1"/>
  <c r="J240" i="10"/>
  <c r="M240" i="10" s="1"/>
  <c r="N240" i="10" s="1"/>
  <c r="W279" i="10"/>
  <c r="X279" i="10" s="1"/>
  <c r="W278" i="10"/>
  <c r="T328" i="13" l="1"/>
  <c r="T329" i="13"/>
  <c r="T326" i="13"/>
  <c r="T327" i="13"/>
  <c r="T324" i="13"/>
  <c r="T325" i="13"/>
  <c r="T322" i="13"/>
  <c r="T323" i="13"/>
  <c r="T320" i="13"/>
  <c r="T321" i="13"/>
  <c r="T318" i="13"/>
  <c r="T319" i="13"/>
  <c r="T316" i="13"/>
  <c r="T317" i="13"/>
  <c r="AL16" i="13"/>
  <c r="J16" i="13" s="1"/>
  <c r="T315" i="13"/>
  <c r="T313" i="13"/>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3" i="10"/>
  <c r="M383" i="10" s="1"/>
  <c r="N383" i="10" s="1"/>
  <c r="J384" i="10"/>
  <c r="M384" i="10" s="1"/>
  <c r="N384" i="10" s="1"/>
  <c r="J377" i="10" l="1"/>
  <c r="M377" i="10" s="1"/>
  <c r="N377" i="10" s="1"/>
  <c r="J380" i="10"/>
  <c r="M380" i="10" s="1"/>
  <c r="N380" i="10" s="1"/>
  <c r="R188" i="13"/>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473" i="10"/>
  <c r="X473" i="10" s="1"/>
  <c r="W474" i="10"/>
  <c r="X474" i="10" s="1"/>
  <c r="W515" i="10" l="1"/>
  <c r="X515" i="10" s="1"/>
  <c r="W516" i="10"/>
  <c r="X516" i="10" s="1"/>
  <c r="J474" i="10"/>
  <c r="M474" i="10" s="1"/>
  <c r="N474" i="10" s="1"/>
  <c r="J473" i="10"/>
  <c r="M473" i="10" s="1"/>
  <c r="N473" i="10" s="1"/>
  <c r="J515" i="10" l="1"/>
  <c r="M515" i="10" s="1"/>
  <c r="N515" i="10" s="1"/>
  <c r="H517" i="10" s="1"/>
  <c r="V517" i="10" s="1"/>
  <c r="J516" i="10"/>
  <c r="M516" i="10" s="1"/>
  <c r="N516" i="10" s="1"/>
  <c r="R228" i="13"/>
  <c r="H475" i="10"/>
  <c r="W228" i="13"/>
  <c r="H476" i="10"/>
  <c r="H518" i="10" l="1"/>
  <c r="K247" i="13"/>
  <c r="V476" i="10"/>
  <c r="X476" i="10" s="1"/>
  <c r="J476" i="10" s="1"/>
  <c r="M476" i="10" s="1"/>
  <c r="N476" i="10" s="1"/>
  <c r="Q476" i="10"/>
  <c r="V475" i="10"/>
  <c r="X475" i="10" s="1"/>
  <c r="Q475" i="10"/>
  <c r="V518" i="10" l="1"/>
  <c r="P517" i="10"/>
  <c r="Q517" i="10" s="1"/>
  <c r="P518" i="10"/>
  <c r="Q518" i="10" s="1"/>
  <c r="W229" i="13"/>
  <c r="H479" i="10"/>
  <c r="J477" i="10"/>
  <c r="M477" i="10" s="1"/>
  <c r="N477" i="10" s="1"/>
  <c r="J475" i="10"/>
  <c r="M475" i="10" s="1"/>
  <c r="N475" i="10" s="1"/>
  <c r="W518" i="10" l="1"/>
  <c r="X518" i="10" s="1"/>
  <c r="W517" i="10"/>
  <c r="X517" i="10" s="1"/>
  <c r="R229" i="13"/>
  <c r="H478" i="10"/>
  <c r="V229" i="13"/>
  <c r="H480" i="10"/>
  <c r="V479" i="10"/>
  <c r="J518" i="10" l="1"/>
  <c r="M518" i="10" s="1"/>
  <c r="N518" i="10" s="1"/>
  <c r="J517" i="10"/>
  <c r="M517" i="10" s="1"/>
  <c r="N517" i="10" s="1"/>
  <c r="H519" i="10" s="1"/>
  <c r="P479" i="10"/>
  <c r="Q479" i="10" s="1"/>
  <c r="P480" i="10"/>
  <c r="Q480" i="10" s="1"/>
  <c r="V480" i="10"/>
  <c r="P478" i="10"/>
  <c r="Q478" i="10" s="1"/>
  <c r="V478" i="10"/>
  <c r="H522" i="10" l="1"/>
  <c r="V522" i="10" s="1"/>
  <c r="K248" i="13"/>
  <c r="V519" i="10"/>
  <c r="P521" i="10"/>
  <c r="Q521" i="10" s="1"/>
  <c r="P523" i="10"/>
  <c r="P519" i="10"/>
  <c r="Q519" i="10" s="1"/>
  <c r="P522" i="10"/>
  <c r="P520" i="10"/>
  <c r="Q520" i="10" s="1"/>
  <c r="W478" i="10"/>
  <c r="X478" i="10" s="1"/>
  <c r="W479" i="10"/>
  <c r="X479" i="10" s="1"/>
  <c r="J479" i="10" s="1"/>
  <c r="M479" i="10" s="1"/>
  <c r="N479" i="10" s="1"/>
  <c r="W480" i="10"/>
  <c r="X480" i="10" s="1"/>
  <c r="W521" i="10" l="1"/>
  <c r="X521" i="10" s="1"/>
  <c r="J521" i="10" s="1"/>
  <c r="M521" i="10" s="1"/>
  <c r="N521" i="10" s="1"/>
  <c r="W520" i="10"/>
  <c r="X520" i="10" s="1"/>
  <c r="J520" i="10" s="1"/>
  <c r="M520" i="10" s="1"/>
  <c r="N520" i="10" s="1"/>
  <c r="H525" i="10" s="1"/>
  <c r="V525" i="10" s="1"/>
  <c r="W523" i="10"/>
  <c r="W519" i="10"/>
  <c r="X519" i="10" s="1"/>
  <c r="W522" i="10"/>
  <c r="X522" i="10" s="1"/>
  <c r="J522" i="10" s="1"/>
  <c r="M522" i="10" s="1"/>
  <c r="N522" i="10" s="1"/>
  <c r="Q522" i="10"/>
  <c r="W230" i="13"/>
  <c r="H482" i="10"/>
  <c r="J478" i="10"/>
  <c r="M478" i="10" s="1"/>
  <c r="N478" i="10" s="1"/>
  <c r="J480" i="10"/>
  <c r="M480" i="10" s="1"/>
  <c r="N480" i="10" s="1"/>
  <c r="H526" i="10" l="1"/>
  <c r="V526" i="10" s="1"/>
  <c r="S249" i="13"/>
  <c r="K249" i="13"/>
  <c r="H527" i="10"/>
  <c r="V230" i="13"/>
  <c r="H483" i="10"/>
  <c r="R230" i="13"/>
  <c r="H481" i="10"/>
  <c r="V482" i="10"/>
  <c r="P525" i="10" l="1"/>
  <c r="Q525" i="10" s="1"/>
  <c r="P524" i="10"/>
  <c r="P527" i="10"/>
  <c r="Q527" i="10" s="1"/>
  <c r="P526" i="10"/>
  <c r="Q526" i="10" s="1"/>
  <c r="P528" i="10"/>
  <c r="V527" i="10"/>
  <c r="P482" i="10"/>
  <c r="Q482" i="10" s="1"/>
  <c r="P481" i="10"/>
  <c r="Q481" i="10" s="1"/>
  <c r="P483" i="10"/>
  <c r="Q483" i="10" s="1"/>
  <c r="V481" i="10"/>
  <c r="V483" i="10"/>
  <c r="W528" i="10" l="1"/>
  <c r="W525" i="10"/>
  <c r="X525" i="10" s="1"/>
  <c r="J525" i="10" s="1"/>
  <c r="M525" i="10" s="1"/>
  <c r="N525" i="10" s="1"/>
  <c r="H544" i="10" s="1"/>
  <c r="V544" i="10" s="1"/>
  <c r="W526" i="10"/>
  <c r="X526" i="10" s="1"/>
  <c r="J526" i="10" s="1"/>
  <c r="M526" i="10" s="1"/>
  <c r="N526" i="10" s="1"/>
  <c r="W527" i="10"/>
  <c r="X527" i="10" s="1"/>
  <c r="W524" i="10"/>
  <c r="W483" i="10"/>
  <c r="X483" i="10" s="1"/>
  <c r="J483" i="10" s="1"/>
  <c r="M483" i="10" s="1"/>
  <c r="N483" i="10" s="1"/>
  <c r="W482" i="10"/>
  <c r="X482" i="10" s="1"/>
  <c r="W481" i="10"/>
  <c r="X481" i="10" s="1"/>
  <c r="S250" i="13" l="1"/>
  <c r="H532" i="10"/>
  <c r="V532" i="10" s="1"/>
  <c r="J482" i="10"/>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W330" i="13" s="1"/>
  <c r="Q484" i="10"/>
  <c r="Q485" i="10"/>
  <c r="V484" i="10"/>
  <c r="W328" i="13" l="1"/>
  <c r="W329" i="13"/>
  <c r="W326" i="13"/>
  <c r="W327" i="13"/>
  <c r="W324" i="13"/>
  <c r="W325" i="13"/>
  <c r="W322" i="13"/>
  <c r="W323" i="13"/>
  <c r="W320" i="13"/>
  <c r="W321" i="13"/>
  <c r="W318" i="13"/>
  <c r="W319" i="13"/>
  <c r="W316" i="13"/>
  <c r="W317" i="13"/>
  <c r="AL19" i="13"/>
  <c r="J19" i="13" s="1"/>
  <c r="W315" i="13"/>
  <c r="W313" i="13"/>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V330" i="13" s="1"/>
  <c r="V247" i="13"/>
  <c r="V248" i="13"/>
  <c r="R232" i="13"/>
  <c r="H488" i="10"/>
  <c r="V232" i="13"/>
  <c r="V234" i="13"/>
  <c r="V236" i="13"/>
  <c r="V233" i="13"/>
  <c r="V235" i="13"/>
  <c r="P2" i="14"/>
  <c r="B19" i="13"/>
  <c r="V328" i="13" l="1"/>
  <c r="V329" i="13"/>
  <c r="V326" i="13"/>
  <c r="V327" i="13"/>
  <c r="V324" i="13"/>
  <c r="V325" i="13"/>
  <c r="V322" i="13"/>
  <c r="V323" i="13"/>
  <c r="V320" i="13"/>
  <c r="V321" i="13"/>
  <c r="V318" i="13"/>
  <c r="V319" i="13"/>
  <c r="V316" i="13"/>
  <c r="V317" i="13"/>
  <c r="AL18" i="13"/>
  <c r="J18" i="13" s="1"/>
  <c r="V315" i="13"/>
  <c r="V313" i="13"/>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W542" i="10"/>
  <c r="X542" i="10" s="1"/>
  <c r="J542" i="10" s="1"/>
  <c r="M542" i="10" s="1"/>
  <c r="N542" i="10" s="1"/>
  <c r="H550" i="10" s="1"/>
  <c r="J541" i="10" l="1"/>
  <c r="M541" i="10" s="1"/>
  <c r="N541" i="10" s="1"/>
  <c r="K255" i="13" s="1"/>
  <c r="P549" i="10"/>
  <c r="P550" i="10"/>
  <c r="Q550" i="10" s="1"/>
  <c r="V550" i="10"/>
  <c r="S258" i="13"/>
  <c r="S256" i="13"/>
  <c r="S257" i="13"/>
  <c r="S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N582" i="10" s="1"/>
  <c r="H588" i="10" s="1"/>
  <c r="H619" i="10"/>
  <c r="P598" i="10"/>
  <c r="P599" i="10"/>
  <c r="Q599" i="10" s="1"/>
  <c r="P597" i="10"/>
  <c r="V599" i="10"/>
  <c r="M277" i="13"/>
  <c r="M276" i="13"/>
  <c r="V592" i="10"/>
  <c r="V587" i="10"/>
  <c r="M273" i="13"/>
  <c r="M275" i="13"/>
  <c r="M274" i="13"/>
  <c r="R273" i="13"/>
  <c r="R274" i="13"/>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P626" i="10"/>
  <c r="P625" i="10"/>
  <c r="Q625" i="10" s="1"/>
  <c r="V625" i="10"/>
  <c r="H623" i="10"/>
  <c r="H622" i="10"/>
  <c r="R285" i="13"/>
  <c r="K283" i="13"/>
  <c r="J613" i="10" l="1"/>
  <c r="M613" i="10" s="1"/>
  <c r="N613" i="10" s="1"/>
  <c r="J614" i="10"/>
  <c r="M614" i="10" s="1"/>
  <c r="N614" i="10" s="1"/>
  <c r="W626" i="10"/>
  <c r="W625" i="10"/>
  <c r="X625" i="10" s="1"/>
  <c r="V623" i="10"/>
  <c r="V622" i="10"/>
  <c r="H615" i="10" l="1"/>
  <c r="V615" i="10" s="1"/>
  <c r="N283" i="13"/>
  <c r="H616" i="10"/>
  <c r="S283" i="13"/>
  <c r="K284" i="13"/>
  <c r="V616" i="10" l="1"/>
  <c r="P615" i="10"/>
  <c r="Q615" i="10" s="1"/>
  <c r="P616" i="10"/>
  <c r="Q616" i="10" s="1"/>
  <c r="W615" i="10" l="1"/>
  <c r="X615" i="10" s="1"/>
  <c r="W616" i="10"/>
  <c r="X616" i="10" s="1"/>
  <c r="J616" i="10" l="1"/>
  <c r="M616" i="10" s="1"/>
  <c r="N616" i="10" s="1"/>
  <c r="H714" i="10" s="1"/>
  <c r="J615" i="10"/>
  <c r="M615" i="10" s="1"/>
  <c r="N615" i="10" s="1"/>
  <c r="V714" i="10" l="1"/>
  <c r="S300" i="13"/>
  <c r="S318" i="13"/>
  <c r="S294" i="13"/>
  <c r="S310" i="13"/>
  <c r="S288" i="13"/>
  <c r="S287" i="13"/>
  <c r="S290" i="13"/>
  <c r="S289" i="13"/>
  <c r="S293" i="13"/>
  <c r="S291" i="13"/>
  <c r="S292" i="13"/>
  <c r="S296" i="13"/>
  <c r="S303" i="13"/>
  <c r="S306" i="13"/>
  <c r="S302" i="13"/>
  <c r="S308" i="13"/>
  <c r="S307" i="13"/>
  <c r="S298" i="13"/>
  <c r="S309" i="13"/>
  <c r="S312" i="13"/>
  <c r="S297" i="13"/>
  <c r="S314" i="13"/>
  <c r="S313" i="13"/>
  <c r="S301" i="13"/>
  <c r="S315" i="13"/>
  <c r="AL15" i="13"/>
  <c r="J15" i="13" s="1"/>
  <c r="S304" i="13"/>
  <c r="S316" i="13"/>
  <c r="S319" i="13"/>
  <c r="S299" i="13"/>
  <c r="S317" i="13"/>
  <c r="S320" i="13"/>
  <c r="S305" i="13"/>
  <c r="S321" i="13"/>
  <c r="S322" i="13"/>
  <c r="S295" i="13"/>
  <c r="S311" i="13"/>
  <c r="S323" i="13"/>
  <c r="S284" i="13"/>
  <c r="S286" i="13"/>
  <c r="S285" i="13"/>
  <c r="S324" i="13"/>
  <c r="N284" i="13"/>
  <c r="H620" i="10"/>
  <c r="V620" i="10" l="1"/>
  <c r="X620" i="10" s="1"/>
  <c r="Q620" i="10"/>
  <c r="J618" i="10" l="1"/>
  <c r="M618" i="10" s="1"/>
  <c r="N618" i="10" s="1"/>
  <c r="J620" i="10"/>
  <c r="M620" i="10" s="1"/>
  <c r="N620" i="10" s="1"/>
  <c r="N329" i="13" l="1"/>
  <c r="N330" i="13"/>
  <c r="N327" i="13"/>
  <c r="N328" i="13"/>
  <c r="N325" i="13"/>
  <c r="N326" i="13"/>
  <c r="K285" i="13"/>
  <c r="H624" i="10"/>
  <c r="N306" i="13"/>
  <c r="B5" i="14"/>
  <c r="N285" i="13"/>
  <c r="N287" i="13"/>
  <c r="N286" i="13"/>
  <c r="N289" i="13"/>
  <c r="N288" i="13"/>
  <c r="N291" i="13"/>
  <c r="N292" i="13"/>
  <c r="N290" i="13"/>
  <c r="N295" i="13"/>
  <c r="N294" i="13"/>
  <c r="N296" i="13"/>
  <c r="N297" i="13"/>
  <c r="N300" i="13"/>
  <c r="N299" i="13"/>
  <c r="N298" i="13"/>
  <c r="N301" i="13"/>
  <c r="N303" i="13"/>
  <c r="N302" i="13"/>
  <c r="N309" i="13"/>
  <c r="N293" i="13"/>
  <c r="N312" i="13"/>
  <c r="N311" i="13"/>
  <c r="N314" i="13"/>
  <c r="N305" i="13"/>
  <c r="N313" i="13"/>
  <c r="N317" i="13"/>
  <c r="N316" i="13"/>
  <c r="N310" i="13"/>
  <c r="N318" i="13"/>
  <c r="N321" i="13"/>
  <c r="N308" i="13"/>
  <c r="AL10" i="13"/>
  <c r="J10" i="13" s="1"/>
  <c r="N323" i="13"/>
  <c r="N307" i="13"/>
  <c r="N319" i="13"/>
  <c r="N322" i="13"/>
  <c r="N304" i="13"/>
  <c r="N315" i="13"/>
  <c r="N320" i="13"/>
  <c r="N324" i="13"/>
  <c r="V624" i="10" l="1"/>
  <c r="P623" i="10"/>
  <c r="Q623" i="10" s="1"/>
  <c r="P624" i="10"/>
  <c r="Q624" i="10" s="1"/>
  <c r="P622" i="10"/>
  <c r="Q622" i="10" s="1"/>
  <c r="B10" i="13"/>
  <c r="S10" i="13" s="1"/>
  <c r="G2" i="14"/>
  <c r="F101" i="7" l="1"/>
  <c r="S101" i="7" s="1"/>
  <c r="W10" i="13"/>
  <c r="AI10" i="13"/>
  <c r="W624" i="10"/>
  <c r="X624" i="10" s="1"/>
  <c r="W623" i="10"/>
  <c r="X623" i="10" s="1"/>
  <c r="J623" i="10" s="1"/>
  <c r="M623" i="10" s="1"/>
  <c r="N623" i="10" s="1"/>
  <c r="W622" i="10"/>
  <c r="X622" i="10" s="1"/>
  <c r="J622" i="10" s="1"/>
  <c r="M622" i="10" s="1"/>
  <c r="N622" i="10" s="1"/>
  <c r="H626" i="10" s="1"/>
  <c r="Q626" i="10" l="1"/>
  <c r="V626" i="10"/>
  <c r="X626" i="10" s="1"/>
  <c r="J626" i="10" s="1"/>
  <c r="M626" i="10" s="1"/>
  <c r="N626" i="10" s="1"/>
  <c r="J624" i="10"/>
  <c r="M624" i="10" s="1"/>
  <c r="N624" i="10" s="1"/>
  <c r="K286" i="13"/>
  <c r="H691" i="10"/>
  <c r="V691" i="10" s="1"/>
  <c r="R286" i="13"/>
  <c r="R287" i="13"/>
  <c r="H628" i="10"/>
  <c r="V628" i="10" s="1"/>
  <c r="J625" i="10"/>
  <c r="M625" i="10" s="1"/>
  <c r="N625" i="10" s="1"/>
  <c r="K294" i="13" l="1"/>
  <c r="K312" i="13"/>
  <c r="K295" i="13"/>
  <c r="K288" i="13"/>
  <c r="K290" i="13"/>
  <c r="K289" i="13"/>
  <c r="K292" i="13"/>
  <c r="K293" i="13"/>
  <c r="K287" i="13"/>
  <c r="K296" i="13"/>
  <c r="K297" i="13"/>
  <c r="K298" i="13"/>
  <c r="K303" i="13"/>
  <c r="K302" i="13"/>
  <c r="K306" i="13"/>
  <c r="K308" i="13"/>
  <c r="K301" i="13"/>
  <c r="K309" i="13"/>
  <c r="K300" i="13"/>
  <c r="K314" i="13"/>
  <c r="K299" i="13"/>
  <c r="K313" i="13"/>
  <c r="K305" i="13"/>
  <c r="AL7" i="13"/>
  <c r="J7" i="13" s="1"/>
  <c r="K311" i="13"/>
  <c r="K310" i="13"/>
  <c r="K307" i="13"/>
  <c r="K291" i="13"/>
  <c r="K304" i="13"/>
  <c r="H627" i="10"/>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X629" i="10" l="1"/>
  <c r="J629" i="10" l="1"/>
  <c r="M629" i="10" s="1"/>
  <c r="N629" i="10" s="1"/>
  <c r="J630" i="10"/>
  <c r="M630" i="10" s="1"/>
  <c r="N630" i="10" s="1"/>
  <c r="R289" i="13" s="1"/>
  <c r="H632" i="10"/>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W640" i="10"/>
  <c r="X640" i="10" s="1"/>
  <c r="J640" i="10" s="1"/>
  <c r="M640" i="10" s="1"/>
  <c r="N640" i="10" s="1"/>
  <c r="J639" i="10" l="1"/>
  <c r="M639" i="10" s="1"/>
  <c r="N639" i="10" s="1"/>
  <c r="H642" i="10"/>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W652" i="10"/>
  <c r="X652" i="10" s="1"/>
  <c r="J652" i="10" s="1"/>
  <c r="M652" i="10" s="1"/>
  <c r="J654" i="10" l="1"/>
  <c r="M654" i="10" s="1"/>
  <c r="N654" i="10" s="1"/>
  <c r="V658" i="10"/>
  <c r="H655" i="10"/>
  <c r="N652" i="10"/>
  <c r="H659" i="10" s="1"/>
  <c r="V659" i="10" l="1"/>
  <c r="P656" i="10"/>
  <c r="Q656" i="10" s="1"/>
  <c r="P655" i="10"/>
  <c r="Q655" i="10" s="1"/>
  <c r="V655" i="10"/>
  <c r="W655" i="10" l="1"/>
  <c r="X655" i="10" s="1"/>
  <c r="W656" i="10"/>
  <c r="X656" i="10" s="1"/>
  <c r="J656" i="10" s="1"/>
  <c r="M656" i="10" s="1"/>
  <c r="N656" i="10" s="1"/>
  <c r="H676" i="10" s="1"/>
  <c r="J655" i="10" l="1"/>
  <c r="M655" i="10" s="1"/>
  <c r="N655" i="10" s="1"/>
  <c r="H657" i="10" s="1"/>
  <c r="V676" i="10"/>
  <c r="X676" i="10" s="1"/>
  <c r="Q676" i="10"/>
  <c r="R307" i="13"/>
  <c r="R306" i="13"/>
  <c r="R305" i="13"/>
  <c r="R303" i="13"/>
  <c r="R304" i="13"/>
  <c r="R302" i="13"/>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W677" i="10"/>
  <c r="X677" i="10" s="1"/>
  <c r="V660" i="10"/>
  <c r="P661" i="10"/>
  <c r="Q661" i="10" s="1"/>
  <c r="P662" i="10"/>
  <c r="Q662" i="10" s="1"/>
  <c r="P660" i="10"/>
  <c r="Q660" i="10" s="1"/>
  <c r="V661" i="10"/>
  <c r="J677" i="10" l="1"/>
  <c r="M677" i="10" s="1"/>
  <c r="N677" i="10" s="1"/>
  <c r="H721" i="10" s="1"/>
  <c r="O324" i="13"/>
  <c r="O325" i="13"/>
  <c r="O322" i="13"/>
  <c r="O323" i="13"/>
  <c r="O320" i="13"/>
  <c r="O321" i="13"/>
  <c r="O318" i="13"/>
  <c r="O319" i="13"/>
  <c r="O316" i="13"/>
  <c r="O317" i="13"/>
  <c r="AL11" i="13"/>
  <c r="J11" i="13" s="1"/>
  <c r="O315" i="13"/>
  <c r="O313" i="13"/>
  <c r="O314" i="13"/>
  <c r="O312" i="13"/>
  <c r="H681" i="10"/>
  <c r="O310" i="13"/>
  <c r="O311" i="13"/>
  <c r="R310" i="13"/>
  <c r="O309" i="13"/>
  <c r="R309" i="13"/>
  <c r="W660" i="10"/>
  <c r="X660" i="10" s="1"/>
  <c r="W661" i="10"/>
  <c r="X661" i="10" s="1"/>
  <c r="W662" i="10"/>
  <c r="X662" i="10" s="1"/>
  <c r="J662" i="10" s="1"/>
  <c r="M662" i="10" s="1"/>
  <c r="N662" i="10" s="1"/>
  <c r="H665" i="10" s="1"/>
  <c r="V665" i="10" s="1"/>
  <c r="P721" i="10" l="1"/>
  <c r="Q721" i="10" s="1"/>
  <c r="P722" i="10"/>
  <c r="V721" i="10"/>
  <c r="O328" i="13"/>
  <c r="O326" i="13"/>
  <c r="O327" i="13"/>
  <c r="P681" i="10"/>
  <c r="Q681" i="10" s="1"/>
  <c r="P682" i="10"/>
  <c r="V681" i="10"/>
  <c r="J661" i="10"/>
  <c r="M661" i="10" s="1"/>
  <c r="N661" i="10" s="1"/>
  <c r="H664" i="10" s="1"/>
  <c r="J660" i="10"/>
  <c r="M660" i="10" s="1"/>
  <c r="N660" i="10" s="1"/>
  <c r="H663" i="10"/>
  <c r="W721" i="10" l="1"/>
  <c r="X721" i="10" s="1"/>
  <c r="W722" i="10"/>
  <c r="W681" i="10"/>
  <c r="X681" i="10" s="1"/>
  <c r="W682" i="10"/>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l="1"/>
  <c r="M670" i="10" s="1"/>
  <c r="N670" i="10" s="1"/>
  <c r="H673" i="10" s="1"/>
  <c r="P674" i="10" s="1"/>
  <c r="U306" i="13"/>
  <c r="H674" i="10"/>
  <c r="Q306" i="13"/>
  <c r="N669" i="10"/>
  <c r="H672" i="10" s="1"/>
  <c r="V673" i="10" l="1"/>
  <c r="P673" i="10"/>
  <c r="Q673" i="10" s="1"/>
  <c r="P672" i="10"/>
  <c r="Q672" i="10" s="1"/>
  <c r="Q674" i="10"/>
  <c r="V674" i="10"/>
  <c r="V672" i="10"/>
  <c r="P306" i="13"/>
  <c r="W674" i="10" l="1"/>
  <c r="X674" i="10" s="1"/>
  <c r="J674" i="10" s="1"/>
  <c r="M674" i="10" s="1"/>
  <c r="N674" i="10" s="1"/>
  <c r="H719" i="10" s="1"/>
  <c r="W672" i="10"/>
  <c r="X672" i="10" s="1"/>
  <c r="W673" i="10"/>
  <c r="X673" i="10" s="1"/>
  <c r="P719" i="10" l="1"/>
  <c r="Q719" i="10" s="1"/>
  <c r="P720" i="10"/>
  <c r="V719" i="10"/>
  <c r="U307" i="13"/>
  <c r="J673" i="10"/>
  <c r="M673" i="10" s="1"/>
  <c r="N673" i="10" s="1"/>
  <c r="Q330" i="13" s="1"/>
  <c r="J672" i="10"/>
  <c r="M672" i="10" s="1"/>
  <c r="N672" i="10" s="1"/>
  <c r="P308" i="13" s="1"/>
  <c r="U326" i="13"/>
  <c r="U327" i="13"/>
  <c r="U324" i="13"/>
  <c r="U325" i="13"/>
  <c r="U322" i="13"/>
  <c r="U323" i="13"/>
  <c r="U320" i="13"/>
  <c r="U321" i="13"/>
  <c r="U318" i="13"/>
  <c r="U319" i="13"/>
  <c r="U316" i="13"/>
  <c r="U317" i="13"/>
  <c r="AL17" i="13"/>
  <c r="J17" i="13" s="1"/>
  <c r="U315" i="13"/>
  <c r="Q315" i="13"/>
  <c r="U313" i="13"/>
  <c r="U314" i="13"/>
  <c r="Q314" i="13"/>
  <c r="U312" i="13"/>
  <c r="U310" i="13"/>
  <c r="U311" i="13"/>
  <c r="H679" i="10"/>
  <c r="P309" i="13"/>
  <c r="U308" i="13"/>
  <c r="U309" i="13"/>
  <c r="P307" i="13"/>
  <c r="Q329" i="13" l="1"/>
  <c r="Q323" i="13"/>
  <c r="Q318" i="13"/>
  <c r="Q313" i="13"/>
  <c r="Q312" i="13"/>
  <c r="Q311" i="13"/>
  <c r="Q309" i="13"/>
  <c r="Q307" i="13"/>
  <c r="W719" i="10"/>
  <c r="X719" i="10" s="1"/>
  <c r="W720" i="10"/>
  <c r="Q324" i="13"/>
  <c r="Q321" i="13"/>
  <c r="B8" i="14"/>
  <c r="Q328" i="13"/>
  <c r="Q326" i="13"/>
  <c r="Q322" i="13"/>
  <c r="Q316" i="13"/>
  <c r="Q327" i="13"/>
  <c r="Q325" i="13"/>
  <c r="Q320" i="13"/>
  <c r="Q319" i="13"/>
  <c r="Q317" i="13"/>
  <c r="AL13" i="13"/>
  <c r="J13" i="13" s="1"/>
  <c r="Q310" i="13"/>
  <c r="Q308" i="13"/>
  <c r="P679" i="10"/>
  <c r="Q679" i="10" s="1"/>
  <c r="P680" i="10"/>
  <c r="Q680" i="10" s="1"/>
  <c r="V679" i="10"/>
  <c r="W680" i="10" s="1"/>
  <c r="X680" i="10" s="1"/>
  <c r="B13" i="13" l="1"/>
  <c r="S13" i="13" s="1"/>
  <c r="J2" i="14"/>
  <c r="J680" i="10"/>
  <c r="M680" i="10" s="1"/>
  <c r="N680" i="10" s="1"/>
  <c r="J679" i="10"/>
  <c r="M679" i="10" s="1"/>
  <c r="N679" i="10" s="1"/>
  <c r="W679" i="10"/>
  <c r="X679" i="10" s="1"/>
  <c r="P310" i="13"/>
  <c r="M329" i="13" l="1"/>
  <c r="M330" i="13"/>
  <c r="F91" i="7"/>
  <c r="S91" i="7" s="1"/>
  <c r="W13" i="13"/>
  <c r="AI13" i="13"/>
  <c r="M327" i="13"/>
  <c r="M328" i="13"/>
  <c r="M325" i="13"/>
  <c r="M326" i="13"/>
  <c r="M323" i="13"/>
  <c r="M324" i="13"/>
  <c r="M321" i="13"/>
  <c r="M322" i="13"/>
  <c r="M319" i="13"/>
  <c r="M320" i="13"/>
  <c r="M317" i="13"/>
  <c r="M318" i="13"/>
  <c r="M315" i="13"/>
  <c r="M316" i="13"/>
  <c r="M314" i="13"/>
  <c r="AL9" i="13"/>
  <c r="J9" i="13" s="1"/>
  <c r="M312" i="13"/>
  <c r="M313" i="13"/>
  <c r="H682" i="10"/>
  <c r="M311" i="13"/>
  <c r="M310" i="13"/>
  <c r="B4" i="14"/>
  <c r="Q682" i="10" l="1"/>
  <c r="V682" i="10"/>
  <c r="X682" i="10" s="1"/>
  <c r="F2" i="14"/>
  <c r="B9" i="13"/>
  <c r="S9" i="13" s="1"/>
  <c r="J682" i="10" l="1"/>
  <c r="M682" i="10" s="1"/>
  <c r="N682" i="10" s="1"/>
  <c r="J681" i="10"/>
  <c r="M681" i="10" s="1"/>
  <c r="N681" i="10" s="1"/>
  <c r="P311" i="13"/>
  <c r="F99" i="7"/>
  <c r="S99" i="7" s="1"/>
  <c r="AI9" i="13"/>
  <c r="W9"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l="1"/>
  <c r="M685" i="10" s="1"/>
  <c r="N685" i="10" s="1"/>
  <c r="H688" i="10"/>
  <c r="P313" i="13"/>
  <c r="V688" i="10" l="1"/>
  <c r="H687" i="10"/>
  <c r="P688" i="10" s="1"/>
  <c r="Q688" i="10" s="1"/>
  <c r="R313" i="13"/>
  <c r="P687" i="10" l="1"/>
  <c r="Q687" i="10" s="1"/>
  <c r="W688" i="10"/>
  <c r="X688" i="10" s="1"/>
  <c r="W687" i="10"/>
  <c r="V687" i="10"/>
  <c r="J688" i="10" l="1"/>
  <c r="M688" i="10" s="1"/>
  <c r="N688" i="10" s="1"/>
  <c r="AL12" i="13" s="1"/>
  <c r="J12" i="13" s="1"/>
  <c r="X687" i="10"/>
  <c r="J687" i="10" s="1"/>
  <c r="M687" i="10" s="1"/>
  <c r="N687" i="10" s="1"/>
  <c r="AL14" i="13" s="1"/>
  <c r="J14" i="13" s="1"/>
  <c r="K14" i="13" l="1"/>
  <c r="K12" i="13"/>
  <c r="K13" i="13"/>
  <c r="K17" i="13"/>
  <c r="K11" i="13"/>
  <c r="K19" i="13"/>
  <c r="K15" i="13"/>
  <c r="K9" i="13"/>
  <c r="K8" i="13"/>
  <c r="K10" i="13"/>
  <c r="K16" i="13"/>
  <c r="K7" i="13"/>
  <c r="K20" i="13"/>
  <c r="K18" i="13"/>
  <c r="H690" i="10"/>
  <c r="H689" i="10"/>
  <c r="P314" i="13"/>
  <c r="R314" i="13"/>
  <c r="P690" i="10" l="1"/>
  <c r="Q690" i="10" s="1"/>
  <c r="P691" i="10"/>
  <c r="Q691" i="10" s="1"/>
  <c r="P689" i="10"/>
  <c r="Q689" i="10" s="1"/>
  <c r="V689" i="10"/>
  <c r="V690" i="10"/>
  <c r="W691" i="10" l="1"/>
  <c r="X691" i="10" s="1"/>
  <c r="J691" i="10" s="1"/>
  <c r="M691" i="10" s="1"/>
  <c r="N691" i="10" s="1"/>
  <c r="W689" i="10"/>
  <c r="X689" i="10" s="1"/>
  <c r="W690" i="10"/>
  <c r="X690" i="10" s="1"/>
  <c r="J690" i="10" l="1"/>
  <c r="M690" i="10" s="1"/>
  <c r="N690" i="10" s="1"/>
  <c r="J689" i="10"/>
  <c r="M689" i="10" s="1"/>
  <c r="N689" i="10" s="1"/>
  <c r="P315" i="13" s="1"/>
  <c r="H694" i="10"/>
  <c r="H693" i="10"/>
  <c r="R315" i="13"/>
  <c r="K315" i="13"/>
  <c r="P693" i="10" l="1"/>
  <c r="Q693" i="10" s="1"/>
  <c r="P692" i="10"/>
  <c r="P694" i="10"/>
  <c r="Q694" i="10" s="1"/>
  <c r="V694" i="10"/>
  <c r="H692" i="10"/>
  <c r="V693" i="10"/>
  <c r="W693" i="10" l="1"/>
  <c r="X693" i="10" s="1"/>
  <c r="W692" i="10"/>
  <c r="W694" i="10"/>
  <c r="X694" i="10" s="1"/>
  <c r="Q692" i="10"/>
  <c r="V692" i="10"/>
  <c r="X692" i="10" l="1"/>
  <c r="J694" i="10"/>
  <c r="M694" i="10" s="1"/>
  <c r="N694" i="10" s="1"/>
  <c r="K316" i="13"/>
  <c r="J692" i="10" l="1"/>
  <c r="M692" i="10" s="1"/>
  <c r="N692" i="10" s="1"/>
  <c r="J693" i="10"/>
  <c r="M693" i="10" s="1"/>
  <c r="N693" i="10" s="1"/>
  <c r="R316" i="13" s="1"/>
  <c r="H695" i="10"/>
  <c r="H696" i="10"/>
  <c r="H697" i="10"/>
  <c r="P316" i="13"/>
  <c r="P696" i="10" l="1"/>
  <c r="Q696" i="10" s="1"/>
  <c r="P697" i="10"/>
  <c r="Q697" i="10" s="1"/>
  <c r="P695" i="10"/>
  <c r="Q695" i="10" s="1"/>
  <c r="V697" i="10"/>
  <c r="V696" i="10"/>
  <c r="V695" i="10"/>
  <c r="W697" i="10" l="1"/>
  <c r="X697" i="10" s="1"/>
  <c r="J697" i="10" s="1"/>
  <c r="M697" i="10" s="1"/>
  <c r="N697" i="10" s="1"/>
  <c r="W695" i="10"/>
  <c r="X695" i="10" s="1"/>
  <c r="J695" i="10" s="1"/>
  <c r="M695" i="10" s="1"/>
  <c r="W696" i="10"/>
  <c r="X696" i="10" s="1"/>
  <c r="J696" i="10" l="1"/>
  <c r="M696" i="10" s="1"/>
  <c r="N696" i="10" s="1"/>
  <c r="H699" i="10"/>
  <c r="H700" i="10"/>
  <c r="R317" i="13"/>
  <c r="N695" i="10"/>
  <c r="K317" i="13"/>
  <c r="H698" i="10" l="1"/>
  <c r="V700" i="10"/>
  <c r="V699" i="10"/>
  <c r="P317" i="13"/>
  <c r="P700" i="10" l="1"/>
  <c r="Q700" i="10" s="1"/>
  <c r="P698" i="10"/>
  <c r="Q698" i="10" s="1"/>
  <c r="P699" i="10"/>
  <c r="Q699" i="10" s="1"/>
  <c r="V698" i="10"/>
  <c r="W698" i="10" l="1"/>
  <c r="X698" i="10" s="1"/>
  <c r="W699" i="10"/>
  <c r="X699" i="10" s="1"/>
  <c r="J699" i="10" s="1"/>
  <c r="M699" i="10" s="1"/>
  <c r="N699" i="10" s="1"/>
  <c r="W700" i="10"/>
  <c r="X700" i="10" s="1"/>
  <c r="J700" i="10" s="1"/>
  <c r="M700" i="10" s="1"/>
  <c r="N700" i="10" s="1"/>
  <c r="H712" i="10" s="1"/>
  <c r="V712" i="10" l="1"/>
  <c r="J698" i="10"/>
  <c r="M698" i="10" s="1"/>
  <c r="N698" i="10" s="1"/>
  <c r="P318" i="13" s="1"/>
  <c r="K323" i="13"/>
  <c r="K321" i="13"/>
  <c r="K322" i="13"/>
  <c r="K319" i="13"/>
  <c r="K320" i="13"/>
  <c r="H702" i="10"/>
  <c r="K318" i="13"/>
  <c r="R318" i="13"/>
  <c r="P702" i="10" l="1"/>
  <c r="Q702" i="10" s="1"/>
  <c r="P701" i="10"/>
  <c r="H701" i="10"/>
  <c r="V702" i="10"/>
  <c r="W702" i="10" l="1"/>
  <c r="X702" i="10" s="1"/>
  <c r="W701" i="10"/>
  <c r="Q701" i="10"/>
  <c r="V701" i="10"/>
  <c r="X701" i="10" l="1"/>
  <c r="J701" i="10" l="1"/>
  <c r="M701" i="10" s="1"/>
  <c r="N701" i="10" s="1"/>
  <c r="J702" i="10"/>
  <c r="M702" i="10" s="1"/>
  <c r="N702" i="10" s="1"/>
  <c r="H704" i="10"/>
  <c r="H703" i="10"/>
  <c r="R319" i="13"/>
  <c r="P319" i="13"/>
  <c r="P703" i="10" l="1"/>
  <c r="Q703" i="10" s="1"/>
  <c r="P704" i="10"/>
  <c r="Q704" i="10" s="1"/>
  <c r="V704" i="10"/>
  <c r="V703" i="10"/>
  <c r="W703" i="10" l="1"/>
  <c r="X703" i="10" s="1"/>
  <c r="J703" i="10" s="1"/>
  <c r="M703" i="10" s="1"/>
  <c r="W704" i="10"/>
  <c r="X704" i="10" s="1"/>
  <c r="J704" i="10" l="1"/>
  <c r="M704" i="10" s="1"/>
  <c r="N704" i="10" s="1"/>
  <c r="H706" i="10"/>
  <c r="R320" i="13"/>
  <c r="N703" i="10"/>
  <c r="P320" i="13"/>
  <c r="P706" i="10" l="1"/>
  <c r="Q706" i="10" s="1"/>
  <c r="P705" i="10"/>
  <c r="H705" i="10"/>
  <c r="V706" i="10"/>
  <c r="W705" i="10" l="1"/>
  <c r="W706" i="10"/>
  <c r="X706" i="10" s="1"/>
  <c r="Q705" i="10"/>
  <c r="V705" i="10"/>
  <c r="X705" i="10" l="1"/>
  <c r="J705" i="10" l="1"/>
  <c r="M705" i="10" s="1"/>
  <c r="N705" i="10" s="1"/>
  <c r="J706" i="10"/>
  <c r="M706" i="10" s="1"/>
  <c r="N706" i="10" s="1"/>
  <c r="H707" i="10"/>
  <c r="H708" i="10"/>
  <c r="R321" i="13"/>
  <c r="P321" i="13"/>
  <c r="P708" i="10" l="1"/>
  <c r="Q708" i="10" s="1"/>
  <c r="P707" i="10"/>
  <c r="Q707" i="10" s="1"/>
  <c r="V708" i="10"/>
  <c r="V707" i="10"/>
  <c r="W708" i="10" l="1"/>
  <c r="X708" i="10" s="1"/>
  <c r="W707" i="10"/>
  <c r="X707" i="10" s="1"/>
  <c r="J707" i="10" s="1"/>
  <c r="M707" i="10" s="1"/>
  <c r="J708" i="10" l="1"/>
  <c r="M708" i="10" s="1"/>
  <c r="N708" i="10" s="1"/>
  <c r="H710" i="10"/>
  <c r="N707" i="10"/>
  <c r="R322" i="13"/>
  <c r="P710" i="10" l="1"/>
  <c r="Q710" i="10" s="1"/>
  <c r="P709" i="10"/>
  <c r="V710" i="10"/>
  <c r="H709" i="10"/>
  <c r="P322" i="13"/>
  <c r="W709" i="10" l="1"/>
  <c r="W710" i="10"/>
  <c r="X710" i="10" s="1"/>
  <c r="Q709" i="10"/>
  <c r="V709" i="10"/>
  <c r="X709" i="10" l="1"/>
  <c r="J709" i="10" l="1"/>
  <c r="M709" i="10" s="1"/>
  <c r="N709" i="10" s="1"/>
  <c r="H720" i="10" s="1"/>
  <c r="J710" i="10"/>
  <c r="M710" i="10" s="1"/>
  <c r="N710" i="10" s="1"/>
  <c r="P326" i="13"/>
  <c r="P327" i="13"/>
  <c r="P324" i="13"/>
  <c r="P325" i="13"/>
  <c r="P323" i="13"/>
  <c r="Q720" i="10" l="1"/>
  <c r="V720" i="10"/>
  <c r="X720" i="10" s="1"/>
  <c r="R323" i="13"/>
  <c r="H711" i="10"/>
  <c r="J720" i="10" l="1"/>
  <c r="M720" i="10" s="1"/>
  <c r="N720" i="10" s="1"/>
  <c r="J719" i="10"/>
  <c r="M719" i="10" s="1"/>
  <c r="N719" i="10" s="1"/>
  <c r="B7" i="14"/>
  <c r="P328" i="13"/>
  <c r="P712" i="10"/>
  <c r="Q712" i="10" s="1"/>
  <c r="V711" i="10"/>
  <c r="W711" i="10" s="1"/>
  <c r="X711" i="10" s="1"/>
  <c r="P711" i="10"/>
  <c r="Q711" i="10" s="1"/>
  <c r="W712" i="10"/>
  <c r="X712" i="10" s="1"/>
  <c r="P329" i="13" l="1"/>
  <c r="P330" i="13"/>
  <c r="U329" i="13"/>
  <c r="U330" i="13"/>
  <c r="B12" i="14"/>
  <c r="U328" i="13"/>
  <c r="I2" i="14"/>
  <c r="B12" i="13"/>
  <c r="S12" i="13" s="1"/>
  <c r="F95" i="7" s="1"/>
  <c r="S95" i="7" s="1"/>
  <c r="J712" i="10"/>
  <c r="M712" i="10" s="1"/>
  <c r="N712" i="10" s="1"/>
  <c r="J711" i="10"/>
  <c r="M711" i="10" s="1"/>
  <c r="K329" i="13" l="1"/>
  <c r="K330" i="13"/>
  <c r="N2" i="14"/>
  <c r="B17" i="13"/>
  <c r="S17" i="13" s="1"/>
  <c r="AI12" i="13"/>
  <c r="W12" i="13"/>
  <c r="K327" i="13"/>
  <c r="K328" i="13"/>
  <c r="K325" i="13"/>
  <c r="K326" i="13"/>
  <c r="N711" i="10"/>
  <c r="H713" i="10" s="1"/>
  <c r="B2" i="14"/>
  <c r="K324" i="13"/>
  <c r="W17" i="13" l="1"/>
  <c r="F92" i="7"/>
  <c r="S92" i="7" s="1"/>
  <c r="AI17" i="13"/>
  <c r="P713" i="10"/>
  <c r="Q713" i="10" s="1"/>
  <c r="P714" i="10"/>
  <c r="Q714" i="10" s="1"/>
  <c r="V713" i="10"/>
  <c r="R324" i="13"/>
  <c r="D2" i="14"/>
  <c r="B7" i="13"/>
  <c r="W713" i="10" l="1"/>
  <c r="X713" i="10" s="1"/>
  <c r="W714" i="10"/>
  <c r="X714" i="10" s="1"/>
  <c r="S7" i="13"/>
  <c r="J714" i="10" l="1"/>
  <c r="M714" i="10" s="1"/>
  <c r="N714" i="10" s="1"/>
  <c r="H715" i="10" s="1"/>
  <c r="J713" i="10"/>
  <c r="M713" i="10" s="1"/>
  <c r="AI7" i="13"/>
  <c r="W7" i="13"/>
  <c r="F94" i="7"/>
  <c r="S94" i="7" s="1"/>
  <c r="P715" i="10" l="1"/>
  <c r="Q715" i="10" s="1"/>
  <c r="P716" i="10"/>
  <c r="N713" i="10"/>
  <c r="H716" i="10" s="1"/>
  <c r="V715" i="10"/>
  <c r="R325" i="13"/>
  <c r="S325" i="13"/>
  <c r="Q716" i="10" l="1"/>
  <c r="V716" i="10"/>
  <c r="W715" i="10"/>
  <c r="X715" i="10" s="1"/>
  <c r="W716" i="10"/>
  <c r="X716" i="10" l="1"/>
  <c r="J716" i="10" s="1"/>
  <c r="M716" i="10" s="1"/>
  <c r="N716" i="10" s="1"/>
  <c r="J715" i="10"/>
  <c r="M715" i="10" s="1"/>
  <c r="R326" i="13" l="1"/>
  <c r="H717" i="10"/>
  <c r="N715" i="10"/>
  <c r="H718" i="10" s="1"/>
  <c r="S326" i="13"/>
  <c r="P717" i="10" l="1"/>
  <c r="Q717" i="10" s="1"/>
  <c r="P718" i="10"/>
  <c r="Q718" i="10" s="1"/>
  <c r="V717" i="10"/>
  <c r="W717" i="10"/>
  <c r="X717" i="10" s="1"/>
  <c r="W718" i="10"/>
  <c r="X718" i="10" s="1"/>
  <c r="V718" i="10"/>
  <c r="J718" i="10" l="1"/>
  <c r="M718" i="10" s="1"/>
  <c r="N718" i="10" s="1"/>
  <c r="S330" i="13" s="1"/>
  <c r="J717" i="10"/>
  <c r="M717" i="10" s="1"/>
  <c r="S327" i="13"/>
  <c r="B10" i="14"/>
  <c r="S328" i="13" l="1"/>
  <c r="S329" i="13"/>
  <c r="N717" i="10"/>
  <c r="H722" i="10" s="1"/>
  <c r="B15" i="13"/>
  <c r="L2" i="14"/>
  <c r="Q722" i="10" l="1"/>
  <c r="V722" i="10"/>
  <c r="X722" i="10" s="1"/>
  <c r="R328" i="13"/>
  <c r="R327" i="13"/>
  <c r="S15" i="13"/>
  <c r="J722" i="10" l="1"/>
  <c r="M722" i="10" s="1"/>
  <c r="N722" i="10" s="1"/>
  <c r="H724" i="10" s="1"/>
  <c r="J721" i="10"/>
  <c r="M721" i="10" s="1"/>
  <c r="R329" i="13"/>
  <c r="W15" i="13"/>
  <c r="AI15" i="13"/>
  <c r="F89" i="7"/>
  <c r="S89" i="7" s="1"/>
  <c r="V724" i="10" l="1"/>
  <c r="N721" i="10"/>
  <c r="H723" i="10" s="1"/>
  <c r="O329" i="13"/>
  <c r="P723" i="10" l="1"/>
  <c r="Q723" i="10" s="1"/>
  <c r="P724" i="10"/>
  <c r="Q724" i="10" s="1"/>
  <c r="V723" i="10"/>
  <c r="W723" i="10" l="1"/>
  <c r="X723" i="10" s="1"/>
  <c r="W724" i="10"/>
  <c r="X724" i="10" s="1"/>
  <c r="J724" i="10" l="1"/>
  <c r="M724" i="10" s="1"/>
  <c r="J723" i="10"/>
  <c r="M723" i="10" s="1"/>
  <c r="B19" i="8"/>
  <c r="N724" i="10"/>
  <c r="H19" i="8"/>
  <c r="N723" i="10" l="1"/>
  <c r="B18" i="8"/>
  <c r="H18" i="8"/>
  <c r="H17" i="8"/>
  <c r="B17" i="8"/>
  <c r="B9" i="14"/>
  <c r="R330" i="13"/>
  <c r="D19" i="8"/>
  <c r="E19" i="8"/>
  <c r="C19" i="8"/>
  <c r="F19" i="8"/>
  <c r="B6" i="14" l="1"/>
  <c r="O330" i="13"/>
  <c r="F18" i="8"/>
  <c r="D18" i="8"/>
  <c r="C18" i="8"/>
  <c r="E18" i="8"/>
  <c r="C17" i="8"/>
  <c r="F17" i="8" s="1"/>
  <c r="D17" i="8"/>
  <c r="E17" i="8"/>
  <c r="K2" i="14"/>
  <c r="B14" i="13"/>
  <c r="H2" i="14" l="1"/>
  <c r="B11" i="13"/>
  <c r="S11" i="13" s="1"/>
  <c r="C13" i="14"/>
  <c r="C18" i="13" s="1"/>
  <c r="AA18" i="13" s="1"/>
  <c r="C6" i="14"/>
  <c r="C11" i="13" s="1"/>
  <c r="C9" i="14"/>
  <c r="C14" i="13" s="1"/>
  <c r="AA14" i="13" s="1"/>
  <c r="C12" i="14"/>
  <c r="C17" i="13" s="1"/>
  <c r="AA17" i="13" s="1"/>
  <c r="C2" i="14"/>
  <c r="C7" i="13" s="1"/>
  <c r="AA7" i="13" s="1"/>
  <c r="C11" i="14"/>
  <c r="C16" i="13" s="1"/>
  <c r="AA16" i="13" s="1"/>
  <c r="C15" i="14"/>
  <c r="C20" i="13" s="1"/>
  <c r="AA20" i="13" s="1"/>
  <c r="C5" i="14"/>
  <c r="C10" i="13" s="1"/>
  <c r="AA10" i="13" s="1"/>
  <c r="C7" i="14"/>
  <c r="C12" i="13" s="1"/>
  <c r="AA12" i="13" s="1"/>
  <c r="C14" i="14"/>
  <c r="C19" i="13" s="1"/>
  <c r="AA19" i="13" s="1"/>
  <c r="C8" i="14"/>
  <c r="C13" i="13" s="1"/>
  <c r="AA13" i="13" s="1"/>
  <c r="C10" i="14"/>
  <c r="C15" i="13" s="1"/>
  <c r="AA15" i="13" s="1"/>
  <c r="C4" i="14"/>
  <c r="C9" i="13" s="1"/>
  <c r="AA9" i="13" s="1"/>
  <c r="C3" i="14"/>
  <c r="C8" i="13" s="1"/>
  <c r="AA8" i="13" s="1"/>
  <c r="E18" i="13"/>
  <c r="E10" i="13"/>
  <c r="D16" i="13"/>
  <c r="D10" i="13"/>
  <c r="D11" i="13"/>
  <c r="E14" i="13"/>
  <c r="E12" i="13"/>
  <c r="E20" i="13"/>
  <c r="D19" i="13"/>
  <c r="D8" i="13"/>
  <c r="D20" i="13"/>
  <c r="E16" i="13"/>
  <c r="D14" i="13"/>
  <c r="D7" i="13"/>
  <c r="D15" i="13"/>
  <c r="E17" i="13"/>
  <c r="E8" i="13"/>
  <c r="D17" i="13"/>
  <c r="D18" i="13"/>
  <c r="D12" i="13"/>
  <c r="E7" i="13"/>
  <c r="E15" i="13"/>
  <c r="E9" i="13"/>
  <c r="E13" i="13"/>
  <c r="E11" i="13"/>
  <c r="D9" i="13"/>
  <c r="D13" i="13"/>
  <c r="E19" i="13"/>
  <c r="S14" i="13"/>
  <c r="W11" i="13" l="1"/>
  <c r="B24" i="5" s="1"/>
  <c r="AI11" i="13"/>
  <c r="F90" i="7"/>
  <c r="S90" i="7" s="1"/>
  <c r="B12" i="5"/>
  <c r="AA11" i="13"/>
  <c r="B28" i="5" s="1"/>
  <c r="AI14" i="13"/>
  <c r="W14" i="13"/>
  <c r="F93" i="7"/>
  <c r="S93" i="7" s="1"/>
  <c r="C4" i="7" s="1"/>
  <c r="B16" i="4" l="1"/>
  <c r="B13" i="4"/>
  <c r="B14" i="4"/>
  <c r="L12" i="13"/>
  <c r="B7" i="4"/>
  <c r="B6" i="4"/>
  <c r="L17" i="13"/>
  <c r="B12" i="4"/>
  <c r="B18" i="4"/>
  <c r="L13" i="13"/>
  <c r="B8" i="4"/>
  <c r="L20" i="13"/>
  <c r="B5" i="4"/>
  <c r="B11" i="4"/>
  <c r="L10" i="13"/>
  <c r="B10" i="4"/>
  <c r="L15" i="13"/>
  <c r="L8" i="13"/>
  <c r="B9" i="4"/>
  <c r="L11" i="13"/>
  <c r="B15" i="4"/>
  <c r="L9" i="13"/>
  <c r="L7" i="13"/>
  <c r="L14" i="13"/>
  <c r="L19" i="13"/>
  <c r="L16" i="13"/>
  <c r="L18" i="13"/>
  <c r="B17" i="4"/>
  <c r="A6" i="3"/>
  <c r="A5" i="3"/>
  <c r="B28" i="8" s="1"/>
  <c r="Q17" i="4" l="1"/>
  <c r="H16" i="4"/>
  <c r="T16" i="4"/>
  <c r="M16" i="4"/>
  <c r="K16" i="4"/>
  <c r="C16" i="4"/>
  <c r="Q16" i="4"/>
  <c r="D16" i="4"/>
  <c r="AD8" i="13" s="1"/>
  <c r="S16" i="4"/>
  <c r="P16" i="4"/>
  <c r="I16" i="4"/>
  <c r="U16" i="4"/>
  <c r="J16" i="4"/>
  <c r="E16" i="4"/>
  <c r="V16" i="4"/>
  <c r="O16" i="4"/>
  <c r="R16" i="4"/>
  <c r="X16" i="4"/>
  <c r="Q13" i="4"/>
  <c r="U13" i="4"/>
  <c r="O13" i="4"/>
  <c r="D13" i="4"/>
  <c r="K13" i="4"/>
  <c r="P13" i="4"/>
  <c r="T13" i="4"/>
  <c r="X13" i="4"/>
  <c r="E13" i="4"/>
  <c r="R13" i="4"/>
  <c r="C13" i="4"/>
  <c r="H13" i="4"/>
  <c r="S13" i="4"/>
  <c r="J13" i="4"/>
  <c r="M13" i="4"/>
  <c r="V13" i="4"/>
  <c r="I13" i="4"/>
  <c r="S14" i="4"/>
  <c r="R14" i="4"/>
  <c r="T14" i="4"/>
  <c r="X14" i="4"/>
  <c r="M14" i="4"/>
  <c r="U14" i="4"/>
  <c r="I14" i="4"/>
  <c r="K14" i="4"/>
  <c r="Q14" i="4"/>
  <c r="J14" i="4"/>
  <c r="E14" i="4"/>
  <c r="P14" i="4"/>
  <c r="V14" i="4"/>
  <c r="C14" i="4"/>
  <c r="D14" i="4"/>
  <c r="AD19" i="13" s="1"/>
  <c r="O14" i="4"/>
  <c r="H14" i="4"/>
  <c r="H7" i="4"/>
  <c r="M7" i="4"/>
  <c r="K7" i="4"/>
  <c r="I7" i="4"/>
  <c r="B19" i="9"/>
  <c r="Q7" i="4"/>
  <c r="V7" i="4"/>
  <c r="R7" i="4"/>
  <c r="T7" i="4"/>
  <c r="U7" i="4"/>
  <c r="C7" i="4"/>
  <c r="C19" i="9" s="1"/>
  <c r="P7" i="4"/>
  <c r="X7" i="4"/>
  <c r="E7" i="4"/>
  <c r="D7" i="4"/>
  <c r="AD7" i="13" s="1"/>
  <c r="J7" i="4"/>
  <c r="O7" i="4"/>
  <c r="S7" i="4"/>
  <c r="R6" i="4"/>
  <c r="X6" i="4"/>
  <c r="D6" i="4"/>
  <c r="AD13" i="13" s="1"/>
  <c r="H6" i="4"/>
  <c r="E6" i="4"/>
  <c r="T6" i="4"/>
  <c r="Q6" i="4"/>
  <c r="C6" i="4"/>
  <c r="C18" i="9" s="1"/>
  <c r="S6" i="4"/>
  <c r="O6" i="4"/>
  <c r="I6" i="4"/>
  <c r="K6" i="4"/>
  <c r="P6" i="4"/>
  <c r="V6" i="4"/>
  <c r="U6" i="4"/>
  <c r="B18" i="9"/>
  <c r="J6" i="4"/>
  <c r="M6" i="4"/>
  <c r="J12" i="4"/>
  <c r="R12" i="4"/>
  <c r="K12" i="4"/>
  <c r="P12" i="4"/>
  <c r="O12" i="4"/>
  <c r="T12" i="4"/>
  <c r="V12" i="4"/>
  <c r="M12" i="4"/>
  <c r="E12" i="4"/>
  <c r="H12" i="4"/>
  <c r="U12" i="4"/>
  <c r="S12" i="4"/>
  <c r="C12" i="4"/>
  <c r="I12" i="4"/>
  <c r="D12" i="4"/>
  <c r="AD18" i="13" s="1"/>
  <c r="Q12" i="4"/>
  <c r="X12" i="4"/>
  <c r="V18" i="4"/>
  <c r="R18" i="4"/>
  <c r="T18" i="4"/>
  <c r="X18" i="4"/>
  <c r="S18" i="4"/>
  <c r="J18" i="4"/>
  <c r="U18" i="4"/>
  <c r="Q18" i="4"/>
  <c r="K18" i="4"/>
  <c r="P18" i="4"/>
  <c r="H18" i="4"/>
  <c r="M18" i="4"/>
  <c r="O18" i="4"/>
  <c r="C18" i="4"/>
  <c r="I18" i="4"/>
  <c r="E18" i="4"/>
  <c r="D18" i="4"/>
  <c r="AD16" i="13" s="1"/>
  <c r="Q8" i="4"/>
  <c r="J8" i="4"/>
  <c r="U8" i="4"/>
  <c r="T8" i="4"/>
  <c r="S8" i="4"/>
  <c r="K8" i="4"/>
  <c r="D8" i="4"/>
  <c r="AD15" i="13" s="1"/>
  <c r="E8" i="4"/>
  <c r="P8" i="4"/>
  <c r="M8" i="4"/>
  <c r="C8" i="4"/>
  <c r="H8" i="4"/>
  <c r="O8" i="4"/>
  <c r="X8" i="4"/>
  <c r="R8" i="4"/>
  <c r="I8" i="4"/>
  <c r="V8" i="4"/>
  <c r="AD20" i="13"/>
  <c r="AF20" i="13" s="1"/>
  <c r="W13" i="4" s="1"/>
  <c r="K5" i="4"/>
  <c r="P5" i="4"/>
  <c r="S5" i="4"/>
  <c r="V5" i="4"/>
  <c r="H5" i="4"/>
  <c r="O5" i="4"/>
  <c r="B17" i="9"/>
  <c r="R5" i="4"/>
  <c r="U5" i="4"/>
  <c r="X5" i="4"/>
  <c r="T5" i="4"/>
  <c r="E5" i="4"/>
  <c r="M5" i="4"/>
  <c r="C5" i="4"/>
  <c r="I5" i="4"/>
  <c r="B5" i="5"/>
  <c r="J5" i="4"/>
  <c r="D5" i="4"/>
  <c r="Q5" i="4"/>
  <c r="P11" i="4"/>
  <c r="V11" i="4"/>
  <c r="R11" i="4"/>
  <c r="I11" i="4"/>
  <c r="O11" i="4"/>
  <c r="J11" i="4"/>
  <c r="T11" i="4"/>
  <c r="Q11" i="4"/>
  <c r="D11" i="4"/>
  <c r="AD9" i="13" s="1"/>
  <c r="U11" i="4"/>
  <c r="X11" i="4"/>
  <c r="K11" i="4"/>
  <c r="C11" i="4"/>
  <c r="E11" i="4"/>
  <c r="H11" i="4"/>
  <c r="S11" i="4"/>
  <c r="M11" i="4"/>
  <c r="U10" i="4"/>
  <c r="K10" i="4"/>
  <c r="C10" i="4"/>
  <c r="O10" i="4"/>
  <c r="D10" i="4"/>
  <c r="AD12" i="13" s="1"/>
  <c r="S10" i="4"/>
  <c r="M10" i="4"/>
  <c r="H10" i="4"/>
  <c r="Q10" i="4"/>
  <c r="I10" i="4"/>
  <c r="T10" i="4"/>
  <c r="V10" i="4"/>
  <c r="P10" i="4"/>
  <c r="E10" i="4"/>
  <c r="X10" i="4"/>
  <c r="R10" i="4"/>
  <c r="J10" i="4"/>
  <c r="R9" i="4"/>
  <c r="H9" i="4"/>
  <c r="S9" i="4"/>
  <c r="D9" i="4"/>
  <c r="AD14" i="13" s="1"/>
  <c r="Q9" i="4"/>
  <c r="U9" i="4"/>
  <c r="E9" i="4"/>
  <c r="C9" i="4"/>
  <c r="J9" i="4"/>
  <c r="I9" i="4"/>
  <c r="K9" i="4"/>
  <c r="P9" i="4"/>
  <c r="M9" i="4"/>
  <c r="V9" i="4"/>
  <c r="O9" i="4"/>
  <c r="X9" i="4"/>
  <c r="T9" i="4"/>
  <c r="X15" i="4"/>
  <c r="D15" i="4"/>
  <c r="AD17" i="13" s="1"/>
  <c r="H15" i="4"/>
  <c r="U15" i="4"/>
  <c r="C15" i="4"/>
  <c r="K15" i="4"/>
  <c r="T15" i="4"/>
  <c r="R15" i="4"/>
  <c r="I15" i="4"/>
  <c r="O15" i="4"/>
  <c r="J15" i="4"/>
  <c r="E15" i="4"/>
  <c r="M15" i="4"/>
  <c r="Q15" i="4"/>
  <c r="P15" i="4"/>
  <c r="V15" i="4"/>
  <c r="S15" i="4"/>
  <c r="T17" i="4"/>
  <c r="O17" i="4"/>
  <c r="K17" i="4"/>
  <c r="V17" i="4"/>
  <c r="E17" i="4"/>
  <c r="D17" i="4"/>
  <c r="AD10" i="13" s="1"/>
  <c r="H17" i="4"/>
  <c r="P17" i="4"/>
  <c r="S17" i="4"/>
  <c r="J17" i="4"/>
  <c r="I17" i="4"/>
  <c r="R17" i="4"/>
  <c r="M17" i="4"/>
  <c r="U17" i="4"/>
  <c r="X17" i="4"/>
  <c r="C17" i="4"/>
  <c r="A8" i="9"/>
  <c r="G16" i="4" l="1"/>
  <c r="X8" i="13" s="1"/>
  <c r="L16" i="4"/>
  <c r="F16" i="4"/>
  <c r="F13" i="4"/>
  <c r="G13" i="4"/>
  <c r="X20" i="13" s="1"/>
  <c r="L13" i="4"/>
  <c r="F14" i="4"/>
  <c r="G14" i="4"/>
  <c r="X19" i="13" s="1"/>
  <c r="L14" i="4"/>
  <c r="F7" i="4"/>
  <c r="L7" i="4"/>
  <c r="G7" i="4"/>
  <c r="G6" i="4"/>
  <c r="X13" i="13" s="1"/>
  <c r="AB13" i="13" s="1"/>
  <c r="AF13" i="13" s="1"/>
  <c r="W6" i="4" s="1"/>
  <c r="L6" i="4"/>
  <c r="F6" i="4"/>
  <c r="F12" i="4"/>
  <c r="L12" i="4"/>
  <c r="G12" i="4"/>
  <c r="X18" i="13" s="1"/>
  <c r="AB18" i="13" s="1"/>
  <c r="AF18" i="13" s="1"/>
  <c r="W12" i="4" s="1"/>
  <c r="L18" i="4"/>
  <c r="F18" i="4"/>
  <c r="G18" i="4"/>
  <c r="X16" i="13" s="1"/>
  <c r="AB16" i="13" s="1"/>
  <c r="AF16" i="13" s="1"/>
  <c r="W18" i="4" s="1"/>
  <c r="L8" i="4"/>
  <c r="G8" i="4"/>
  <c r="X7" i="13" s="1"/>
  <c r="F8" i="4"/>
  <c r="B31" i="8"/>
  <c r="B22" i="8"/>
  <c r="C22" i="8"/>
  <c r="C17" i="9"/>
  <c r="N6" i="4"/>
  <c r="D19" i="9"/>
  <c r="N10" i="4"/>
  <c r="N16" i="4"/>
  <c r="N18" i="4"/>
  <c r="N12" i="4"/>
  <c r="N15" i="4"/>
  <c r="N17" i="4"/>
  <c r="N7" i="4"/>
  <c r="N11" i="4"/>
  <c r="N13" i="4"/>
  <c r="N9" i="4"/>
  <c r="N14" i="4"/>
  <c r="N8" i="4"/>
  <c r="D18" i="9"/>
  <c r="N5" i="4"/>
  <c r="B15" i="5" s="1"/>
  <c r="B33" i="8"/>
  <c r="B21" i="8"/>
  <c r="A10" i="9"/>
  <c r="L5" i="4"/>
  <c r="G5" i="4"/>
  <c r="C21" i="8"/>
  <c r="F21" i="8" s="1"/>
  <c r="B30" i="8"/>
  <c r="F5" i="4"/>
  <c r="B8" i="5" s="1"/>
  <c r="F11" i="4"/>
  <c r="L11" i="4"/>
  <c r="G11" i="4"/>
  <c r="X9" i="13" s="1"/>
  <c r="F10" i="4"/>
  <c r="G10" i="4"/>
  <c r="X12" i="13" s="1"/>
  <c r="L10" i="4"/>
  <c r="L9" i="4"/>
  <c r="F9" i="4"/>
  <c r="G9" i="4"/>
  <c r="L15" i="4"/>
  <c r="F15" i="4"/>
  <c r="G15" i="4"/>
  <c r="X17" i="13" s="1"/>
  <c r="L17" i="4"/>
  <c r="F17" i="4"/>
  <c r="G17" i="4"/>
  <c r="X10" i="13" s="1"/>
  <c r="T2" i="4"/>
  <c r="Y8" i="13"/>
  <c r="AE8" i="13"/>
  <c r="AE20" i="13"/>
  <c r="Y20" i="13"/>
  <c r="Y19" i="13"/>
  <c r="AE19" i="13"/>
  <c r="AE7" i="13"/>
  <c r="Y7" i="13"/>
  <c r="Y13" i="13"/>
  <c r="AE13" i="13"/>
  <c r="AE18" i="13"/>
  <c r="Y18" i="13"/>
  <c r="AE16" i="13"/>
  <c r="Y16" i="13"/>
  <c r="Y15" i="13"/>
  <c r="AE15" i="13"/>
  <c r="B11" i="5"/>
  <c r="AE11" i="13"/>
  <c r="Y11" i="13"/>
  <c r="B26" i="5" s="1"/>
  <c r="A5" i="9"/>
  <c r="B6" i="5"/>
  <c r="AD11" i="13"/>
  <c r="B10" i="5"/>
  <c r="AE9" i="13"/>
  <c r="Y9" i="13"/>
  <c r="AE12" i="13"/>
  <c r="Y12" i="13"/>
  <c r="Y14" i="13"/>
  <c r="AE14" i="13"/>
  <c r="Y17" i="13"/>
  <c r="AE17" i="13"/>
  <c r="Y10" i="13"/>
  <c r="AE10" i="13"/>
  <c r="X14" i="13" l="1"/>
  <c r="AB14" i="13" s="1"/>
  <c r="AF14" i="13" s="1"/>
  <c r="AB9" i="13"/>
  <c r="AF9" i="13" s="1"/>
  <c r="W11" i="4" s="1"/>
  <c r="AB12" i="13"/>
  <c r="AF12" i="13" s="1"/>
  <c r="W10" i="4" s="1"/>
  <c r="AB17" i="13"/>
  <c r="AF17" i="13" s="1"/>
  <c r="W15" i="4" s="1"/>
  <c r="A3" i="4"/>
  <c r="B16" i="5"/>
  <c r="B9" i="5"/>
  <c r="X11" i="13"/>
  <c r="AB8" i="13"/>
  <c r="AF8" i="13" s="1"/>
  <c r="W16" i="4" s="1"/>
  <c r="AB20" i="13"/>
  <c r="AB7" i="13"/>
  <c r="AF7" i="13" s="1"/>
  <c r="X15" i="13"/>
  <c r="AB15" i="13" s="1"/>
  <c r="AF15" i="13" s="1"/>
  <c r="W9" i="4" s="1"/>
  <c r="AB10" i="13"/>
  <c r="AF10" i="13" s="1"/>
  <c r="W17" i="4" s="1"/>
  <c r="AB19" i="13"/>
  <c r="AF19" i="13" s="1"/>
  <c r="W14" i="4" s="1"/>
  <c r="B25" i="5" l="1"/>
  <c r="AB11" i="13"/>
  <c r="W7" i="4"/>
  <c r="W8" i="4"/>
  <c r="B23" i="5" l="1"/>
  <c r="AF11" i="13"/>
  <c r="B7" i="5" l="1"/>
  <c r="W5" i="4"/>
</calcChain>
</file>

<file path=xl/sharedStrings.xml><?xml version="1.0" encoding="utf-8"?>
<sst xmlns="http://schemas.openxmlformats.org/spreadsheetml/2006/main" count="3156" uniqueCount="466">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</sst>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9">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61" fillId="15" borderId="0" xfId="0" applyFont="1" applyFill="1"/>
    <xf numFmtId="173" fontId="60" fillId="15" borderId="0" xfId="0" applyNumberFormat="1" applyFont="1" applyFill="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xf numFmtId="0" fontId="53" fillId="0" borderId="0" xfId="0" applyFont="1"/>
    <xf numFmtId="0" fontId="0" fillId="0" borderId="0" xfId="0"/>
    <xf numFmtId="0" fontId="54" fillId="0" borderId="0" xfId="0" applyFont="1"/>
    <xf numFmtId="0" fontId="14" fillId="0" borderId="0" xfId="0" applyFont="1" applyAlignment="1">
      <alignment horizontal="left" vertical="top" wrapText="1"/>
    </xf>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6" fillId="0" borderId="0" xfId="0" applyFont="1"/>
    <xf numFmtId="0" fontId="57" fillId="0" borderId="0" xfId="0" applyFont="1"/>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52" t="s">
        <v>185</v>
      </c>
      <c r="B1" s="146"/>
      <c r="C1" s="146"/>
      <c r="D1" s="146"/>
      <c r="E1" s="146"/>
      <c r="F1" s="146"/>
      <c r="G1" s="146"/>
      <c r="H1" s="146"/>
    </row>
    <row r="2" spans="1:8" ht="18" customHeight="1" x14ac:dyDescent="0.2">
      <c r="A2" s="150" t="s">
        <v>186</v>
      </c>
      <c r="B2" s="146"/>
      <c r="C2" s="146"/>
      <c r="D2" s="146"/>
      <c r="E2" s="146"/>
      <c r="F2" s="146"/>
      <c r="G2" s="146"/>
      <c r="H2" s="146"/>
    </row>
    <row r="3" spans="1:8" ht="48" customHeight="1" x14ac:dyDescent="0.2">
      <c r="A3" s="148" t="s">
        <v>187</v>
      </c>
      <c r="B3" s="146"/>
      <c r="C3" s="146"/>
      <c r="D3" s="146"/>
      <c r="E3" s="146"/>
      <c r="F3" s="146"/>
      <c r="G3" s="146"/>
      <c r="H3" s="146"/>
    </row>
    <row r="6" spans="1:8" ht="21.75" customHeight="1" x14ac:dyDescent="0.2">
      <c r="A6" s="151" t="s">
        <v>188</v>
      </c>
      <c r="B6" s="146"/>
      <c r="C6" s="146"/>
      <c r="D6" s="146"/>
      <c r="E6" s="146"/>
      <c r="F6" s="146"/>
      <c r="G6" s="146"/>
      <c r="H6" s="146"/>
    </row>
    <row r="7" spans="1:8" ht="51" customHeight="1" x14ac:dyDescent="0.2">
      <c r="A7" s="25" t="s">
        <v>189</v>
      </c>
      <c r="B7" s="149" t="s">
        <v>190</v>
      </c>
      <c r="C7" s="146"/>
      <c r="D7" s="146"/>
      <c r="E7" s="146"/>
      <c r="F7" s="146"/>
      <c r="G7" s="146"/>
      <c r="H7" s="146"/>
    </row>
    <row r="8" spans="1:8" ht="36" customHeight="1" x14ac:dyDescent="0.2">
      <c r="A8" s="26" t="s">
        <v>191</v>
      </c>
      <c r="B8" s="149" t="s">
        <v>192</v>
      </c>
      <c r="C8" s="146"/>
      <c r="D8" s="146"/>
      <c r="E8" s="146"/>
      <c r="F8" s="146"/>
      <c r="G8" s="146"/>
      <c r="H8" s="146"/>
    </row>
    <row r="9" spans="1:8" ht="21" customHeight="1" x14ac:dyDescent="0.2">
      <c r="A9" s="25" t="s">
        <v>189</v>
      </c>
      <c r="B9" s="149" t="s">
        <v>193</v>
      </c>
      <c r="C9" s="146"/>
      <c r="D9" s="146"/>
      <c r="E9" s="146"/>
      <c r="F9" s="146"/>
      <c r="G9" s="146"/>
      <c r="H9" s="146"/>
    </row>
    <row r="10" spans="1:8" ht="36" customHeight="1" x14ac:dyDescent="0.2">
      <c r="A10" s="26" t="s">
        <v>191</v>
      </c>
      <c r="B10" s="149" t="s">
        <v>194</v>
      </c>
      <c r="C10" s="146"/>
      <c r="D10" s="146"/>
      <c r="E10" s="146"/>
      <c r="F10" s="146"/>
      <c r="G10" s="146"/>
      <c r="H10" s="146"/>
    </row>
    <row r="12" spans="1:8" ht="21.75" customHeight="1" x14ac:dyDescent="0.2">
      <c r="A12" s="151" t="s">
        <v>195</v>
      </c>
      <c r="B12" s="146"/>
      <c r="C12" s="146"/>
      <c r="D12" s="146"/>
      <c r="E12" s="146"/>
      <c r="F12" s="146"/>
      <c r="G12" s="146"/>
      <c r="H12" s="146"/>
    </row>
    <row r="13" spans="1:8" ht="36" customHeight="1" x14ac:dyDescent="0.2">
      <c r="A13" s="25" t="s">
        <v>189</v>
      </c>
      <c r="B13" s="149" t="s">
        <v>196</v>
      </c>
      <c r="C13" s="146"/>
      <c r="D13" s="146"/>
      <c r="E13" s="146"/>
      <c r="F13" s="146"/>
      <c r="G13" s="146"/>
      <c r="H13" s="146"/>
    </row>
    <row r="14" spans="1:8" ht="36" customHeight="1" x14ac:dyDescent="0.2">
      <c r="A14" s="26" t="s">
        <v>191</v>
      </c>
      <c r="B14" s="149" t="s">
        <v>197</v>
      </c>
      <c r="C14" s="146"/>
      <c r="D14" s="146"/>
      <c r="E14" s="146"/>
      <c r="F14" s="146"/>
      <c r="G14" s="146"/>
      <c r="H14" s="146"/>
    </row>
    <row r="15" spans="1:8" ht="21" customHeight="1" x14ac:dyDescent="0.2">
      <c r="A15" s="25" t="s">
        <v>189</v>
      </c>
      <c r="B15" s="149" t="s">
        <v>198</v>
      </c>
      <c r="C15" s="146"/>
      <c r="D15" s="146"/>
      <c r="E15" s="146"/>
      <c r="F15" s="146"/>
      <c r="G15" s="146"/>
      <c r="H15" s="146"/>
    </row>
    <row r="16" spans="1:8" ht="36" customHeight="1" x14ac:dyDescent="0.2">
      <c r="A16" s="26" t="s">
        <v>191</v>
      </c>
      <c r="B16" s="149" t="s">
        <v>199</v>
      </c>
      <c r="C16" s="146"/>
      <c r="D16" s="146"/>
      <c r="E16" s="146"/>
      <c r="F16" s="146"/>
      <c r="G16" s="146"/>
      <c r="H16" s="146"/>
    </row>
    <row r="18" spans="1:8" ht="21.75" customHeight="1" x14ac:dyDescent="0.2">
      <c r="A18" s="151" t="s">
        <v>200</v>
      </c>
      <c r="B18" s="146"/>
      <c r="C18" s="146"/>
      <c r="D18" s="146"/>
      <c r="E18" s="146"/>
      <c r="F18" s="146"/>
      <c r="G18" s="146"/>
      <c r="H18" s="146"/>
    </row>
    <row r="19" spans="1:8" ht="21" customHeight="1" x14ac:dyDescent="0.2">
      <c r="A19" s="25" t="s">
        <v>189</v>
      </c>
      <c r="B19" s="149" t="s">
        <v>201</v>
      </c>
      <c r="C19" s="146"/>
      <c r="D19" s="146"/>
      <c r="E19" s="146"/>
      <c r="F19" s="146"/>
      <c r="G19" s="146"/>
      <c r="H19" s="146"/>
    </row>
    <row r="20" spans="1:8" ht="51" customHeight="1" x14ac:dyDescent="0.2">
      <c r="A20" s="26" t="s">
        <v>191</v>
      </c>
      <c r="B20" s="149" t="s">
        <v>202</v>
      </c>
      <c r="C20" s="146"/>
      <c r="D20" s="146"/>
      <c r="E20" s="146"/>
      <c r="F20" s="146"/>
      <c r="G20" s="146"/>
      <c r="H20" s="146"/>
    </row>
    <row r="21" spans="1:8" ht="21" customHeight="1" x14ac:dyDescent="0.2">
      <c r="A21" s="25" t="s">
        <v>189</v>
      </c>
      <c r="B21" s="149" t="s">
        <v>203</v>
      </c>
      <c r="C21" s="146"/>
      <c r="D21" s="146"/>
      <c r="E21" s="146"/>
      <c r="F21" s="146"/>
      <c r="G21" s="146"/>
      <c r="H21" s="146"/>
    </row>
    <row r="22" spans="1:8" ht="51" customHeight="1" x14ac:dyDescent="0.2">
      <c r="A22" s="26" t="s">
        <v>191</v>
      </c>
      <c r="B22" s="149" t="s">
        <v>204</v>
      </c>
      <c r="C22" s="146"/>
      <c r="D22" s="146"/>
      <c r="E22" s="146"/>
      <c r="F22" s="146"/>
      <c r="G22" s="146"/>
      <c r="H22" s="146"/>
    </row>
    <row r="24" spans="1:8" ht="21.75" customHeight="1" x14ac:dyDescent="0.2">
      <c r="A24" s="151" t="s">
        <v>205</v>
      </c>
      <c r="B24" s="146"/>
      <c r="C24" s="146"/>
      <c r="D24" s="146"/>
      <c r="E24" s="146"/>
      <c r="F24" s="146"/>
      <c r="G24" s="146"/>
      <c r="H24" s="146"/>
    </row>
    <row r="25" spans="1:8" ht="21" customHeight="1" x14ac:dyDescent="0.2">
      <c r="A25" s="25" t="s">
        <v>189</v>
      </c>
      <c r="B25" s="149" t="s">
        <v>206</v>
      </c>
      <c r="C25" s="146"/>
      <c r="D25" s="146"/>
      <c r="E25" s="146"/>
      <c r="F25" s="146"/>
      <c r="G25" s="146"/>
      <c r="H25" s="146"/>
    </row>
    <row r="26" spans="1:8" ht="51" customHeight="1" x14ac:dyDescent="0.2">
      <c r="A26" s="26" t="s">
        <v>191</v>
      </c>
      <c r="B26" s="149" t="s">
        <v>207</v>
      </c>
      <c r="C26" s="146"/>
      <c r="D26" s="146"/>
      <c r="E26" s="146"/>
      <c r="F26" s="146"/>
      <c r="G26" s="146"/>
      <c r="H26" s="146"/>
    </row>
    <row r="27" spans="1:8" ht="21" customHeight="1" x14ac:dyDescent="0.2">
      <c r="A27" s="25" t="s">
        <v>189</v>
      </c>
      <c r="B27" s="149" t="s">
        <v>208</v>
      </c>
      <c r="C27" s="146"/>
      <c r="D27" s="146"/>
      <c r="E27" s="146"/>
      <c r="F27" s="146"/>
      <c r="G27" s="146"/>
      <c r="H27" s="146"/>
    </row>
    <row r="28" spans="1:8" ht="51" customHeight="1" x14ac:dyDescent="0.2">
      <c r="A28" s="26" t="s">
        <v>191</v>
      </c>
      <c r="B28" s="149" t="s">
        <v>209</v>
      </c>
      <c r="C28" s="146"/>
      <c r="D28" s="146"/>
      <c r="E28" s="146"/>
      <c r="F28" s="146"/>
      <c r="G28" s="146"/>
      <c r="H28" s="146"/>
    </row>
    <row r="29" spans="1:8" ht="21" customHeight="1" x14ac:dyDescent="0.2">
      <c r="A29" s="25" t="s">
        <v>189</v>
      </c>
      <c r="B29" s="149" t="s">
        <v>210</v>
      </c>
      <c r="C29" s="146"/>
      <c r="D29" s="146"/>
      <c r="E29" s="146"/>
      <c r="F29" s="146"/>
      <c r="G29" s="146"/>
      <c r="H29" s="146"/>
    </row>
    <row r="30" spans="1:8" ht="36" customHeight="1" x14ac:dyDescent="0.2">
      <c r="A30" s="26" t="s">
        <v>191</v>
      </c>
      <c r="B30" s="149" t="s">
        <v>211</v>
      </c>
      <c r="C30" s="146"/>
      <c r="D30" s="146"/>
      <c r="E30" s="146"/>
      <c r="F30" s="146"/>
      <c r="G30" s="146"/>
      <c r="H30" s="146"/>
    </row>
    <row r="32" spans="1:8" ht="21.75" customHeight="1" x14ac:dyDescent="0.2">
      <c r="A32" s="151" t="s">
        <v>212</v>
      </c>
      <c r="B32" s="146"/>
      <c r="C32" s="146"/>
      <c r="D32" s="146"/>
      <c r="E32" s="146"/>
      <c r="F32" s="146"/>
      <c r="G32" s="146"/>
      <c r="H32" s="146"/>
    </row>
    <row r="33" spans="1:8" ht="21" customHeight="1" x14ac:dyDescent="0.2">
      <c r="A33" s="25" t="s">
        <v>189</v>
      </c>
      <c r="B33" s="149" t="s">
        <v>213</v>
      </c>
      <c r="C33" s="146"/>
      <c r="D33" s="146"/>
      <c r="E33" s="146"/>
      <c r="F33" s="146"/>
      <c r="G33" s="146"/>
      <c r="H33" s="146"/>
    </row>
    <row r="34" spans="1:8" ht="51" customHeight="1" x14ac:dyDescent="0.2">
      <c r="A34" s="26" t="s">
        <v>191</v>
      </c>
      <c r="B34" s="149" t="s">
        <v>214</v>
      </c>
      <c r="C34" s="146"/>
      <c r="D34" s="146"/>
      <c r="E34" s="146"/>
      <c r="F34" s="146"/>
      <c r="G34" s="146"/>
      <c r="H34" s="146"/>
    </row>
    <row r="35" spans="1:8" ht="21" customHeight="1" x14ac:dyDescent="0.2">
      <c r="A35" s="25" t="s">
        <v>189</v>
      </c>
      <c r="B35" s="149" t="s">
        <v>215</v>
      </c>
      <c r="C35" s="146"/>
      <c r="D35" s="146"/>
      <c r="E35" s="146"/>
      <c r="F35" s="146"/>
      <c r="G35" s="146"/>
      <c r="H35" s="146"/>
    </row>
    <row r="36" spans="1:8" ht="36" customHeight="1" x14ac:dyDescent="0.2">
      <c r="A36" s="26" t="s">
        <v>191</v>
      </c>
      <c r="B36" s="149" t="s">
        <v>216</v>
      </c>
      <c r="C36" s="146"/>
      <c r="D36" s="146"/>
      <c r="E36" s="146"/>
      <c r="F36" s="146"/>
      <c r="G36" s="146"/>
      <c r="H36" s="146"/>
    </row>
    <row r="37" spans="1:8" ht="21" customHeight="1" x14ac:dyDescent="0.2">
      <c r="A37" s="25" t="s">
        <v>189</v>
      </c>
      <c r="B37" s="149" t="s">
        <v>217</v>
      </c>
      <c r="C37" s="146"/>
      <c r="D37" s="146"/>
      <c r="E37" s="146"/>
      <c r="F37" s="146"/>
      <c r="G37" s="146"/>
      <c r="H37" s="146"/>
    </row>
    <row r="38" spans="1:8" ht="51" customHeight="1" x14ac:dyDescent="0.2">
      <c r="A38" s="26" t="s">
        <v>191</v>
      </c>
      <c r="B38" s="149" t="s">
        <v>218</v>
      </c>
      <c r="C38" s="146"/>
      <c r="D38" s="146"/>
      <c r="E38" s="146"/>
      <c r="F38" s="146"/>
      <c r="G38" s="146"/>
      <c r="H38" s="146"/>
    </row>
    <row r="39" spans="1:8" ht="21" customHeight="1" x14ac:dyDescent="0.2">
      <c r="A39" s="25" t="s">
        <v>189</v>
      </c>
      <c r="B39" s="149" t="s">
        <v>219</v>
      </c>
      <c r="C39" s="146"/>
      <c r="D39" s="146"/>
      <c r="E39" s="146"/>
      <c r="F39" s="146"/>
      <c r="G39" s="146"/>
      <c r="H39" s="146"/>
    </row>
    <row r="41" spans="1:8" ht="21.75" customHeight="1" x14ac:dyDescent="0.2">
      <c r="A41" s="151" t="s">
        <v>220</v>
      </c>
      <c r="B41" s="146"/>
      <c r="C41" s="146"/>
      <c r="D41" s="146"/>
      <c r="E41" s="146"/>
      <c r="F41" s="146"/>
      <c r="G41" s="146"/>
      <c r="H41" s="146"/>
    </row>
    <row r="42" spans="1:8" ht="21" customHeight="1" x14ac:dyDescent="0.2">
      <c r="A42" s="25" t="s">
        <v>189</v>
      </c>
      <c r="B42" s="149" t="s">
        <v>221</v>
      </c>
      <c r="C42" s="146"/>
      <c r="D42" s="146"/>
      <c r="E42" s="146"/>
      <c r="F42" s="146"/>
      <c r="G42" s="146"/>
      <c r="H42" s="146"/>
    </row>
    <row r="43" spans="1:8" ht="51" customHeight="1" x14ac:dyDescent="0.2">
      <c r="A43" s="26" t="s">
        <v>191</v>
      </c>
      <c r="B43" s="149" t="s">
        <v>222</v>
      </c>
      <c r="C43" s="146"/>
      <c r="D43" s="146"/>
      <c r="E43" s="146"/>
      <c r="F43" s="146"/>
      <c r="G43" s="146"/>
      <c r="H43" s="146"/>
    </row>
    <row r="44" spans="1:8" ht="21" customHeight="1" x14ac:dyDescent="0.2">
      <c r="A44" s="25" t="s">
        <v>189</v>
      </c>
      <c r="B44" s="149" t="s">
        <v>223</v>
      </c>
      <c r="C44" s="146"/>
      <c r="D44" s="146"/>
      <c r="E44" s="146"/>
      <c r="F44" s="146"/>
      <c r="G44" s="146"/>
      <c r="H44" s="146"/>
    </row>
    <row r="45" spans="1:8" ht="36" customHeight="1" x14ac:dyDescent="0.2">
      <c r="A45" s="26" t="s">
        <v>191</v>
      </c>
      <c r="B45" s="149" t="s">
        <v>224</v>
      </c>
      <c r="C45" s="146"/>
      <c r="D45" s="146"/>
      <c r="E45" s="146"/>
      <c r="F45" s="146"/>
      <c r="G45" s="146"/>
      <c r="H45" s="146"/>
    </row>
    <row r="46" spans="1:8" ht="21" customHeight="1" x14ac:dyDescent="0.2">
      <c r="A46" s="25" t="s">
        <v>189</v>
      </c>
      <c r="B46" s="149" t="s">
        <v>225</v>
      </c>
      <c r="C46" s="146"/>
      <c r="D46" s="146"/>
      <c r="E46" s="146"/>
      <c r="F46" s="146"/>
      <c r="G46" s="146"/>
      <c r="H46" s="146"/>
    </row>
    <row r="47" spans="1:8" ht="21" customHeight="1" x14ac:dyDescent="0.2">
      <c r="A47" s="26" t="s">
        <v>191</v>
      </c>
      <c r="B47" s="149" t="s">
        <v>226</v>
      </c>
      <c r="C47" s="146"/>
      <c r="D47" s="146"/>
      <c r="E47" s="146"/>
      <c r="F47" s="146"/>
      <c r="G47" s="146"/>
      <c r="H47" s="146"/>
    </row>
    <row r="49" spans="1:8" ht="21.75" customHeight="1" x14ac:dyDescent="0.2">
      <c r="A49" s="151" t="s">
        <v>227</v>
      </c>
      <c r="B49" s="146"/>
      <c r="C49" s="146"/>
      <c r="D49" s="146"/>
      <c r="E49" s="146"/>
      <c r="F49" s="146"/>
      <c r="G49" s="146"/>
      <c r="H49" s="146"/>
    </row>
    <row r="50" spans="1:8" ht="36" customHeight="1" x14ac:dyDescent="0.2">
      <c r="A50" s="25" t="s">
        <v>189</v>
      </c>
      <c r="B50" s="149" t="s">
        <v>228</v>
      </c>
      <c r="C50" s="146"/>
      <c r="D50" s="146"/>
      <c r="E50" s="146"/>
      <c r="F50" s="146"/>
      <c r="G50" s="146"/>
      <c r="H50" s="146"/>
    </row>
    <row r="51" spans="1:8" ht="21" customHeight="1" x14ac:dyDescent="0.2">
      <c r="A51" s="26" t="s">
        <v>191</v>
      </c>
      <c r="B51" s="149" t="s">
        <v>229</v>
      </c>
      <c r="C51" s="146"/>
      <c r="D51" s="146"/>
      <c r="E51" s="146"/>
      <c r="F51" s="146"/>
      <c r="G51" s="146"/>
      <c r="H51" s="146"/>
    </row>
    <row r="52" spans="1:8" ht="21" customHeight="1" x14ac:dyDescent="0.2">
      <c r="A52" s="25" t="s">
        <v>189</v>
      </c>
      <c r="B52" s="149" t="s">
        <v>230</v>
      </c>
      <c r="C52" s="146"/>
      <c r="D52" s="146"/>
      <c r="E52" s="146"/>
      <c r="F52" s="146"/>
      <c r="G52" s="146"/>
      <c r="H52" s="146"/>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231</v>
      </c>
      <c r="B1" s="146"/>
      <c r="C1" s="146"/>
      <c r="D1" s="146"/>
      <c r="E1" s="146"/>
      <c r="G1" s="27"/>
      <c r="H1" s="27"/>
      <c r="I1" s="27"/>
    </row>
    <row r="2" spans="1:9" ht="28.5" customHeight="1" x14ac:dyDescent="0.2">
      <c r="A2" s="154" t="s">
        <v>232</v>
      </c>
      <c r="B2" s="146"/>
      <c r="C2" s="146"/>
      <c r="D2" s="146"/>
      <c r="E2" s="146"/>
      <c r="G2" s="27"/>
      <c r="H2" s="27"/>
      <c r="I2" s="27"/>
    </row>
    <row r="3" spans="1:9" ht="3" customHeight="1" x14ac:dyDescent="0.2">
      <c r="G3" s="27"/>
      <c r="H3" s="27"/>
      <c r="I3" s="27"/>
    </row>
    <row r="4" spans="1:9" ht="15" customHeight="1" x14ac:dyDescent="0.2">
      <c r="A4" s="153" t="s">
        <v>233</v>
      </c>
      <c r="B4" s="146"/>
      <c r="C4" s="146"/>
      <c r="D4" s="146"/>
      <c r="E4" s="146"/>
      <c r="G4" s="27"/>
      <c r="H4" s="27"/>
      <c r="I4" s="27"/>
    </row>
    <row r="5" spans="1:9" ht="24.75" customHeight="1" x14ac:dyDescent="0.2">
      <c r="A5" s="156" t="str">
        <f ca="1">'Sport Records'!$C$4</f>
        <v>Josh</v>
      </c>
      <c r="B5" s="146"/>
      <c r="C5" s="146"/>
      <c r="D5" s="146"/>
      <c r="E5" s="146"/>
      <c r="G5" s="27"/>
      <c r="H5" s="27"/>
      <c r="I5" s="27"/>
    </row>
    <row r="6" spans="1:9" ht="15" customHeight="1" x14ac:dyDescent="0.2">
      <c r="A6" s="158"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1255   |   39 wins, 25 losses   |   highest-rated eligible and active player</v>
      </c>
      <c r="B6" s="146"/>
      <c r="C6" s="146"/>
      <c r="D6" s="146"/>
      <c r="E6" s="146"/>
      <c r="G6" s="27"/>
      <c r="H6" s="27"/>
      <c r="I6" s="27"/>
    </row>
    <row r="7" spans="1:9" ht="15" customHeight="1" x14ac:dyDescent="0.2">
      <c r="G7" s="27"/>
      <c r="H7" s="27"/>
      <c r="I7" s="27"/>
    </row>
    <row r="8" spans="1:9" ht="15" customHeight="1" x14ac:dyDescent="0.2">
      <c r="A8" s="157" t="s">
        <v>234</v>
      </c>
      <c r="B8" s="146"/>
      <c r="C8" s="146"/>
      <c r="D8" s="146"/>
      <c r="E8" s="146"/>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1081</v>
      </c>
      <c r="D10" s="31" t="str">
        <f>IF(OR($B10="—",$B10=""),"—",COUNTIFS('Match Log'!$D$4:$D$1510,$B10,'Match Log'!$C$4:$C$1510,$A10,'Match Log'!$E$4:$E$1510,"Win")&amp;"–"&amp;(COUNTIFS('Match Log'!$D$4:$D$1510,$B10,'Match Log'!$C$4:$C$1510,$A10)-COUNTIFS('Match Log'!$D$4:$D$1510,$B10,'Match Log'!$C$4:$C$1510,$A10,'Match Log'!$E$4:$E$1510,"Win")))</f>
        <v>6–0</v>
      </c>
      <c r="E10" s="31">
        <f>IFERROR('Sport Records'!$P$8,0)</f>
        <v>7</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31</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Simon</v>
      </c>
      <c r="C14" s="31">
        <f>IF(OR($B14="—",$B14=""),"",ROUND(MAX('Sport Records'!$B$110:$O$110),0))</f>
        <v>1030</v>
      </c>
      <c r="D14" s="31" t="str">
        <f>IF(OR($B14="—",$B14=""),"—",COUNTIFS('Match Log'!$D$4:$D$1510,$B14,'Match Log'!$C$4:$C$1510,$A14,'Match Log'!$E$4:$E$1510,"Win")&amp;"–"&amp;(COUNTIFS('Match Log'!$D$4:$D$1510,$B14,'Match Log'!$C$4:$C$1510,$A14)-COUNTIFS('Match Log'!$D$4:$D$1510,$B14,'Match Log'!$C$4:$C$1510,$A14,'Match Log'!$E$4:$E$1510,"Win")))</f>
        <v>2–0</v>
      </c>
      <c r="E14" s="31">
        <f>IFERROR('Sport Records'!$P$12,0)</f>
        <v>25</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Log'!$D$4:$D$1510,$B23,'Match Log'!$C$4:$C$1510,$A23,'Match Log'!$E$4:$E$1510,"Win")&amp;"–"&amp;(COUNTIFS('Match Log'!$D$4:$D$1510,$B23,'Match Log'!$C$4:$C$1510,$A23)-COUNTIFS('Match Log'!$D$4:$D$1510,$B23,'Match Log'!$C$4:$C$1510,$A23,'Match Log'!$E$4:$E$1510,"Win")))</f>
        <v>8–3</v>
      </c>
      <c r="E23" s="31">
        <f>IFERROR('Sport Records'!$P$21,0)</f>
        <v>21</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1128</v>
      </c>
      <c r="D28" s="31" t="str">
        <f>IF(OR($B28="—",$B28=""),"—",COUNTIFS('Match Log'!$D$4:$D$1510,$B28,'Match Log'!$C$4:$C$1510,$A28,'Match Log'!$E$4:$E$1510,"Win")&amp;"–"&amp;(COUNTIFS('Match Log'!$D$4:$D$1510,$B28,'Match Log'!$C$4:$C$1510,$A28)-COUNTIFS('Match Log'!$D$4:$D$1510,$B28,'Match Log'!$C$4:$C$1510,$A28,'Match Log'!$E$4:$E$1510,"Win")))</f>
        <v>19–12</v>
      </c>
      <c r="E28" s="31">
        <f>IFERROR('Sport Records'!$P$26,0)</f>
        <v>47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zoomScale="200" zoomScaleNormal="200" workbookViewId="0">
      <pane xSplit="3" ySplit="4" topLeftCell="Q5" activePane="bottomRight" state="frozen"/>
      <selection pane="topRight" activeCell="D1" sqref="D1"/>
      <selection pane="bottomLeft" activeCell="A5" sqref="A5"/>
      <selection pane="bottomRight" activeCell="T24" sqref="T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306  ·  27 Sep 2026</v>
      </c>
      <c r="T2" s="49" t="str">
        <f ca="1">IF(COUNTIF($T$5:$T$18,"At risk")+COUNTIF($T$5:$T$18,"Inactive")=0,"Inactivity watch:  all players active ✓","⚠ Inactivity watch:  "&amp;(COUNTIF($T$5:$T$18,"At risk")+COUNTIF($T$5:$T$18,"Inactive"))&amp;" player(s) need a game — see Activity column")</f>
        <v>⚠ Inactivity watch:  7 player(s) need a game — see Activity column</v>
      </c>
    </row>
    <row r="3" spans="1:24" ht="15.75" customHeight="1" x14ac:dyDescent="0.2">
      <c r="A3" s="50" t="str">
        <f ca="1">"Current Champion:  "&amp;IFERROR(INDEX($B$5:$B$18,MATCH(SUMPRODUCT(MAX(($L$5:$L$18="Eligible")*($T$5:$T$18&lt;&gt;"Inactive")*$V$5:$V$18)),$V$5:$V$18,0)),"— none eligible yet —")</f>
        <v>Current Champion:  Josh</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Josh</v>
      </c>
      <c r="C5" s="54">
        <f ca="1">IFERROR(INDEX(Calcs!$S$7:$S$20,MATCH($B5,Calcs!$A$7:$A$20,0)),"")</f>
        <v>1255.247020705217</v>
      </c>
      <c r="D5" s="55">
        <f ca="1">COUNTIF('Match Log'!$D$4:$D$1510,$B5)</f>
        <v>64</v>
      </c>
      <c r="E5" s="55">
        <f ca="1">COUNTIFS('Match Log'!$D$4:$D$1510,$B5,'Match Log'!$E$4:$E$1510,"Win")</f>
        <v>39</v>
      </c>
      <c r="F5" s="55">
        <f t="shared" ref="F5:F18" ca="1" si="1">$D5-$E5</f>
        <v>25</v>
      </c>
      <c r="G5" s="56">
        <f t="shared" ref="G5:G18" ca="1" si="2">IF($D5=0,"",$E5/$D5)</f>
        <v>0.609375</v>
      </c>
      <c r="H5" s="57">
        <f ca="1">SUMIF('Match Log'!$D$4:$D$1510,$B5,'Match Log'!$J$4:$J$1510)</f>
        <v>117.13086384741257</v>
      </c>
      <c r="I5" s="57">
        <f ca="1">SUMIF('Match Log'!$D$4:$D$1510,$B5,'Match Log'!$K$4:$K$1510)</f>
        <v>66.366156857804171</v>
      </c>
      <c r="J5" s="57">
        <f ca="1">SUMIF('Match Log'!$D$4:$D$1510,$B5,'Match Log'!$L$4:$L$1510)</f>
        <v>50</v>
      </c>
      <c r="K5" s="55">
        <f ca="1">SUMPRODUCT(--(COUNTIFS('Match Log'!$D$4:$D$1510,$B5,'Match Log'!$C$4:$C$1510,Lists!$C$2:$C$26)&gt;0))</f>
        <v>15</v>
      </c>
      <c r="L5" s="55" t="str">
        <f ca="1">IF($D5=0,"No games",IF(AND($D5&gt;='Guide &amp; Settings'!$C$45,$K5&gt;='Guide &amp; Settings'!$C$46),"Eligible","Provisional"))</f>
        <v>Eligible</v>
      </c>
      <c r="M5" s="54">
        <f ca="1">IFERROR(INDEX(Calcs!$C$7:$C$20,MATCH($B5,Calcs!$A$7:$A$20,0)),"")</f>
        <v>1122.8870443335802</v>
      </c>
      <c r="N5" s="54">
        <f t="shared" ref="N5:N18" ca="1" si="3">MAX($C$5:$C$18)-$C5</f>
        <v>0</v>
      </c>
      <c r="O5" s="55" t="str">
        <f ca="1">IFERROR(INDEX(Calcs!$H$7:$H$20,MATCH($B5,Calcs!$A$7:$A$20,0)),"")</f>
        <v>W5</v>
      </c>
      <c r="P5" s="55" t="str">
        <f ca="1">IFERROR(INDEX(Calcs!$I$7:$I$20,MATCH($B5,Calcs!$A$7:$A$20,0)),"")</f>
        <v>WWWWW</v>
      </c>
      <c r="Q5" s="55" t="str">
        <f ca="1">IFERROR(IF(INDEX(Calcs!$L$7:$L$20,MATCH($B5,Calcs!$A$7:$A$20,0))&gt;0,"▲"&amp;INDEX(Calcs!$L$7:$L$20,MATCH($B5,Calcs!$A$7:$A$20,0)),IF(INDEX(Calcs!$L$7:$L$20,MATCH($B5,Calcs!$A$7:$A$20,0))&lt;0,"▼"&amp;ABS(INDEX(Calcs!$L$7:$L$20,MATCH($B5,Calcs!$A$7:$A$20,0))),"–")),"")</f>
        <v>▲3</v>
      </c>
      <c r="R5" s="55" t="str">
        <f ca="1">IFERROR(IF(INDEX(Calcs!$P$7:$P$20,MATCH($B5,Calcs!$A$7:$A$20,0))=0,"—",TEXT(INDEX(Calcs!$P$7:$P$20,MATCH($B5,Calcs!$A$7:$A$20,0)),"d mmm")),"")</f>
        <v>27 Sep</v>
      </c>
      <c r="S5" s="55">
        <f ca="1">IFERROR(ROUND(INDEX(Calcs!$Q$7:$Q$20,MATCH($B5,Calcs!$A$7:$A$20,0)),1),"")</f>
        <v>0</v>
      </c>
      <c r="T5" s="55" t="str">
        <f ca="1">IFERROR(INDEX(Calcs!$T$7:$T$20,MATCH($B5,Calcs!$A$7:$A$20,0)),"")</f>
        <v>Active</v>
      </c>
      <c r="U5">
        <f ca="1">IFERROR(ROUND(INDEX(Calcs!$R$7:$R$20,MATCH($B5,Calcs!$A$7:$A$20,0))+INDEX(Calcs!$U$7:$U$20,MATCH($B5,Calcs!$A$7:$A$20,0)),0),0)</f>
        <v>0</v>
      </c>
      <c r="V5" s="57">
        <f ca="1">IFERROR(ROUND(INDEX(Calcs!$S$7:$S$20,MATCH($B5,Calcs!$A$7:$A$20,0)),0),"")</f>
        <v>1255</v>
      </c>
      <c r="W5" s="55" t="str">
        <f ca="1">IFERROR(INDEX(Calcs!$AF$7:$AF$20,MATCH($B5,Calcs!$A$7:$A$20,0)),"")</f>
        <v>Elite</v>
      </c>
      <c r="X5" s="57">
        <f ca="1">IFERROR(ROUND(SUMIF('Poker Stake Ledger'!$C$18:$C$137,$B5,'Poker Stake Ledger'!$K$18:$K$137),1),0)</f>
        <v>21.8</v>
      </c>
    </row>
    <row r="6" spans="1:24" ht="15" customHeight="1" x14ac:dyDescent="0.2">
      <c r="A6" s="52">
        <f t="shared" si="0"/>
        <v>2</v>
      </c>
      <c r="B6" s="53" t="str">
        <f ca="1">IFERROR(INDEX(Calcs!$A$7:$A$20,MATCH(LARGE(Calcs!$AI$7:$AI$20,ROW()-4),Calcs!$AI$7:$AI$20,0)),"")</f>
        <v>Simon</v>
      </c>
      <c r="C6" s="54">
        <f ca="1">IFERROR(INDEX(Calcs!$S$7:$S$20,MATCH($B6,Calcs!$A$7:$A$20,0)),"")</f>
        <v>1210.4461816871431</v>
      </c>
      <c r="D6" s="55">
        <f ca="1">COUNTIF('Match Log'!$D$4:$D$1510,$B6)</f>
        <v>40</v>
      </c>
      <c r="E6" s="55">
        <f ca="1">COUNTIFS('Match Log'!$D$4:$D$1510,$B6,'Match Log'!$E$4:$E$1510,"Win")</f>
        <v>21</v>
      </c>
      <c r="F6" s="55">
        <f t="shared" ca="1" si="1"/>
        <v>19</v>
      </c>
      <c r="G6" s="56">
        <f t="shared" ca="1" si="2"/>
        <v>0.52500000000000002</v>
      </c>
      <c r="H6" s="57">
        <f ca="1">SUMIF('Match Log'!$D$4:$D$1510,$B6,'Match Log'!$J$4:$J$1510)</f>
        <v>74.310240078644824</v>
      </c>
      <c r="I6" s="57">
        <f ca="1">SUMIF('Match Log'!$D$4:$D$1510,$B6,'Match Log'!$K$4:$K$1510)</f>
        <v>55.685941608498204</v>
      </c>
      <c r="J6" s="57">
        <f ca="1">SUMIF('Match Log'!$D$4:$D$1510,$B6,'Match Log'!$L$4:$L$1510)</f>
        <v>86</v>
      </c>
      <c r="K6" s="55">
        <f ca="1">SUMPRODUCT(--(COUNTIFS('Match Log'!$D$4:$D$1510,$B6,'Match Log'!$C$4:$C$1510,Lists!$C$2:$C$26)&gt;0))</f>
        <v>12</v>
      </c>
      <c r="L6" s="55" t="str">
        <f ca="1">IF($D6=0,"No games",IF(AND($D6&gt;='Guide &amp; Settings'!$C$45,$K6&gt;='Guide &amp; Settings'!$C$46),"Eligible","Provisional"))</f>
        <v>Eligible</v>
      </c>
      <c r="M6" s="54">
        <f ca="1">IFERROR(INDEX(Calcs!$C$7:$C$20,MATCH($B6,Calcs!$A$7:$A$20,0)),"")</f>
        <v>1071.5000984207491</v>
      </c>
      <c r="N6" s="54">
        <f t="shared" ca="1" si="3"/>
        <v>44.80083901807393</v>
      </c>
      <c r="O6" s="55" t="str">
        <f ca="1">IFERROR(INDEX(Calcs!$H$7:$H$20,MATCH($B6,Calcs!$A$7:$A$20,0)),"")</f>
        <v>W5</v>
      </c>
      <c r="P6" s="55" t="str">
        <f ca="1">IFERROR(INDEX(Calcs!$I$7:$I$20,MATCH($B6,Calcs!$A$7:$A$20,0)),"")</f>
        <v>WWWWW</v>
      </c>
      <c r="Q6" s="55" t="str">
        <f ca="1">IFERROR(IF(INDEX(Calcs!$L$7:$L$20,MATCH($B6,Calcs!$A$7:$A$20,0))&gt;0,"▲"&amp;INDEX(Calcs!$L$7:$L$20,MATCH($B6,Calcs!$A$7:$A$20,0)),IF(INDEX(Calcs!$L$7:$L$20,MATCH($B6,Calcs!$A$7:$A$20,0))&lt;0,"▼"&amp;ABS(INDEX(Calcs!$L$7:$L$20,MATCH($B6,Calcs!$A$7:$A$20,0))),"–")),"")</f>
        <v>▲3</v>
      </c>
      <c r="R6" s="55" t="str">
        <f ca="1">IFERROR(IF(INDEX(Calcs!$P$7:$P$20,MATCH($B6,Calcs!$A$7:$A$20,0))=0,"—",TEXT(INDEX(Calcs!$P$7:$P$20,MATCH($B6,Calcs!$A$7:$A$20,0)),"d mmm")),"")</f>
        <v>6 Sep</v>
      </c>
      <c r="S6" s="55">
        <f ca="1">IFERROR(ROUND(INDEX(Calcs!$Q$7:$Q$20,MATCH($B6,Calcs!$A$7:$A$20,0)),1),"")</f>
        <v>3</v>
      </c>
      <c r="T6" s="55" t="str">
        <f ca="1">IFERROR(INDEX(Calcs!$T$7:$T$20,MATCH($B6,Calcs!$A$7:$A$20,0)),"")</f>
        <v>At risk</v>
      </c>
      <c r="U6">
        <f ca="1">IFERROR(ROUND(INDEX(Calcs!$R$7:$R$20,MATCH($B6,Calcs!$A$7:$A$20,0))+INDEX(Calcs!$U$7:$U$20,MATCH($B6,Calcs!$A$7:$A$20,0)),0),0)</f>
        <v>0</v>
      </c>
      <c r="V6" s="57">
        <f ca="1">IFERROR(ROUND(INDEX(Calcs!$S$7:$S$20,MATCH($B6,Calcs!$A$7:$A$20,0)),0),"")</f>
        <v>1210</v>
      </c>
      <c r="W6" s="55" t="str">
        <f ca="1">IFERROR(INDEX(Calcs!$AF$7:$AF$20,MATCH($B6,Calcs!$A$7:$A$20,0)),"")</f>
        <v>Elite</v>
      </c>
      <c r="X6" s="57">
        <f ca="1">IFERROR(ROUND(SUMIF('Poker Stake Ledger'!$C$18:$C$137,$B6,'Poker Stake Ledger'!$K$18:$K$137),1),0)</f>
        <v>-5.6</v>
      </c>
    </row>
    <row r="7" spans="1:24" ht="15" customHeight="1" x14ac:dyDescent="0.2">
      <c r="A7" s="52">
        <f t="shared" si="0"/>
        <v>3</v>
      </c>
      <c r="B7" s="53" t="str">
        <f ca="1">IFERROR(INDEX(Calcs!$A$7:$A$20,MATCH(LARGE(Calcs!$AI$7:$AI$20,ROW()-4),Calcs!$AI$7:$AI$20,0)),"")</f>
        <v>Aaron</v>
      </c>
      <c r="C7" s="54">
        <f ca="1">IFERROR(INDEX(Calcs!$S$7:$S$20,MATCH($B7,Calcs!$A$7:$A$20,0)),"")</f>
        <v>1196.4573388632245</v>
      </c>
      <c r="D7" s="55">
        <f ca="1">COUNTIF('Match Log'!$D$4:$D$1510,$B7)</f>
        <v>89</v>
      </c>
      <c r="E7" s="55">
        <f ca="1">COUNTIFS('Match Log'!$D$4:$D$1510,$B7,'Match Log'!$E$4:$E$1510,"Win")</f>
        <v>42</v>
      </c>
      <c r="F7" s="55">
        <f t="shared" ca="1" si="1"/>
        <v>47</v>
      </c>
      <c r="G7" s="56">
        <f t="shared" ca="1" si="2"/>
        <v>0.47191011235955055</v>
      </c>
      <c r="H7" s="57">
        <f ca="1">SUMIF('Match Log'!$D$4:$D$1510,$B7,'Match Log'!$J$4:$J$1510)</f>
        <v>47.757035931473901</v>
      </c>
      <c r="I7" s="57">
        <f ca="1">SUMIF('Match Log'!$D$4:$D$1510,$B7,'Match Log'!$K$4:$K$1510)</f>
        <v>65.800302931750437</v>
      </c>
      <c r="J7" s="57">
        <f ca="1">SUMIF('Match Log'!$D$4:$D$1510,$B7,'Match Log'!$L$4:$L$1510)</f>
        <v>104</v>
      </c>
      <c r="K7" s="55">
        <f ca="1">SUMPRODUCT(--(COUNTIFS('Match Log'!$D$4:$D$1510,$B7,'Match Log'!$C$4:$C$1510,Lists!$C$2:$C$26)&gt;0))</f>
        <v>14</v>
      </c>
      <c r="L7" s="55" t="str">
        <f ca="1">IF($D7=0,"No games",IF(AND($D7&gt;='Guide &amp; Settings'!$C$45,$K7&gt;='Guide &amp; Settings'!$C$46),"Eligible","Provisional"))</f>
        <v>Eligible</v>
      </c>
      <c r="M7" s="54">
        <f ca="1">IFERROR(INDEX(Calcs!$C$7:$C$20,MATCH($B7,Calcs!$A$7:$A$20,0)),"")</f>
        <v>1123.3386571798642</v>
      </c>
      <c r="N7" s="54">
        <f t="shared" ca="1" si="3"/>
        <v>58.789681841992433</v>
      </c>
      <c r="O7" s="55" t="str">
        <f ca="1">IFERROR(INDEX(Calcs!$H$7:$H$20,MATCH($B7,Calcs!$A$7:$A$20,0)),"")</f>
        <v>L5</v>
      </c>
      <c r="P7" s="55" t="str">
        <f ca="1">IFERROR(INDEX(Calcs!$I$7:$I$20,MATCH($B7,Calcs!$A$7:$A$20,0)),"")</f>
        <v>LLLLL</v>
      </c>
      <c r="Q7" s="55" t="str">
        <f ca="1">IFERROR(IF(INDEX(Calcs!$L$7:$L$20,MATCH($B7,Calcs!$A$7:$A$20,0))&gt;0,"▲"&amp;INDEX(Calcs!$L$7:$L$20,MATCH($B7,Calcs!$A$7:$A$20,0)),IF(INDEX(Calcs!$L$7:$L$20,MATCH($B7,Calcs!$A$7:$A$20,0))&lt;0,"▼"&amp;ABS(INDEX(Calcs!$L$7:$L$20,MATCH($B7,Calcs!$A$7:$A$20,0))),"–")),"")</f>
        <v>▼2</v>
      </c>
      <c r="R7" s="55" t="str">
        <f ca="1">IFERROR(IF(INDEX(Calcs!$P$7:$P$20,MATCH($B7,Calcs!$A$7:$A$20,0))=0,"—",TEXT(INDEX(Calcs!$P$7:$P$20,MATCH($B7,Calcs!$A$7:$A$20,0)),"d mmm")),"")</f>
        <v>25 Sep</v>
      </c>
      <c r="S7" s="55">
        <f ca="1">IFERROR(ROUND(INDEX(Calcs!$Q$7:$Q$20,MATCH($B7,Calcs!$A$7:$A$20,0)),1),"")</f>
        <v>0.3</v>
      </c>
      <c r="T7" s="55" t="str">
        <f ca="1">IFERROR(INDEX(Calcs!$T$7:$T$20,MATCH($B7,Calcs!$A$7:$A$20,0)),"")</f>
        <v>Active</v>
      </c>
      <c r="U7">
        <f ca="1">IFERROR(ROUND(INDEX(Calcs!$R$7:$R$20,MATCH($B7,Calcs!$A$7:$A$20,0))+INDEX(Calcs!$U$7:$U$20,MATCH($B7,Calcs!$A$7:$A$20,0)),0),0)</f>
        <v>10</v>
      </c>
      <c r="V7" s="57">
        <f ca="1">IFERROR(ROUND(INDEX(Calcs!$S$7:$S$20,MATCH($B7,Calcs!$A$7:$A$20,0)),0),"")</f>
        <v>1196</v>
      </c>
      <c r="W7" s="55" t="str">
        <f ca="1">IFERROR(INDEX(Calcs!$AF$7:$AF$20,MATCH($B7,Calcs!$A$7:$A$20,0)),"")</f>
        <v>Elite</v>
      </c>
      <c r="X7" s="57">
        <f ca="1">IFERROR(ROUND(SUMIF('Poker Stake Ledger'!$C$18:$C$137,$B7,'Poker Stake Ledger'!$K$18:$K$137),1),0)</f>
        <v>-11.1</v>
      </c>
    </row>
    <row r="8" spans="1:24" ht="15" customHeight="1" x14ac:dyDescent="0.2">
      <c r="A8" s="52">
        <f t="shared" si="0"/>
        <v>4</v>
      </c>
      <c r="B8" s="53" t="str">
        <f ca="1">IFERROR(INDEX(Calcs!$A$7:$A$20,MATCH(LARGE(Calcs!$AI$7:$AI$20,ROW()-4),Calcs!$AI$7:$AI$20,0)),"")</f>
        <v>Dean B</v>
      </c>
      <c r="C8" s="54">
        <f ca="1">IFERROR(INDEX(Calcs!$S$7:$S$20,MATCH($B8,Calcs!$A$7:$A$20,0)),"")</f>
        <v>1187.9015417269482</v>
      </c>
      <c r="D8" s="55">
        <f ca="1">COUNTIF('Match Log'!$D$4:$D$1510,$B8)</f>
        <v>42</v>
      </c>
      <c r="E8" s="55">
        <f ca="1">COUNTIFS('Match Log'!$D$4:$D$1510,$B8,'Match Log'!$E$4:$E$1510,"Win")</f>
        <v>25</v>
      </c>
      <c r="F8" s="55">
        <f t="shared" ca="1" si="1"/>
        <v>17</v>
      </c>
      <c r="G8" s="56">
        <f t="shared" ca="1" si="2"/>
        <v>0.59523809523809523</v>
      </c>
      <c r="H8" s="57">
        <f ca="1">SUMIF('Match Log'!$D$4:$D$1510,$B8,'Match Log'!$J$4:$J$1510)</f>
        <v>89.675227242644667</v>
      </c>
      <c r="I8" s="57">
        <f ca="1">SUMIF('Match Log'!$D$4:$D$1510,$B8,'Match Log'!$K$4:$K$1510)</f>
        <v>72.226314484303657</v>
      </c>
      <c r="J8" s="57">
        <f ca="1">SUMIF('Match Log'!$D$4:$D$1510,$B8,'Match Log'!$L$4:$L$1510)</f>
        <v>56</v>
      </c>
      <c r="K8" s="55">
        <f ca="1">SUMPRODUCT(--(COUNTIFS('Match Log'!$D$4:$D$1510,$B8,'Match Log'!$C$4:$C$1510,Lists!$C$2:$C$26)&gt;0))</f>
        <v>7</v>
      </c>
      <c r="L8" s="55" t="str">
        <f ca="1">IF($D8=0,"No games",IF(AND($D8&gt;='Guide &amp; Settings'!$C$45,$K8&gt;='Guide &amp; Settings'!$C$46),"Eligible","Provisional"))</f>
        <v>Eligible</v>
      </c>
      <c r="M8" s="54">
        <f ca="1">IFERROR(INDEX(Calcs!$C$7:$C$20,MATCH($B8,Calcs!$A$7:$A$20,0)),"")</f>
        <v>1128.6162246665585</v>
      </c>
      <c r="N8" s="54">
        <f t="shared" ca="1" si="3"/>
        <v>67.345478978268829</v>
      </c>
      <c r="O8" s="55" t="str">
        <f ca="1">IFERROR(INDEX(Calcs!$H$7:$H$20,MATCH($B8,Calcs!$A$7:$A$20,0)),"")</f>
        <v>L1</v>
      </c>
      <c r="P8" s="55" t="str">
        <f ca="1">IFERROR(INDEX(Calcs!$I$7:$I$20,MATCH($B8,Calcs!$A$7:$A$20,0)),"")</f>
        <v>WWLWL</v>
      </c>
      <c r="Q8" s="55" t="str">
        <f ca="1">IFERROR(IF(INDEX(Calcs!$L$7:$L$20,MATCH($B8,Calcs!$A$7:$A$20,0))&gt;0,"▲"&amp;INDEX(Calcs!$L$7:$L$20,MATCH($B8,Calcs!$A$7:$A$20,0)),IF(INDEX(Calcs!$L$7:$L$20,MATCH($B8,Calcs!$A$7:$A$20,0))&lt;0,"▼"&amp;ABS(INDEX(Calcs!$L$7:$L$20,MATCH($B8,Calcs!$A$7:$A$20,0))),"–")),"")</f>
        <v>▼1</v>
      </c>
      <c r="R8" s="55" t="str">
        <f ca="1">IFERROR(IF(INDEX(Calcs!$P$7:$P$20,MATCH($B8,Calcs!$A$7:$A$20,0))=0,"—",TEXT(INDEX(Calcs!$P$7:$P$20,MATCH($B8,Calcs!$A$7:$A$20,0)),"d mmm")),"")</f>
        <v>25 Sep</v>
      </c>
      <c r="S8" s="55">
        <f ca="1">IFERROR(ROUND(INDEX(Calcs!$Q$7:$Q$20,MATCH($B8,Calcs!$A$7:$A$20,0)),1),"")</f>
        <v>0.3</v>
      </c>
      <c r="T8" s="55" t="str">
        <f ca="1">IFERROR(INDEX(Calcs!$T$7:$T$20,MATCH($B8,Calcs!$A$7:$A$20,0)),"")</f>
        <v>Active</v>
      </c>
      <c r="U8">
        <f ca="1">IFERROR(ROUND(INDEX(Calcs!$R$7:$R$20,MATCH($B8,Calcs!$A$7:$A$20,0))+INDEX(Calcs!$U$7:$U$20,MATCH($B8,Calcs!$A$7:$A$20,0)),0),0)</f>
        <v>30</v>
      </c>
      <c r="V8" s="57">
        <f ca="1">IFERROR(ROUND(INDEX(Calcs!$S$7:$S$20,MATCH($B8,Calcs!$A$7:$A$20,0)),0),"")</f>
        <v>1188</v>
      </c>
      <c r="W8" s="55" t="str">
        <f ca="1">IFERROR(INDEX(Calcs!$AF$7:$AF$20,MATCH($B8,Calcs!$A$7:$A$20,0)),"")</f>
        <v>Elite</v>
      </c>
      <c r="X8" s="57">
        <f ca="1">IFERROR(ROUND(SUMIF('Poker Stake Ledger'!$C$18:$C$137,$B8,'Poker Stake Ledger'!$K$18:$K$137),1),0)</f>
        <v>0</v>
      </c>
    </row>
    <row r="9" spans="1:24" ht="15" customHeight="1" x14ac:dyDescent="0.2">
      <c r="A9" s="52">
        <f t="shared" si="0"/>
        <v>5</v>
      </c>
      <c r="B9" s="53" t="str">
        <f ca="1">IFERROR(INDEX(Calcs!$A$7:$A$20,MATCH(LARGE(Calcs!$AI$7:$AI$20,ROW()-4),Calcs!$AI$7:$AI$20,0)),"")</f>
        <v>Daniel (Ferret)</v>
      </c>
      <c r="C9" s="54">
        <f ca="1">IFERROR(INDEX(Calcs!$S$7:$S$20,MATCH($B9,Calcs!$A$7:$A$20,0)),"")</f>
        <v>1178.8141127775541</v>
      </c>
      <c r="D9" s="55">
        <f ca="1">COUNTIF('Match Log'!$D$4:$D$1510,$B9)</f>
        <v>148</v>
      </c>
      <c r="E9" s="55">
        <f ca="1">COUNTIFS('Match Log'!$D$4:$D$1510,$B9,'Match Log'!$E$4:$E$1510,"Win")</f>
        <v>62</v>
      </c>
      <c r="F9" s="55">
        <f t="shared" ca="1" si="1"/>
        <v>86</v>
      </c>
      <c r="G9" s="56">
        <f t="shared" ca="1" si="2"/>
        <v>0.41891891891891891</v>
      </c>
      <c r="H9" s="57">
        <f ca="1">SUMIF('Match Log'!$D$4:$D$1510,$B9,'Match Log'!$J$4:$J$1510)</f>
        <v>-16.783767640738354</v>
      </c>
      <c r="I9" s="57">
        <f ca="1">SUMIF('Match Log'!$D$4:$D$1510,$B9,'Match Log'!$K$4:$K$1510)</f>
        <v>41.947880418292939</v>
      </c>
      <c r="J9" s="57">
        <f ca="1">SUMIF('Match Log'!$D$4:$D$1510,$B9,'Match Log'!$L$4:$L$1510)</f>
        <v>155</v>
      </c>
      <c r="K9" s="55">
        <f ca="1">SUMPRODUCT(--(COUNTIFS('Match Log'!$D$4:$D$1510,$B9,'Match Log'!$C$4:$C$1510,Lists!$C$2:$C$26)&gt;0))</f>
        <v>20</v>
      </c>
      <c r="L9" s="55" t="str">
        <f ca="1">IF($D9=0,"No games",IF(AND($D9&gt;='Guide &amp; Settings'!$C$45,$K9&gt;='Guide &amp; Settings'!$C$46),"Eligible","Provisional"))</f>
        <v>Eligible</v>
      </c>
      <c r="M9" s="54">
        <f ca="1">IFERROR(INDEX(Calcs!$C$7:$C$20,MATCH($B9,Calcs!$A$7:$A$20,0)),"")</f>
        <v>1143.4731534680354</v>
      </c>
      <c r="N9" s="54">
        <f t="shared" ca="1" si="3"/>
        <v>76.432907927662882</v>
      </c>
      <c r="O9" s="55" t="str">
        <f ca="1">IFERROR(INDEX(Calcs!$H$7:$H$20,MATCH($B9,Calcs!$A$7:$A$20,0)),"")</f>
        <v>L2</v>
      </c>
      <c r="P9" s="55" t="str">
        <f ca="1">IFERROR(INDEX(Calcs!$I$7:$I$20,MATCH($B9,Calcs!$A$7:$A$20,0)),"")</f>
        <v>WLWLL</v>
      </c>
      <c r="Q9" s="55" t="str">
        <f ca="1">IFERROR(IF(INDEX(Calcs!$L$7:$L$20,MATCH($B9,Calcs!$A$7:$A$20,0))&gt;0,"▲"&amp;INDEX(Calcs!$L$7:$L$20,MATCH($B9,Calcs!$A$7:$A$20,0)),IF(INDEX(Calcs!$L$7:$L$20,MATCH($B9,Calcs!$A$7:$A$20,0))&lt;0,"▼"&amp;ABS(INDEX(Calcs!$L$7:$L$20,MATCH($B9,Calcs!$A$7:$A$20,0))),"–")),"")</f>
        <v>▲3</v>
      </c>
      <c r="R9" s="55" t="str">
        <f ca="1">IFERROR(IF(INDEX(Calcs!$P$7:$P$20,MATCH($B9,Calcs!$A$7:$A$20,0))=0,"—",TEXT(INDEX(Calcs!$P$7:$P$20,MATCH($B9,Calcs!$A$7:$A$20,0)),"d mmm")),"")</f>
        <v>27 Sep</v>
      </c>
      <c r="S9" s="55">
        <f ca="1">IFERROR(ROUND(INDEX(Calcs!$Q$7:$Q$20,MATCH($B9,Calcs!$A$7:$A$20,0)),1),"")</f>
        <v>0</v>
      </c>
      <c r="T9" s="55" t="str">
        <f ca="1">IFERROR(INDEX(Calcs!$T$7:$T$20,MATCH($B9,Calcs!$A$7:$A$20,0)),"")</f>
        <v>Active</v>
      </c>
      <c r="U9">
        <f ca="1">IFERROR(ROUND(INDEX(Calcs!$R$7:$R$20,MATCH($B9,Calcs!$A$7:$A$20,0))+INDEX(Calcs!$U$7:$U$20,MATCH($B9,Calcs!$A$7:$A$20,0)),0),0)</f>
        <v>0</v>
      </c>
      <c r="V9" s="57">
        <f ca="1">IFERROR(ROUND(INDEX(Calcs!$S$7:$S$20,MATCH($B9,Calcs!$A$7:$A$20,0)),0),"")</f>
        <v>1179</v>
      </c>
      <c r="W9" s="55" t="str">
        <f ca="1">IFERROR(INDEX(Calcs!$AF$7:$AF$20,MATCH($B9,Calcs!$A$7:$A$20,0)),"")</f>
        <v>Elite</v>
      </c>
      <c r="X9" s="57">
        <f ca="1">IFERROR(ROUND(SUMIF('Poker Stake Ledger'!$C$18:$C$137,$B9,'Poker Stake Ledger'!$K$18:$K$137),1),0)</f>
        <v>-1.4</v>
      </c>
    </row>
    <row r="10" spans="1:24" ht="15" customHeight="1" x14ac:dyDescent="0.2">
      <c r="A10" s="52">
        <f t="shared" si="0"/>
        <v>6</v>
      </c>
      <c r="B10" s="53" t="str">
        <f ca="1">IFERROR(INDEX(Calcs!$A$7:$A$20,MATCH(LARGE(Calcs!$AI$7:$AI$20,ROW()-4),Calcs!$AI$7:$AI$20,0)),"")</f>
        <v>Shawn</v>
      </c>
      <c r="C10" s="54">
        <f ca="1">IFERROR(INDEX(Calcs!$S$7:$S$20,MATCH($B10,Calcs!$A$7:$A$20,0)),"")</f>
        <v>1129.1037274164212</v>
      </c>
      <c r="D10" s="55">
        <f ca="1">COUNTIF('Match Log'!$D$4:$D$1510,$B10)</f>
        <v>157</v>
      </c>
      <c r="E10" s="55">
        <f ca="1">COUNTIFS('Match Log'!$D$4:$D$1510,$B10,'Match Log'!$E$4:$E$1510,"Win")</f>
        <v>73</v>
      </c>
      <c r="F10" s="55">
        <f t="shared" ca="1" si="1"/>
        <v>84</v>
      </c>
      <c r="G10" s="56">
        <f t="shared" ca="1" si="2"/>
        <v>0.46496815286624205</v>
      </c>
      <c r="H10" s="57">
        <f ca="1">SUMIF('Match Log'!$D$4:$D$1510,$B10,'Match Log'!$J$4:$J$1510)</f>
        <v>-44.253366039741373</v>
      </c>
      <c r="I10" s="57">
        <f ca="1">SUMIF('Match Log'!$D$4:$D$1510,$B10,'Match Log'!$K$4:$K$1510)</f>
        <v>0.10709345616288424</v>
      </c>
      <c r="J10" s="57">
        <f ca="1">SUMIF('Match Log'!$D$4:$D$1510,$B10,'Match Log'!$L$4:$L$1510)</f>
        <v>177</v>
      </c>
      <c r="K10" s="55">
        <f ca="1">SUMPRODUCT(--(COUNTIFS('Match Log'!$D$4:$D$1510,$B10,'Match Log'!$C$4:$C$1510,Lists!$C$2:$C$26)&gt;0))</f>
        <v>19</v>
      </c>
      <c r="L10" s="55" t="str">
        <f ca="1">IF($D10=0,"No games",IF(AND($D10&gt;='Guide &amp; Settings'!$C$45,$K10&gt;='Guide &amp; Settings'!$C$46),"Eligible","Provisional"))</f>
        <v>Eligible</v>
      </c>
      <c r="M10" s="54">
        <f ca="1">IFERROR(INDEX(Calcs!$C$7:$C$20,MATCH($B10,Calcs!$A$7:$A$20,0)),"")</f>
        <v>1144.9300050548341</v>
      </c>
      <c r="N10" s="54">
        <f t="shared" ca="1" si="3"/>
        <v>126.1432932887958</v>
      </c>
      <c r="O10" s="55" t="str">
        <f ca="1">IFERROR(INDEX(Calcs!$H$7:$H$20,MATCH($B10,Calcs!$A$7:$A$20,0)),"")</f>
        <v>L6</v>
      </c>
      <c r="P10" s="55" t="str">
        <f ca="1">IFERROR(INDEX(Calcs!$I$7:$I$20,MATCH($B10,Calcs!$A$7:$A$20,0)),"")</f>
        <v>LLLLL</v>
      </c>
      <c r="Q10" s="55" t="str">
        <f ca="1">IFERROR(IF(INDEX(Calcs!$L$7:$L$20,MATCH($B10,Calcs!$A$7:$A$20,0))&gt;0,"▲"&amp;INDEX(Calcs!$L$7:$L$20,MATCH($B10,Calcs!$A$7:$A$20,0)),IF(INDEX(Calcs!$L$7:$L$20,MATCH($B10,Calcs!$A$7:$A$20,0))&lt;0,"▼"&amp;ABS(INDEX(Calcs!$L$7:$L$20,MATCH($B10,Calcs!$A$7:$A$20,0))),"–")),"")</f>
        <v>▼4</v>
      </c>
      <c r="R10" s="55" t="str">
        <f ca="1">IFERROR(IF(INDEX(Calcs!$P$7:$P$20,MATCH($B10,Calcs!$A$7:$A$20,0))=0,"—",TEXT(INDEX(Calcs!$P$7:$P$20,MATCH($B10,Calcs!$A$7:$A$20,0)),"d mmm")),"")</f>
        <v>26 Sep</v>
      </c>
      <c r="S10" s="55">
        <f ca="1">IFERROR(ROUND(INDEX(Calcs!$Q$7:$Q$20,MATCH($B10,Calcs!$A$7:$A$20,0)),1),"")</f>
        <v>0.1</v>
      </c>
      <c r="T10" s="55" t="str">
        <f ca="1">IFERROR(INDEX(Calcs!$T$7:$T$20,MATCH($B10,Calcs!$A$7:$A$20,0)),"")</f>
        <v>Active</v>
      </c>
      <c r="U10">
        <f ca="1">IFERROR(ROUND(INDEX(Calcs!$R$7:$R$20,MATCH($B10,Calcs!$A$7:$A$20,0))+INDEX(Calcs!$U$7:$U$20,MATCH($B10,Calcs!$A$7:$A$20,0)),0),0)</f>
        <v>0</v>
      </c>
      <c r="V10" s="57">
        <f ca="1">IFERROR(ROUND(INDEX(Calcs!$S$7:$S$20,MATCH($B10,Calcs!$A$7:$A$20,0)),0),"")</f>
        <v>1129</v>
      </c>
      <c r="W10" s="55" t="str">
        <f ca="1">IFERROR(INDEX(Calcs!$AF$7:$AF$20,MATCH($B10,Calcs!$A$7:$A$20,0)),"")</f>
        <v>Strong</v>
      </c>
      <c r="X10" s="57">
        <f ca="1">IFERROR(ROUND(SUMIF('Poker Stake Ledger'!$C$18:$C$137,$B10,'Poker Stake Ledger'!$K$18:$K$137),1),0)</f>
        <v>-3.8</v>
      </c>
    </row>
    <row r="11" spans="1:24" ht="15" customHeight="1" x14ac:dyDescent="0.2">
      <c r="A11" s="52">
        <f t="shared" si="0"/>
        <v>7</v>
      </c>
      <c r="B11" s="53" t="str">
        <f ca="1">IFERROR(INDEX(Calcs!$A$7:$A$20,MATCH(LARGE(Calcs!$AI$7:$AI$20,ROW()-4),Calcs!$AI$7:$AI$20,0)),"")</f>
        <v>Chase</v>
      </c>
      <c r="C11" s="54">
        <f ca="1">IFERROR(INDEX(Calcs!$S$7:$S$20,MATCH($B11,Calcs!$A$7:$A$20,0)),"")</f>
        <v>1061.2287215286424</v>
      </c>
      <c r="D11" s="55">
        <f ca="1">COUNTIF('Match Log'!$D$4:$D$1510,$B11)</f>
        <v>20</v>
      </c>
      <c r="E11" s="55">
        <f ca="1">COUNTIFS('Match Log'!$D$4:$D$1510,$B11,'Match Log'!$E$4:$E$1510,"Win")</f>
        <v>9</v>
      </c>
      <c r="F11" s="55">
        <f t="shared" ca="1" si="1"/>
        <v>11</v>
      </c>
      <c r="G11" s="56">
        <f t="shared" ca="1" si="2"/>
        <v>0.45</v>
      </c>
      <c r="H11" s="57">
        <f ca="1">SUMIF('Match Log'!$D$4:$D$1510,$B11,'Match Log'!$J$4:$J$1510)</f>
        <v>38.265554488910006</v>
      </c>
      <c r="I11" s="57">
        <f ca="1">SUMIF('Match Log'!$D$4:$D$1510,$B11,'Match Log'!$K$4:$K$1510)</f>
        <v>2.963167039732447</v>
      </c>
      <c r="J11" s="57">
        <f ca="1">SUMIF('Match Log'!$D$4:$D$1510,$B11,'Match Log'!$L$4:$L$1510)</f>
        <v>40</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1127.400685202153</v>
      </c>
      <c r="N11" s="54">
        <f t="shared" ca="1" si="3"/>
        <v>194.0182991765746</v>
      </c>
      <c r="O11" s="55" t="str">
        <f ca="1">IFERROR(INDEX(Calcs!$H$7:$H$20,MATCH($B11,Calcs!$A$7:$A$20,0)),"")</f>
        <v>L1</v>
      </c>
      <c r="P11" s="55" t="str">
        <f ca="1">IFERROR(INDEX(Calcs!$I$7:$I$20,MATCH($B11,Calcs!$A$7:$A$20,0)),"")</f>
        <v>LLWWL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9 Sep</v>
      </c>
      <c r="S11" s="55">
        <f ca="1">IFERROR(ROUND(INDEX(Calcs!$Q$7:$Q$20,MATCH($B11,Calcs!$A$7:$A$20,0)),1),"")</f>
        <v>2.6</v>
      </c>
      <c r="T11" s="55" t="str">
        <f ca="1">IFERROR(INDEX(Calcs!$T$7:$T$20,MATCH($B11,Calcs!$A$7:$A$20,0)),"")</f>
        <v>At risk</v>
      </c>
      <c r="U11">
        <f ca="1">IFERROR(ROUND(INDEX(Calcs!$R$7:$R$20,MATCH($B11,Calcs!$A$7:$A$20,0))+INDEX(Calcs!$U$7:$U$20,MATCH($B11,Calcs!$A$7:$A$20,0)),0),0)</f>
        <v>20</v>
      </c>
      <c r="V11" s="57">
        <f ca="1">IFERROR(ROUND(INDEX(Calcs!$S$7:$S$20,MATCH($B11,Calcs!$A$7:$A$20,0)),0),"")</f>
        <v>1061</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Dean M</v>
      </c>
      <c r="C12" s="54">
        <f ca="1">IFERROR(INDEX(Calcs!$S$7:$S$20,MATCH($B12,Calcs!$A$7:$A$20,0)),"")</f>
        <v>1057.5488947064855</v>
      </c>
      <c r="D12" s="55">
        <f ca="1">COUNTIF('Match Log'!$D$4:$D$1510,$B12)</f>
        <v>15</v>
      </c>
      <c r="E12" s="55">
        <f ca="1">COUNTIFS('Match Log'!$D$4:$D$1510,$B12,'Match Log'!$E$4:$E$1510,"Win")</f>
        <v>7</v>
      </c>
      <c r="F12" s="55">
        <f t="shared" ca="1" si="1"/>
        <v>8</v>
      </c>
      <c r="G12" s="56">
        <f t="shared" ca="1" si="2"/>
        <v>0.46666666666666667</v>
      </c>
      <c r="H12" s="57">
        <f ca="1">SUMIF('Match Log'!$D$4:$D$1510,$B12,'Match Log'!$J$4:$J$1510)</f>
        <v>28.076161354904098</v>
      </c>
      <c r="I12" s="57">
        <f ca="1">SUMIF('Match Log'!$D$4:$D$1510,$B12,'Match Log'!$K$4:$K$1510)</f>
        <v>24.47273335158134</v>
      </c>
      <c r="J12" s="57">
        <f ca="1">SUMIF('Match Log'!$D$4:$D$1510,$B12,'Match Log'!$L$4:$L$1510)</f>
        <v>35</v>
      </c>
      <c r="K12" s="55">
        <f ca="1">SUMPRODUCT(--(COUNTIFS('Match Log'!$D$4:$D$1510,$B12,'Match Log'!$C$4:$C$1510,Lists!$C$2:$C$26)&gt;0))</f>
        <v>4</v>
      </c>
      <c r="L12" s="55" t="str">
        <f ca="1">IF($D12=0,"No games",IF(AND($D12&gt;='Guide &amp; Settings'!$C$45,$K12&gt;='Guide &amp; Settings'!$C$46),"Eligible","Provisional"))</f>
        <v>Eligible</v>
      </c>
      <c r="M12" s="54">
        <f ca="1">IFERROR(INDEX(Calcs!$C$7:$C$20,MATCH($B12,Calcs!$A$7:$A$20,0)),"")</f>
        <v>1070.0329344029183</v>
      </c>
      <c r="N12" s="54">
        <f t="shared" ca="1" si="3"/>
        <v>197.69812599873148</v>
      </c>
      <c r="O12" s="55" t="str">
        <f ca="1">IFERROR(INDEX(Calcs!$H$7:$H$20,MATCH($B12,Calcs!$A$7:$A$20,0)),"")</f>
        <v>W1</v>
      </c>
      <c r="P12" s="55" t="str">
        <f ca="1">IFERROR(INDEX(Calcs!$I$7:$I$20,MATCH($B12,Calcs!$A$7:$A$20,0)),"")</f>
        <v>LWWLW</v>
      </c>
      <c r="Q12" s="55" t="str">
        <f ca="1">IFERROR(IF(INDEX(Calcs!$L$7:$L$20,MATCH($B12,Calcs!$A$7:$A$20,0))&gt;0,"▲"&amp;INDEX(Calcs!$L$7:$L$20,MATCH($B12,Calcs!$A$7:$A$20,0)),IF(INDEX(Calcs!$L$7:$L$20,MATCH($B12,Calcs!$A$7:$A$20,0))&lt;0,"▼"&amp;ABS(INDEX(Calcs!$L$7:$L$20,MATCH($B12,Calcs!$A$7:$A$20,0))),"–")),"")</f>
        <v>▼2</v>
      </c>
      <c r="R12" s="55" t="str">
        <f ca="1">IFERROR(IF(INDEX(Calcs!$P$7:$P$20,MATCH($B12,Calcs!$A$7:$A$20,0))=0,"—",TEXT(INDEX(Calcs!$P$7:$P$20,MATCH($B12,Calcs!$A$7:$A$20,0)),"d mmm")),"")</f>
        <v>15 Aug</v>
      </c>
      <c r="S12" s="55">
        <f ca="1">IFERROR(ROUND(INDEX(Calcs!$Q$7:$Q$20,MATCH($B12,Calcs!$A$7:$A$20,0)),1),"")</f>
        <v>6.1</v>
      </c>
      <c r="T12" s="55" t="str">
        <f ca="1">IFERROR(INDEX(Calcs!$T$7:$T$20,MATCH($B12,Calcs!$A$7:$A$20,0)),"")</f>
        <v>Inactive</v>
      </c>
      <c r="U12">
        <f ca="1">IFERROR(ROUND(INDEX(Calcs!$R$7:$R$20,MATCH($B12,Calcs!$A$7:$A$20,0))+INDEX(Calcs!$U$7:$U$20,MATCH($B12,Calcs!$A$7:$A$20,0)),0),0)</f>
        <v>30</v>
      </c>
      <c r="V12" s="57">
        <f ca="1">IFERROR(ROUND(INDEX(Calcs!$S$7:$S$20,MATCH($B12,Calcs!$A$7:$A$20,0)),0),"")</f>
        <v>1058</v>
      </c>
      <c r="W12" s="55" t="str">
        <f ca="1">IFERROR(INDEX(Calcs!$AF$7:$AF$20,MATCH($B12,Calcs!$A$7:$A$20,0)),"")</f>
        <v>Strong</v>
      </c>
      <c r="X12" s="57">
        <f ca="1">IFERROR(ROUND(SUMIF('Poker Stake Ledger'!$C$18:$C$137,$B12,'Poker Stake Ledger'!$K$18:$K$137),1),0)</f>
        <v>0</v>
      </c>
    </row>
    <row r="13" spans="1:24" ht="15" customHeight="1" x14ac:dyDescent="0.2">
      <c r="A13" s="52">
        <f t="shared" si="0"/>
        <v>9</v>
      </c>
      <c r="B13" s="53" t="str">
        <f ca="1">IFERROR(INDEX(Calcs!$A$7:$A$20,MATCH(LARGE(Calcs!$AI$7:$AI$20,ROW()-4),Calcs!$AI$7:$AI$20,0)),"")</f>
        <v>Dylan S</v>
      </c>
      <c r="C13" s="54">
        <f ca="1">IFERROR(INDEX(Calcs!$S$7:$S$20,MATCH($B13,Calcs!$A$7:$A$20,0)),"")</f>
        <v>1000</v>
      </c>
      <c r="D13" s="55">
        <f ca="1">COUNTIF('Match Log'!$D$4:$D$1510,$B13)</f>
        <v>0</v>
      </c>
      <c r="E13" s="55">
        <f ca="1">COUNTIFS('Match Log'!$D$4:$D$1510,$B13,'Match Log'!$E$4:$E$1510,"Win")</f>
        <v>0</v>
      </c>
      <c r="F13" s="55">
        <f t="shared" ca="1" si="1"/>
        <v>0</v>
      </c>
      <c r="G13" s="56" t="str">
        <f t="shared" ca="1" si="2"/>
        <v/>
      </c>
      <c r="H13" s="57">
        <f ca="1">SUMIF('Match Log'!$D$4:$D$1510,$B13,'Match Log'!$J$4:$J$1510)</f>
        <v>0</v>
      </c>
      <c r="I13" s="57">
        <f ca="1">SUMIF('Match Log'!$D$4:$D$1510,$B13,'Match Log'!$K$4:$K$1510)</f>
        <v>0</v>
      </c>
      <c r="J13" s="57">
        <f ca="1">SUMIF('Match Log'!$D$4:$D$1510,$B13,'Match Log'!$L$4:$L$1510)</f>
        <v>0</v>
      </c>
      <c r="K13" s="55">
        <f ca="1">SUMPRODUCT(--(COUNTIFS('Match Log'!$D$4:$D$1510,$B13,'Match Log'!$C$4:$C$1510,Lists!$C$2:$C$26)&gt;0))</f>
        <v>0</v>
      </c>
      <c r="L13" s="55" t="str">
        <f ca="1">IF($D13=0,"No games",IF(AND($D13&gt;='Guide &amp; Settings'!$C$45,$K13&gt;='Guide &amp; Settings'!$C$46),"Eligible","Provisional"))</f>
        <v>No games</v>
      </c>
      <c r="M13" s="54" t="str">
        <f ca="1">IFERROR(INDEX(Calcs!$C$7:$C$20,MATCH($B13,Calcs!$A$7:$A$20,0)),"")</f>
        <v/>
      </c>
      <c r="N13" s="54">
        <f t="shared" ca="1" si="3"/>
        <v>255.24702070521698</v>
      </c>
      <c r="O13" s="55" t="str">
        <f ca="1">IFERROR(INDEX(Calcs!$H$7:$H$20,MATCH($B13,Calcs!$A$7:$A$20,0)),"")</f>
        <v/>
      </c>
      <c r="P13" s="55" t="str">
        <f ca="1">IFERROR(INDEX(Calcs!$I$7:$I$20,MATCH($B13,Calcs!$A$7:$A$20,0)),"")</f>
        <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v>
      </c>
      <c r="S13" s="55" t="str">
        <f ca="1">IFERROR(ROUND(INDEX(Calcs!$Q$7:$Q$20,MATCH($B13,Calcs!$A$7:$A$20,0)),1),"")</f>
        <v/>
      </c>
      <c r="T13" s="55" t="str">
        <f ca="1">IFERROR(INDEX(Calcs!$T$7:$T$20,MATCH($B13,Calcs!$A$7:$A$20,0)),"")</f>
        <v>No games</v>
      </c>
      <c r="U13">
        <f ca="1">IFERROR(ROUND(INDEX(Calcs!$R$7:$R$20,MATCH($B13,Calcs!$A$7:$A$20,0))+INDEX(Calcs!$U$7:$U$20,MATCH($B13,Calcs!$A$7:$A$20,0)),0),0)</f>
        <v>0</v>
      </c>
      <c r="V13" s="57">
        <f ca="1">IFERROR(ROUND(INDEX(Calcs!$S$7:$S$20,MATCH($B13,Calcs!$A$7:$A$20,0)),0),"")</f>
        <v>1000</v>
      </c>
      <c r="W13" s="55" t="str">
        <f ca="1">IFERROR(INDEX(Calcs!$AF$7:$AF$20,MATCH($B13,Calcs!$A$7:$A$20,0)),"")</f>
        <v>No games</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A</v>
      </c>
      <c r="C14" s="54">
        <f ca="1">IFERROR(INDEX(Calcs!$S$7:$S$20,MATCH($B14,Calcs!$A$7:$A$20,0)),"")</f>
        <v>993.2192605207141</v>
      </c>
      <c r="D14" s="55">
        <f ca="1">COUNTIF('Match Log'!$D$4:$D$1510,$B14)</f>
        <v>15</v>
      </c>
      <c r="E14" s="55">
        <f ca="1">COUNTIFS('Match Log'!$D$4:$D$1510,$B14,'Match Log'!$E$4:$E$1510,"Win")</f>
        <v>6</v>
      </c>
      <c r="F14" s="55">
        <f t="shared" ca="1" si="1"/>
        <v>9</v>
      </c>
      <c r="G14" s="56">
        <f t="shared" ca="1" si="2"/>
        <v>0.4</v>
      </c>
      <c r="H14" s="57">
        <f ca="1">SUMIF('Match Log'!$D$4:$D$1510,$B14,'Match Log'!$J$4:$J$1510)</f>
        <v>-11.626983026245711</v>
      </c>
      <c r="I14" s="57">
        <f ca="1">SUMIF('Match Log'!$D$4:$D$1510,$B14,'Match Log'!$K$4:$K$1510)</f>
        <v>3.8462435469599932</v>
      </c>
      <c r="J14" s="57">
        <f ca="1">SUMIF('Match Log'!$D$4:$D$1510,$B14,'Match Log'!$L$4:$L$1510)</f>
        <v>31</v>
      </c>
      <c r="K14" s="55">
        <f ca="1">SUMPRODUCT(--(COUNTIFS('Match Log'!$D$4:$D$1510,$B14,'Match Log'!$C$4:$C$1510,Lists!$C$2:$C$26)&gt;0))</f>
        <v>4</v>
      </c>
      <c r="L14" s="55" t="str">
        <f ca="1">IF($D14=0,"No games",IF(AND($D14&gt;='Guide &amp; Settings'!$C$45,$K14&gt;='Guide &amp; Settings'!$C$46),"Eligible","Provisional"))</f>
        <v>Eligible</v>
      </c>
      <c r="M14" s="54">
        <f ca="1">IFERROR(INDEX(Calcs!$C$7:$C$20,MATCH($B14,Calcs!$A$7:$A$20,0)),"")</f>
        <v>1106.5053382716901</v>
      </c>
      <c r="N14" s="54">
        <f t="shared" ca="1" si="3"/>
        <v>262.02776018450288</v>
      </c>
      <c r="O14" s="55" t="str">
        <f ca="1">IFERROR(INDEX(Calcs!$H$7:$H$20,MATCH($B14,Calcs!$A$7:$A$20,0)),"")</f>
        <v>L6</v>
      </c>
      <c r="P14" s="55" t="str">
        <f ca="1">IFERROR(INDEX(Calcs!$I$7:$I$20,MATCH($B14,Calcs!$A$7:$A$20,0)),"")</f>
        <v>LLLLL</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15 Aug</v>
      </c>
      <c r="S14" s="55">
        <f ca="1">IFERROR(ROUND(INDEX(Calcs!$Q$7:$Q$20,MATCH($B14,Calcs!$A$7:$A$20,0)),1),"")</f>
        <v>6.1</v>
      </c>
      <c r="T14" s="55" t="str">
        <f ca="1">IFERROR(INDEX(Calcs!$T$7:$T$20,MATCH($B14,Calcs!$A$7:$A$20,0)),"")</f>
        <v>Inactive</v>
      </c>
      <c r="U14">
        <f ca="1">IFERROR(ROUND(INDEX(Calcs!$R$7:$R$20,MATCH($B14,Calcs!$A$7:$A$20,0))+INDEX(Calcs!$U$7:$U$20,MATCH($B14,Calcs!$A$7:$A$20,0)),0),0)</f>
        <v>30</v>
      </c>
      <c r="V14" s="57">
        <f ca="1">IFERROR(ROUND(INDEX(Calcs!$S$7:$S$20,MATCH($B14,Calcs!$A$7:$A$20,0)),0),"")</f>
        <v>993</v>
      </c>
      <c r="W14" s="55" t="str">
        <f ca="1">IFERROR(INDEX(Calcs!$AF$7:$AF$20,MATCH($B14,Calcs!$A$7:$A$20,0)),"")</f>
        <v>Mid</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968.26132335618615</v>
      </c>
      <c r="D15" s="55">
        <f ca="1">COUNTIF('Match Log'!$D$4:$D$1510,$B15)</f>
        <v>83</v>
      </c>
      <c r="E15" s="55">
        <f ca="1">COUNTIFS('Match Log'!$D$4:$D$1510,$B15,'Match Log'!$E$4:$E$1510,"Win")</f>
        <v>29</v>
      </c>
      <c r="F15" s="55">
        <f t="shared" ca="1" si="1"/>
        <v>54</v>
      </c>
      <c r="G15" s="56">
        <f t="shared" ca="1" si="2"/>
        <v>0.3493975903614458</v>
      </c>
      <c r="H15" s="57">
        <f ca="1">SUMIF('Match Log'!$D$4:$D$1510,$B15,'Match Log'!$J$4:$J$1510)</f>
        <v>-112.74117488122033</v>
      </c>
      <c r="I15" s="57">
        <f ca="1">SUMIF('Match Log'!$D$4:$D$1510,$B15,'Match Log'!$K$4:$K$1510)</f>
        <v>-38.997501762593693</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1152.1620835642163</v>
      </c>
      <c r="N15" s="54">
        <f t="shared" ca="1" si="3"/>
        <v>286.98569734903083</v>
      </c>
      <c r="O15" s="55" t="str">
        <f ca="1">IFERROR(INDEX(Calcs!$H$7:$H$20,MATCH($B15,Calcs!$A$7:$A$20,0)),"")</f>
        <v>W1</v>
      </c>
      <c r="P15" s="55" t="str">
        <f ca="1">IFERROR(INDEX(Calcs!$I$7:$I$20,MATCH($B15,Calcs!$A$7:$A$20,0)),"")</f>
        <v>LLLLW</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26 Sep</v>
      </c>
      <c r="S15" s="55">
        <f ca="1">IFERROR(ROUND(INDEX(Calcs!$Q$7:$Q$20,MATCH($B15,Calcs!$A$7:$A$20,0)),1),"")</f>
        <v>0.1</v>
      </c>
      <c r="T15" s="55" t="str">
        <f ca="1">IFERROR(INDEX(Calcs!$T$7:$T$20,MATCH($B15,Calcs!$A$7:$A$20,0)),"")</f>
        <v>Active</v>
      </c>
      <c r="U15">
        <f ca="1">IFERROR(ROUND(INDEX(Calcs!$R$7:$R$20,MATCH($B15,Calcs!$A$7:$A$20,0))+INDEX(Calcs!$U$7:$U$20,MATCH($B15,Calcs!$A$7:$A$20,0)),0),0)</f>
        <v>0</v>
      </c>
      <c r="V15" s="57">
        <f ca="1">IFERROR(ROUND(INDEX(Calcs!$S$7:$S$20,MATCH($B15,Calcs!$A$7:$A$20,0)),0),"")</f>
        <v>968</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919.51759653351382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1093.9220605220819</v>
      </c>
      <c r="N16" s="54">
        <f t="shared" ca="1" si="3"/>
        <v>335.72942417170316</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14.9</v>
      </c>
      <c r="T16" s="55" t="str">
        <f ca="1">IFERROR(INDEX(Calcs!$T$7:$T$20,MATCH($B16,Calcs!$A$7:$A$20,0)),"")</f>
        <v>Inactive</v>
      </c>
      <c r="U16">
        <f ca="1">IFERROR(ROUND(INDEX(Calcs!$R$7:$R$20,MATCH($B16,Calcs!$A$7:$A$20,0))+INDEX(Calcs!$U$7:$U$20,MATCH($B16,Calcs!$A$7:$A$20,0)),0),0)</f>
        <v>110</v>
      </c>
      <c r="V16" s="57">
        <f ca="1">IFERROR(ROUND(INDEX(Calcs!$S$7:$S$20,MATCH($B16,Calcs!$A$7:$A$20,0)),0),"")</f>
        <v>920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867.03133644117429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1159.2986464389289</v>
      </c>
      <c r="N17" s="54">
        <f t="shared" ca="1" si="3"/>
        <v>388.21568426404269</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5.0999999999999996</v>
      </c>
      <c r="T17" s="55" t="str">
        <f ca="1">IFERROR(INDEX(Calcs!$T$7:$T$20,MATCH($B17,Calcs!$A$7:$A$20,0)),"")</f>
        <v>Inactive</v>
      </c>
      <c r="U17">
        <f ca="1">IFERROR(ROUND(INDEX(Calcs!$R$7:$R$20,MATCH($B17,Calcs!$A$7:$A$20,0))+INDEX(Calcs!$U$7:$U$20,MATCH($B17,Calcs!$A$7:$A$20,0)),0),0)</f>
        <v>40</v>
      </c>
      <c r="V17" s="57">
        <f ca="1">IFERROR(ROUND(INDEX(Calcs!$S$7:$S$20,MATCH($B17,Calcs!$A$7:$A$20,0)),0),"")</f>
        <v>867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782.22294373677494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1126.981824789618</v>
      </c>
      <c r="N18" s="54">
        <f t="shared" ca="1" si="3"/>
        <v>473.02407696844205</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10</v>
      </c>
      <c r="T18" s="55" t="str">
        <f ca="1">IFERROR(INDEX(Calcs!$T$7:$T$20,MATCH($B18,Calcs!$A$7:$A$20,0)),"")</f>
        <v>Inactive</v>
      </c>
      <c r="U18">
        <f ca="1">IFERROR(ROUND(INDEX(Calcs!$R$7:$R$20,MATCH($B18,Calcs!$A$7:$A$20,0))+INDEX(Calcs!$U$7:$U$20,MATCH($B18,Calcs!$A$7:$A$20,0)),0),0)</f>
        <v>80</v>
      </c>
      <c r="V18" s="57">
        <f ca="1">IFERROR(ROUND(INDEX(Calcs!$S$7:$S$20,MATCH($B18,Calcs!$A$7:$A$20,0)),0),"")</f>
        <v>782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1</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1255.247020705217</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39–25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0.609375</v>
      </c>
      <c r="D9" s="63" t="s">
        <v>37</v>
      </c>
      <c r="E9" s="37">
        <f>COUNTIFS('Match Log'!$D$4:$D$1510,$B$3,'Match Log'!$C$4:$C$1510,$D9)</f>
        <v>4</v>
      </c>
      <c r="F9" s="37">
        <f>COUNTIFS('Match Log'!$D$4:$D$1510,$B$3,'Match Log'!$C$4:$C$1510,$D9,'Match Log'!$E$4:$E$1510,"Win")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64</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1122.8870443335802</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W5</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WWWWW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0</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27 Sep  ·  Active</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7</v>
      </c>
      <c r="F18" s="40">
        <f>COUNTIFS('Match Log'!$D$4:$D$1510,$B$3,'Match Log'!$C$4:$C$1510,$D18,'Match Log'!$E$4:$E$1510,"Win")</f>
        <v>6</v>
      </c>
      <c r="G18" s="68">
        <f t="shared" si="0"/>
        <v>0.8571428571428571</v>
      </c>
      <c r="H18" s="69">
        <f>IFERROR(IF($E18=0,"",INDEX('Sport Records'!$B$106:$O$130,MATCH($D18,'Sport Records'!$A$106:$A$130,0),MATCH($B$3,'Sport Records'!$B$105:$O$105,0))),"")</f>
        <v>1055.4776164286188</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90</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61</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100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81</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61" t="s">
        <v>290</v>
      </c>
      <c r="B2" s="146"/>
      <c r="C2" s="146"/>
      <c r="D2" s="146"/>
      <c r="E2" s="146"/>
      <c r="F2" s="146"/>
      <c r="G2" s="146"/>
      <c r="H2" s="146"/>
      <c r="I2" s="146"/>
      <c r="J2" s="146"/>
      <c r="K2" s="146"/>
      <c r="L2" s="146"/>
      <c r="M2" s="146"/>
      <c r="N2" s="146"/>
      <c r="O2" s="146"/>
    </row>
    <row r="3" spans="1:15" ht="37.5" customHeight="1" x14ac:dyDescent="0.2">
      <c r="A3" s="159" t="s">
        <v>291</v>
      </c>
      <c r="B3" s="160"/>
      <c r="C3" s="160"/>
      <c r="D3" s="160"/>
      <c r="E3" s="160"/>
      <c r="F3" s="160"/>
      <c r="G3" s="160"/>
      <c r="H3" s="160"/>
      <c r="I3" s="160"/>
      <c r="J3" s="160"/>
      <c r="K3" s="160"/>
      <c r="L3" s="160"/>
      <c r="M3" s="160"/>
      <c r="N3" s="160"/>
      <c r="O3" s="160"/>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45% of 53</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54% of 26</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38% of 8</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63% of 32</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55% of 53</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63% of 8</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54% of 59</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55% of 33</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1</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46% of 26</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38% of 32</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46% of 59</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33% of 12</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75% of 4</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67% of 12</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45% of 33</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1</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25% of 4</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5</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58</v>
      </c>
      <c r="H22" s="77">
        <f>IF($A22=H$21,0,SUMPRODUCT(('Match Log'!$D$4:$D$1510=$A22)*(COUNTIFS('Match Log'!$A$4:$A$1510,'Match Log'!$A$4:$A$1510,'Match Log'!$D$4:$D$1510,H$21)&gt;0)))</f>
        <v>8</v>
      </c>
      <c r="I22" s="77">
        <f>IF($A22=I$21,0,SUMPRODUCT(('Match Log'!$D$4:$D$1510=$A22)*(COUNTIFS('Match Log'!$A$4:$A$1510,'Match Log'!$A$4:$A$1510,'Match Log'!$D$4:$D$1510,I$21)&gt;0)))</f>
        <v>36</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5</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10</v>
      </c>
      <c r="H24" s="77">
        <f>IF($A24=H$21,0,SUMPRODUCT(('Match Log'!$D$4:$D$1510=$A24)*(COUNTIFS('Match Log'!$A$4:$A$1510,'Match Log'!$A$4:$A$1510,'Match Log'!$D$4:$D$1510,H$21)&gt;0)))</f>
        <v>4</v>
      </c>
      <c r="I24" s="77">
        <f>IF($A24=I$21,0,SUMPRODUCT(('Match Log'!$D$4:$D$1510=$A24)*(COUNTIFS('Match Log'!$A$4:$A$1510,'Match Log'!$A$4:$A$1510,'Match Log'!$D$4:$D$1510,I$21)&gt;0)))</f>
        <v>10</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33</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58</v>
      </c>
      <c r="C27" s="77">
        <f>IF($A27=C$21,0,SUMPRODUCT(('Match Log'!$D$4:$D$1510=$A27)*(COUNTIFS('Match Log'!$A$4:$A$1510,'Match Log'!$A$4:$A$1510,'Match Log'!$D$4:$D$1510,C$21)&gt;0)))</f>
        <v>1</v>
      </c>
      <c r="D27" s="77">
        <f>IF($A27=D$21,0,SUMPRODUCT(('Match Log'!$D$4:$D$1510=$A27)*(COUNTIFS('Match Log'!$A$4:$A$1510,'Match Log'!$A$4:$A$1510,'Match Log'!$D$4:$D$1510,D$21)&gt;0)))</f>
        <v>10</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70</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47</v>
      </c>
      <c r="M27" s="77">
        <f>IF($A27=M$21,0,SUMPRODUCT(('Match Log'!$D$4:$D$1510=$A27)*(COUNTIFS('Match Log'!$A$4:$A$1510,'Match Log'!$A$4:$A$1510,'Match Log'!$D$4:$D$1510,M$21)&gt;0)))</f>
        <v>1</v>
      </c>
      <c r="N27" s="77">
        <f>IF($A27=N$21,0,SUMPRODUCT(('Match Log'!$D$4:$D$1510=$A27)*(COUNTIFS('Match Log'!$A$4:$A$1510,'Match Log'!$A$4:$A$1510,'Match Log'!$D$4:$D$1510,N$21)&gt;0)))</f>
        <v>1</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36</v>
      </c>
      <c r="C29" s="77">
        <f>IF($A29=C$21,0,SUMPRODUCT(('Match Log'!$D$4:$D$1510=$A29)*(COUNTIFS('Match Log'!$A$4:$A$1510,'Match Log'!$A$4:$A$1510,'Match Log'!$D$4:$D$1510,C$21)&gt;0)))</f>
        <v>2</v>
      </c>
      <c r="D29" s="77">
        <f>IF($A29=D$21,0,SUMPRODUCT(('Match Log'!$D$4:$D$1510=$A29)*(COUNTIFS('Match Log'!$A$4:$A$1510,'Match Log'!$A$4:$A$1510,'Match Log'!$D$4:$D$1510,D$21)&gt;0)))</f>
        <v>10</v>
      </c>
      <c r="E29" s="77">
        <f>IF($A29=E$21,0,SUMPRODUCT(('Match Log'!$D$4:$D$1510=$A29)*(COUNTIFS('Match Log'!$A$4:$A$1510,'Match Log'!$A$4:$A$1510,'Match Log'!$D$4:$D$1510,E$21)&gt;0)))</f>
        <v>6</v>
      </c>
      <c r="F29" s="77">
        <f>IF($A29=F$21,0,SUMPRODUCT(('Match Log'!$D$4:$D$1510=$A29)*(COUNTIFS('Match Log'!$A$4:$A$1510,'Match Log'!$A$4:$A$1510,'Match Log'!$D$4:$D$1510,F$21)&gt;0)))</f>
        <v>33</v>
      </c>
      <c r="G29" s="77">
        <f>IF($A29=G$21,0,SUMPRODUCT(('Match Log'!$D$4:$D$1510=$A29)*(COUNTIFS('Match Log'!$A$4:$A$1510,'Match Log'!$A$4:$A$1510,'Match Log'!$D$4:$D$1510,G$21)&gt;0)))</f>
        <v>70</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24</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7</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24</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47</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1</v>
      </c>
      <c r="H34" s="77">
        <f>IF($A34=H$21,0,SUMPRODUCT(('Match Log'!$D$4:$D$1510=$A34)*(COUNTIFS('Match Log'!$A$4:$A$1510,'Match Log'!$A$4:$A$1510,'Match Log'!$D$4:$D$1510,H$21)&gt;0)))</f>
        <v>2</v>
      </c>
      <c r="I34" s="77">
        <f>IF($A34=I$21,0,SUMPRODUCT(('Match Log'!$D$4:$D$1510=$A34)*(COUNTIFS('Match Log'!$A$4:$A$1510,'Match Log'!$A$4:$A$1510,'Match Log'!$D$4:$D$1510,I$21)&gt;0)))</f>
        <v>7</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64" t="s">
        <v>296</v>
      </c>
      <c r="B2" s="146"/>
      <c r="C2" s="146"/>
      <c r="D2" s="146"/>
      <c r="E2" s="146"/>
      <c r="F2" s="146"/>
      <c r="G2" s="146"/>
      <c r="H2" s="146"/>
      <c r="I2" s="146"/>
      <c r="J2" s="146"/>
      <c r="K2" s="146"/>
      <c r="L2" s="146"/>
      <c r="M2" s="146"/>
      <c r="N2" s="146"/>
      <c r="O2" s="146"/>
      <c r="P2" s="146"/>
      <c r="Q2" s="146"/>
    </row>
    <row r="3" spans="1:18" ht="18.75" customHeight="1" x14ac:dyDescent="0.2">
      <c r="A3" s="43" t="s">
        <v>297</v>
      </c>
      <c r="C3" s="79">
        <f>SUM($P$8:$P$32)</f>
        <v>306</v>
      </c>
    </row>
    <row r="4" spans="1:18" ht="18.75" customHeight="1" x14ac:dyDescent="0.2">
      <c r="A4" s="43" t="s">
        <v>298</v>
      </c>
      <c r="C4" s="163" t="str">
        <f ca="1">INDEX($A$89:$A$102,MATCH(MAX($S$89:$S$102),$S$89:$S$102,0))</f>
        <v>Josh</v>
      </c>
      <c r="D4" s="146"/>
      <c r="E4" s="146"/>
      <c r="F4" s="146"/>
      <c r="G4" s="146"/>
    </row>
    <row r="6" spans="1:18" ht="15" customHeight="1" x14ac:dyDescent="0.2">
      <c r="A6" s="162" t="s">
        <v>299</v>
      </c>
      <c r="B6" s="146"/>
      <c r="C6" s="146"/>
      <c r="D6" s="146"/>
      <c r="E6" s="146"/>
      <c r="F6" s="146"/>
      <c r="G6" s="146"/>
      <c r="H6" s="146"/>
      <c r="I6" s="146"/>
      <c r="J6" s="146"/>
      <c r="K6" s="146"/>
      <c r="L6" s="146"/>
      <c r="M6" s="146"/>
      <c r="N6" s="146"/>
      <c r="O6" s="146"/>
      <c r="P6" s="146"/>
      <c r="Q6" s="146"/>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2</v>
      </c>
      <c r="E8" s="83">
        <f>COUNTIFS('Match Log'!$D$4:$D$1510,E$7,'Match Log'!$C$4:$C$1510,$A8)</f>
        <v>0</v>
      </c>
      <c r="F8" s="83">
        <f>COUNTIFS('Match Log'!$D$4:$D$1510,F$7,'Match Log'!$C$4:$C$1510,$A8)</f>
        <v>0</v>
      </c>
      <c r="G8" s="83">
        <f>COUNTIFS('Match Log'!$D$4:$D$1510,G$7,'Match Log'!$C$4:$C$1510,$A8)</f>
        <v>6</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7</v>
      </c>
      <c r="Q8" s="85" t="str">
        <f t="shared" ref="Q8:Q32" si="0">IF($P8=0,"—",INDEX($B$34:$O$34,MATCH(MAX($B35:$O35),$B35:$O35,0)))</f>
        <v>Shawn</v>
      </c>
      <c r="R8" s="84">
        <f t="shared" ref="R8:R32" si="1">IF($P8=0,"—",MAX($B35:$O35))</f>
        <v>6</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23</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8</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31</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4</v>
      </c>
      <c r="G12" s="83">
        <f>COUNTIFS('Match Log'!$D$4:$D$1510,G$7,'Match Log'!$C$4:$C$1510,$A12)</f>
        <v>1</v>
      </c>
      <c r="H12" s="83">
        <f>COUNTIFS('Match Log'!$D$4:$D$1510,H$7,'Match Log'!$C$4:$C$1510,$A12)</f>
        <v>2</v>
      </c>
      <c r="I12" s="83">
        <f>COUNTIFS('Match Log'!$D$4:$D$1510,I$7,'Match Log'!$C$4:$C$1510,$A12)</f>
        <v>11</v>
      </c>
      <c r="J12" s="83">
        <f>COUNTIFS('Match Log'!$D$4:$D$1510,J$7,'Match Log'!$C$4:$C$1510,$A12)</f>
        <v>14</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25</v>
      </c>
      <c r="Q12" s="85" t="str">
        <f t="shared" si="0"/>
        <v>Dean B</v>
      </c>
      <c r="R12" s="84">
        <f t="shared" si="1"/>
        <v>8</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7</v>
      </c>
      <c r="G21" s="83">
        <f>COUNTIFS('Match Log'!$D$4:$D$1510,G$7,'Match Log'!$C$4:$C$1510,$A21)</f>
        <v>14</v>
      </c>
      <c r="H21" s="83">
        <f>COUNTIFS('Match Log'!$D$4:$D$1510,H$7,'Match Log'!$C$4:$C$1510,$A21)</f>
        <v>1</v>
      </c>
      <c r="I21" s="83">
        <f>COUNTIFS('Match Log'!$D$4:$D$1510,I$7,'Match Log'!$C$4:$C$1510,$A21)</f>
        <v>7</v>
      </c>
      <c r="J21" s="83">
        <f>COUNTIFS('Match Log'!$D$4:$D$1510,J$7,'Match Log'!$C$4:$C$1510,$A21)</f>
        <v>0</v>
      </c>
      <c r="K21" s="83">
        <f>COUNTIFS('Match Log'!$D$4:$D$1510,K$7,'Match Log'!$C$4:$C$1510,$A21)</f>
        <v>0</v>
      </c>
      <c r="L21" s="83">
        <f>COUNTIFS('Match Log'!$D$4:$D$1510,L$7,'Match Log'!$C$4:$C$1510,$A21)</f>
        <v>11</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21</v>
      </c>
      <c r="Q21" s="85" t="str">
        <f t="shared" si="0"/>
        <v>Oscar</v>
      </c>
      <c r="R21" s="84">
        <f t="shared" si="1"/>
        <v>8</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14</v>
      </c>
      <c r="C26" s="83">
        <f>COUNTIFS('Match Log'!$D$4:$D$1510,C$7,'Match Log'!$C$4:$C$1510,$A26)</f>
        <v>0</v>
      </c>
      <c r="D26" s="83">
        <f>COUNTIFS('Match Log'!$D$4:$D$1510,D$7,'Match Log'!$C$4:$C$1510,$A26)</f>
        <v>8</v>
      </c>
      <c r="E26" s="83">
        <f>COUNTIFS('Match Log'!$D$4:$D$1510,E$7,'Match Log'!$C$4:$C$1510,$A26)</f>
        <v>0</v>
      </c>
      <c r="F26" s="83">
        <f>COUNTIFS('Match Log'!$D$4:$D$1510,F$7,'Match Log'!$C$4:$C$1510,$A26)</f>
        <v>4</v>
      </c>
      <c r="G26" s="83">
        <f>COUNTIFS('Match Log'!$D$4:$D$1510,G$7,'Match Log'!$C$4:$C$1510,$A26)</f>
        <v>38</v>
      </c>
      <c r="H26" s="83">
        <f>COUNTIFS('Match Log'!$D$4:$D$1510,H$7,'Match Log'!$C$4:$C$1510,$A26)</f>
        <v>1</v>
      </c>
      <c r="I26" s="83">
        <f>COUNTIFS('Match Log'!$D$4:$D$1510,I$7,'Match Log'!$C$4:$C$1510,$A26)</f>
        <v>31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0</v>
      </c>
      <c r="O26" s="83">
        <f>COUNTIFS('Match Log'!$D$4:$D$1510,O$7,'Match Log'!$C$4:$C$1510,$A26)</f>
        <v>0</v>
      </c>
      <c r="P26" s="84">
        <f>SUMPRODUCT(('Match Log'!$C$4:$C$1510=$A26)*('Match Log'!$D$4:$D$1510='Match Log'!$G$4:$G$1510)*('Match Log'!$D$4:$D$1510&lt;&gt;""))</f>
        <v>47</v>
      </c>
      <c r="Q26" s="85" t="str">
        <f t="shared" si="0"/>
        <v>Daniel (Ferret)</v>
      </c>
      <c r="R26" s="84">
        <f t="shared" si="1"/>
        <v>19</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62" t="s">
        <v>301</v>
      </c>
      <c r="B33" s="146"/>
      <c r="C33" s="146"/>
      <c r="D33" s="146"/>
      <c r="E33" s="146"/>
      <c r="F33" s="146"/>
      <c r="G33" s="146"/>
      <c r="H33" s="146"/>
      <c r="I33" s="146"/>
      <c r="J33" s="146"/>
      <c r="K33" s="146"/>
      <c r="L33" s="146"/>
      <c r="M33" s="146"/>
      <c r="N33" s="146"/>
      <c r="O33" s="146"/>
      <c r="P33" s="146"/>
      <c r="Q33" s="146"/>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6</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4</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2</v>
      </c>
      <c r="G39" s="83">
        <f>COUNTIFS('Match Log'!$D$4:$D$1510,G$34,'Match Log'!$C$4:$C$1510,$A39,'Match Log'!$E$4:$E$1510,"Win")</f>
        <v>1</v>
      </c>
      <c r="H39" s="83">
        <f>COUNTIFS('Match Log'!$D$4:$D$1510,H$34,'Match Log'!$C$4:$C$1510,$A39,'Match Log'!$E$4:$E$1510,"Win")</f>
        <v>2</v>
      </c>
      <c r="I39" s="83">
        <f>COUNTIFS('Match Log'!$D$4:$D$1510,I$34,'Match Log'!$C$4:$C$1510,$A39,'Match Log'!$E$4:$E$1510,"Win")</f>
        <v>5</v>
      </c>
      <c r="J39" s="83">
        <f>COUNTIFS('Match Log'!$D$4:$D$1510,J$34,'Match Log'!$C$4:$C$1510,$A39,'Match Log'!$E$4:$E$1510,"Win")</f>
        <v>8</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6</v>
      </c>
      <c r="G48" s="83">
        <f>COUNTIFS('Match Log'!$D$4:$D$1510,G$34,'Match Log'!$C$4:$C$1510,$A48,'Match Log'!$E$4:$E$1510,"Win")</f>
        <v>0</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8</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18</v>
      </c>
      <c r="H53" s="83">
        <f>COUNTIFS('Match Log'!$D$4:$D$1510,H$34,'Match Log'!$C$4:$C$1510,$A53,'Match Log'!$E$4:$E$1510,"Win")</f>
        <v>0</v>
      </c>
      <c r="I53" s="83">
        <f>COUNTIFS('Match Log'!$D$4:$D$1510,I$34,'Match Log'!$C$4:$C$1510,$A53,'Match Log'!$E$4:$E$1510,"Win")</f>
        <v>19</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62" t="s">
        <v>302</v>
      </c>
      <c r="B60" s="146"/>
      <c r="C60" s="146"/>
      <c r="D60" s="146"/>
      <c r="E60" s="146"/>
      <c r="F60" s="146"/>
      <c r="G60" s="146"/>
      <c r="H60" s="146"/>
      <c r="I60" s="146"/>
      <c r="J60" s="146"/>
      <c r="K60" s="146"/>
      <c r="L60" s="146"/>
      <c r="M60" s="146"/>
      <c r="N60" s="146"/>
      <c r="O60" s="146"/>
      <c r="P60" s="146"/>
      <c r="Q60" s="146"/>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0.5</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0.43478260869565216</v>
      </c>
      <c r="H64" s="86">
        <f t="shared" si="4"/>
        <v>0</v>
      </c>
      <c r="I64" s="86">
        <f t="shared" si="4"/>
        <v>0.42857142857142855</v>
      </c>
      <c r="J64" s="86" t="str">
        <f t="shared" si="4"/>
        <v/>
      </c>
      <c r="K64" s="86" t="str">
        <f t="shared" si="4"/>
        <v/>
      </c>
      <c r="L64" s="86">
        <f t="shared" si="4"/>
        <v>0.5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0.45454545454545453</v>
      </c>
      <c r="J66" s="86">
        <f t="shared" si="6"/>
        <v>0.5714285714285714</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0.8571428571428571</v>
      </c>
      <c r="G75" s="86">
        <f t="shared" si="15"/>
        <v>0</v>
      </c>
      <c r="H75" s="86">
        <f t="shared" si="15"/>
        <v>0</v>
      </c>
      <c r="I75" s="86">
        <f t="shared" si="15"/>
        <v>0.42857142857142855</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0.21428571428571427</v>
      </c>
      <c r="C80" s="86" t="str">
        <f t="shared" si="20"/>
        <v/>
      </c>
      <c r="D80" s="86">
        <f t="shared" si="20"/>
        <v>0.5</v>
      </c>
      <c r="E80" s="86" t="str">
        <f t="shared" si="20"/>
        <v/>
      </c>
      <c r="F80" s="86">
        <f t="shared" si="20"/>
        <v>0.5</v>
      </c>
      <c r="G80" s="86">
        <f t="shared" si="20"/>
        <v>0.47368421052631576</v>
      </c>
      <c r="H80" s="86">
        <f t="shared" si="20"/>
        <v>0</v>
      </c>
      <c r="I80" s="86">
        <f t="shared" si="20"/>
        <v>0.61290322580645162</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62" t="s">
        <v>303</v>
      </c>
      <c r="B87" s="146"/>
      <c r="C87" s="146"/>
      <c r="D87" s="146"/>
      <c r="E87" s="146"/>
      <c r="F87" s="146"/>
      <c r="G87" s="146"/>
      <c r="H87" s="146"/>
      <c r="I87" s="146"/>
      <c r="J87" s="146"/>
      <c r="K87" s="146"/>
      <c r="L87" s="146"/>
      <c r="M87" s="146"/>
      <c r="N87" s="146"/>
      <c r="O87" s="146"/>
      <c r="P87" s="146"/>
      <c r="Q87" s="146"/>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42</v>
      </c>
      <c r="C89" s="83">
        <f>SUMPRODUCT(--(COUNTIFS('Match Log'!$D$4:$D$1510,$A89,'Match Log'!$C$4:$C$1510,Lists!$C$2:$C$26)&gt;0))</f>
        <v>7</v>
      </c>
      <c r="D89" s="83">
        <f>COUNTIFS('Match Log'!$D$4:$D$1510,$A89,'Match Log'!$E$4:$E$1510,"Win")</f>
        <v>25</v>
      </c>
      <c r="E89" s="86">
        <f t="shared" ref="E89:E102" si="27">IF($B89=0,"",$D89/$B89)</f>
        <v>0.59523809523809523</v>
      </c>
      <c r="F89" s="88">
        <f ca="1">IFERROR(INDEX(Calcs!$S$7:$S$20,MATCH($A89,Calcs!$A$7:$A$20,0)),"")</f>
        <v>1187.9015417269482</v>
      </c>
      <c r="G89" s="83" t="str">
        <f>IF($B89=0,"No games",IF(AND($B89&gt;='Guide &amp; Settings'!$C$45,$C89&gt;='Guide &amp; Settings'!$C$46),"Eligible","Provisional"))</f>
        <v>Eligible</v>
      </c>
      <c r="S89" s="89">
        <f ca="1">IF($G89="Eligible",IF(IFERROR(INDEX(Calcs!$T$7:$T$20,MATCH($A89,Calcs!$A$7:$A$20,0)),"")="Inactive",-1,$F89),-1)</f>
        <v>1187.9015417269482</v>
      </c>
    </row>
    <row r="90" spans="1:19" ht="15" customHeight="1" x14ac:dyDescent="0.2">
      <c r="A90" s="82" t="s">
        <v>19</v>
      </c>
      <c r="B90" s="83">
        <f>COUNTIF('Match Log'!$D$4:$D$1510,$A90)</f>
        <v>64</v>
      </c>
      <c r="C90" s="83">
        <f>SUMPRODUCT(--(COUNTIFS('Match Log'!$D$4:$D$1510,$A90,'Match Log'!$C$4:$C$1510,Lists!$C$2:$C$26)&gt;0))</f>
        <v>15</v>
      </c>
      <c r="D90" s="83">
        <f>COUNTIFS('Match Log'!$D$4:$D$1510,$A90,'Match Log'!$E$4:$E$1510,"Win")</f>
        <v>39</v>
      </c>
      <c r="E90" s="86">
        <f t="shared" si="27"/>
        <v>0.609375</v>
      </c>
      <c r="F90" s="88">
        <f ca="1">IFERROR(INDEX(Calcs!$S$7:$S$20,MATCH($A90,Calcs!$A$7:$A$20,0)),"")</f>
        <v>1255.247020705217</v>
      </c>
      <c r="G90" s="83" t="str">
        <f>IF($B90=0,"No games",IF(AND($B90&gt;='Guide &amp; Settings'!$C$45,$C90&gt;='Guide &amp; Settings'!$C$46),"Eligible","Provisional"))</f>
        <v>Eligible</v>
      </c>
      <c r="S90" s="89">
        <f ca="1">IF($G90="Eligible",IF(IFERROR(INDEX(Calcs!$T$7:$T$20,MATCH($A90,Calcs!$A$7:$A$20,0)),"")="Inactive",-1,$F90),-1)</f>
        <v>1255.247020705217</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Log'!$D$4:$D$1510,$A92)</f>
        <v>83</v>
      </c>
      <c r="C92" s="83">
        <f>SUMPRODUCT(--(COUNTIFS('Match Log'!$D$4:$D$1510,$A92,'Match Log'!$C$4:$C$1510,Lists!$C$2:$C$26)&gt;0))</f>
        <v>14</v>
      </c>
      <c r="D92" s="83">
        <f>COUNTIFS('Match Log'!$D$4:$D$1510,$A92,'Match Log'!$E$4:$E$1510,"Win")</f>
        <v>29</v>
      </c>
      <c r="E92" s="86">
        <f t="shared" si="27"/>
        <v>0.3493975903614458</v>
      </c>
      <c r="F92" s="88">
        <f ca="1">IFERROR(INDEX(Calcs!$S$7:$S$20,MATCH($A92,Calcs!$A$7:$A$20,0)),"")</f>
        <v>968.26132335618615</v>
      </c>
      <c r="G92" s="83" t="str">
        <f>IF($B92=0,"No games",IF(AND($B92&gt;='Guide &amp; Settings'!$C$45,$C92&gt;='Guide &amp; Settings'!$C$46),"Eligible","Provisional"))</f>
        <v>Eligible</v>
      </c>
      <c r="S92" s="89">
        <f ca="1">IF($G92="Eligible",IF(IFERROR(INDEX(Calcs!$T$7:$T$20,MATCH($A92,Calcs!$A$7:$A$20,0)),"")="Inactive",-1,$F92),-1)</f>
        <v>968.26132335618615</v>
      </c>
    </row>
    <row r="93" spans="1:19" ht="15" customHeight="1" x14ac:dyDescent="0.2">
      <c r="A93" s="82" t="s">
        <v>22</v>
      </c>
      <c r="B93" s="83">
        <f>COUNTIF('Match Log'!$D$4:$D$1510,$A93)</f>
        <v>148</v>
      </c>
      <c r="C93" s="83">
        <f>SUMPRODUCT(--(COUNTIFS('Match Log'!$D$4:$D$1510,$A93,'Match Log'!$C$4:$C$1510,Lists!$C$2:$C$26)&gt;0))</f>
        <v>20</v>
      </c>
      <c r="D93" s="83">
        <f>COUNTIFS('Match Log'!$D$4:$D$1510,$A93,'Match Log'!$E$4:$E$1510,"Win")</f>
        <v>62</v>
      </c>
      <c r="E93" s="86">
        <f t="shared" si="27"/>
        <v>0.41891891891891891</v>
      </c>
      <c r="F93" s="88">
        <f ca="1">IFERROR(INDEX(Calcs!$S$7:$S$20,MATCH($A93,Calcs!$A$7:$A$20,0)),"")</f>
        <v>1178.8141127775541</v>
      </c>
      <c r="G93" s="83" t="str">
        <f>IF($B93=0,"No games",IF(AND($B93&gt;='Guide &amp; Settings'!$C$45,$C93&gt;='Guide &amp; Settings'!$C$46),"Eligible","Provisional"))</f>
        <v>Eligible</v>
      </c>
      <c r="S93" s="89">
        <f ca="1">IF($G93="Eligible",IF(IFERROR(INDEX(Calcs!$T$7:$T$20,MATCH($A93,Calcs!$A$7:$A$20,0)),"")="Inactive",-1,$F93),-1)</f>
        <v>1178.8141127775541</v>
      </c>
    </row>
    <row r="94" spans="1:19" ht="15" customHeight="1" x14ac:dyDescent="0.2">
      <c r="A94" s="82" t="s">
        <v>15</v>
      </c>
      <c r="B94" s="83">
        <f>COUNTIF('Match Log'!$D$4:$D$1510,$A94)</f>
        <v>89</v>
      </c>
      <c r="C94" s="83">
        <f>SUMPRODUCT(--(COUNTIFS('Match Log'!$D$4:$D$1510,$A94,'Match Log'!$C$4:$C$1510,Lists!$C$2:$C$26)&gt;0))</f>
        <v>14</v>
      </c>
      <c r="D94" s="83">
        <f>COUNTIFS('Match Log'!$D$4:$D$1510,$A94,'Match Log'!$E$4:$E$1510,"Win")</f>
        <v>42</v>
      </c>
      <c r="E94" s="86">
        <f t="shared" si="27"/>
        <v>0.47191011235955055</v>
      </c>
      <c r="F94" s="88">
        <f ca="1">IFERROR(INDEX(Calcs!$S$7:$S$20,MATCH($A94,Calcs!$A$7:$A$20,0)),"")</f>
        <v>1196.4573388632245</v>
      </c>
      <c r="G94" s="83" t="str">
        <f>IF($B94=0,"No games",IF(AND($B94&gt;='Guide &amp; Settings'!$C$45,$C94&gt;='Guide &amp; Settings'!$C$46),"Eligible","Provisional"))</f>
        <v>Eligible</v>
      </c>
      <c r="S94" s="89">
        <f ca="1">IF($G94="Eligible",IF(IFERROR(INDEX(Calcs!$T$7:$T$20,MATCH($A94,Calcs!$A$7:$A$20,0)),"")="Inactive",-1,$F94),-1)</f>
        <v>1196.4573388632245</v>
      </c>
    </row>
    <row r="95" spans="1:19" ht="15" customHeight="1" x14ac:dyDescent="0.2">
      <c r="A95" s="82" t="s">
        <v>20</v>
      </c>
      <c r="B95" s="83">
        <f>COUNTIF('Match Log'!$D$4:$D$1510,$A95)</f>
        <v>157</v>
      </c>
      <c r="C95" s="83">
        <f>SUMPRODUCT(--(COUNTIFS('Match Log'!$D$4:$D$1510,$A95,'Match Log'!$C$4:$C$1510,Lists!$C$2:$C$26)&gt;0))</f>
        <v>19</v>
      </c>
      <c r="D95" s="83">
        <f>COUNTIFS('Match Log'!$D$4:$D$1510,$A95,'Match Log'!$E$4:$E$1510,"Win")</f>
        <v>73</v>
      </c>
      <c r="E95" s="86">
        <f t="shared" si="27"/>
        <v>0.46496815286624205</v>
      </c>
      <c r="F95" s="88">
        <f ca="1">IFERROR(INDEX(Calcs!$S$7:$S$20,MATCH($A95,Calcs!$A$7:$A$20,0)),"")</f>
        <v>1129.1037274164212</v>
      </c>
      <c r="G95" s="83" t="str">
        <f>IF($B95=0,"No games",IF(AND($B95&gt;='Guide &amp; Settings'!$C$45,$C95&gt;='Guide &amp; Settings'!$C$46),"Eligible","Provisional"))</f>
        <v>Eligible</v>
      </c>
      <c r="S95" s="89">
        <f ca="1">IF($G95="Eligible",IF(IFERROR(INDEX(Calcs!$T$7:$T$20,MATCH($A95,Calcs!$A$7:$A$20,0)),"")="Inactive",-1,$F95),-1)</f>
        <v>1129.1037274164212</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919.51759653351382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1057.5488947064855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15</v>
      </c>
      <c r="C98" s="83">
        <f>SUMPRODUCT(--(COUNTIFS('Match Log'!$D$4:$D$1510,$A98,'Match Log'!$C$4:$C$1510,Lists!$C$2:$C$26)&gt;0))</f>
        <v>4</v>
      </c>
      <c r="D98" s="83">
        <f>COUNTIFS('Match Log'!$D$4:$D$1510,$A98,'Match Log'!$E$4:$E$1510,"Win")</f>
        <v>6</v>
      </c>
      <c r="E98" s="86">
        <f t="shared" si="27"/>
        <v>0.4</v>
      </c>
      <c r="F98" s="88">
        <f ca="1">IFERROR(INDEX(Calcs!$S$7:$S$20,MATCH($A98,Calcs!$A$7:$A$20,0)),"")</f>
        <v>993.2192605207141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Log'!$D$4:$D$1510,$A99)</f>
        <v>20</v>
      </c>
      <c r="C99" s="83">
        <f>SUMPRODUCT(--(COUNTIFS('Match Log'!$D$4:$D$1510,$A99,'Match Log'!$C$4:$C$1510,Lists!$C$2:$C$26)&gt;0))</f>
        <v>10</v>
      </c>
      <c r="D99" s="83">
        <f>COUNTIFS('Match Log'!$D$4:$D$1510,$A99,'Match Log'!$E$4:$E$1510,"Win")</f>
        <v>9</v>
      </c>
      <c r="E99" s="86">
        <f t="shared" si="27"/>
        <v>0.45</v>
      </c>
      <c r="F99" s="88">
        <f ca="1">IFERROR(INDEX(Calcs!$S$7:$S$20,MATCH($A99,Calcs!$A$7:$A$20,0)),"")</f>
        <v>1061.2287215286424</v>
      </c>
      <c r="G99" s="83" t="str">
        <f>IF($B99=0,"No games",IF(AND($B99&gt;='Guide &amp; Settings'!$C$45,$C99&gt;='Guide &amp; Settings'!$C$46),"Eligible","Provisional"))</f>
        <v>Eligible</v>
      </c>
      <c r="S99" s="89">
        <f ca="1">IF($G99="Eligible",IF(IFERROR(INDEX(Calcs!$T$7:$T$20,MATCH($A99,Calcs!$A$7:$A$20,0)),"")="Inactive",-1,$F99),-1)</f>
        <v>1061.2287215286424</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867.03133644117429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782.22294373677494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62" t="s">
        <v>305</v>
      </c>
      <c r="B104" s="146"/>
      <c r="C104" s="146"/>
      <c r="D104" s="146"/>
      <c r="E104" s="146"/>
      <c r="F104" s="146"/>
      <c r="G104" s="146"/>
      <c r="H104" s="146"/>
      <c r="I104" s="146"/>
      <c r="J104" s="146"/>
      <c r="K104" s="146"/>
      <c r="L104" s="146"/>
      <c r="M104" s="146"/>
      <c r="N104" s="146"/>
      <c r="O104" s="146"/>
      <c r="P104" s="146"/>
      <c r="Q104" s="146"/>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1002.3243051567958</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1080.5069404636042</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961.80944993345406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1006.5932676163981</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1001.4894058706261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988.04042504575511</v>
      </c>
      <c r="J110" s="88">
        <f>IFERROR(LOOKUP(2,1/(('Match Log'!$D$4:$D$1510=J$105)*('Match Log'!$C$4:$C$1510=$A110)),'Match Log'!$AB$4:$AB$1510),"")</f>
        <v>1021.8038775592277</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Simon</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1055.4776164286188</v>
      </c>
      <c r="G119" s="88">
        <f>IFERROR(LOOKUP(2,1/(('Match Log'!$D$4:$D$1510=G$105)*('Match Log'!$C$4:$C$1510=$A119)),'Match Log'!$AB$4:$AB$1510),"")</f>
        <v>844.70538647951662</v>
      </c>
      <c r="H119" s="88">
        <f>IFERROR(LOOKUP(2,1/(('Match Log'!$D$4:$D$1510=H$105)*('Match Log'!$C$4:$C$1510=$A119)),'Match Log'!$AB$4:$AB$1510),"")</f>
        <v>994.66666666666663</v>
      </c>
      <c r="I119" s="88">
        <f>IFERROR(LOOKUP(2,1/(('Match Log'!$D$4:$D$1510=I$105)*('Match Log'!$C$4:$C$1510=$A119)),'Match Log'!$AB$4:$AB$1510),"")</f>
        <v>985.16234453768709</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1063.0786926105654</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Oscar</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941.66416056941034</v>
      </c>
      <c r="C124" s="88" t="str">
        <f>IFERROR(LOOKUP(2,1/(('Match Log'!$D$4:$D$1510=C$105)*('Match Log'!$C$4:$C$1510=$A124)),'Match Log'!$AB$4:$AB$1510),"")</f>
        <v/>
      </c>
      <c r="D124" s="88">
        <f>IFERROR(LOOKUP(2,1/(('Match Log'!$D$4:$D$1510=D$105)*('Match Log'!$C$4:$C$1510=$A124)),'Match Log'!$AB$4:$AB$1510),"")</f>
        <v>1025.1456607850155</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962.4492002901444</v>
      </c>
      <c r="H124" s="88">
        <f>IFERROR(LOOKUP(2,1/(('Match Log'!$D$4:$D$1510=H$105)*('Match Log'!$C$4:$C$1510=$A124)),'Match Log'!$AB$4:$AB$1510),"")</f>
        <v>995.11454772974389</v>
      </c>
      <c r="I124" s="88">
        <f>IFERROR(LOOKUP(2,1/(('Match Log'!$D$4:$D$1510=I$105)*('Match Log'!$C$4:$C$1510=$A124)),'Match Log'!$AB$4:$AB$1510),"")</f>
        <v>1127.9441393405727</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t="str">
        <f>IFERROR(LOOKUP(2,1/(('Match Log'!$D$4:$D$1510=N$105)*('Match Log'!$C$4:$C$1510=$A124)),'Match Log'!$AB$4:$AB$1510),"")</f>
        <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65" t="s">
        <v>308</v>
      </c>
      <c r="B2" s="146"/>
      <c r="C2" s="146"/>
      <c r="D2" s="146"/>
      <c r="E2" s="146"/>
      <c r="F2" s="146"/>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Aaron</v>
      </c>
      <c r="C6" s="91" t="str">
        <f>IFERROR(INDEX(Calcs!$H$25:$H$724,MATCH(LARGE(Calcs!$I$25:$I$724,1),Calcs!$I$25:$I$724,0)),"")</f>
        <v>Shawn</v>
      </c>
      <c r="D6" s="91" t="str">
        <f>IFERROR(INDEX(Calcs!$C$25:$C$724,MATCH(LARGE(Calcs!$I$25:$I$724,1),Calcs!$I$25:$I$724,0)),"")</f>
        <v>Mario Golf</v>
      </c>
      <c r="E6" s="91" t="str">
        <f>IFERROR(TEXT(INDEX(Calcs!$F$25:$F$724,MATCH(LARGE(Calcs!$I$25:$I$724,1),Calcs!$I$25:$I$724,0)),"0%"),"")</f>
        <v>17%</v>
      </c>
      <c r="F6" s="91" t="str">
        <f>IFERROR(TEXT(INDEX(Calcs!$B$25:$B$724,MATCH(LARGE(Calcs!$I$25:$I$724,1),Calcs!$I$25:$I$724,0)),"d mmm"),"")</f>
        <v>10 Jul</v>
      </c>
    </row>
    <row r="7" spans="1:6" ht="15" customHeight="1" x14ac:dyDescent="0.2">
      <c r="A7" s="67">
        <v>2</v>
      </c>
      <c r="B7" s="40" t="str">
        <f>IFERROR(INDEX(Calcs!$D$25:$D$724,MATCH(LARGE(Calcs!$I$25:$I$724,2),Calcs!$I$25:$I$724,0)),"")</f>
        <v>Daniel (Ferret)</v>
      </c>
      <c r="C7" s="40" t="str">
        <f>IFERROR(INDEX(Calcs!$H$25:$H$724,MATCH(LARGE(Calcs!$I$25:$I$724,2),Calcs!$I$25:$I$724,0)),"")</f>
        <v>Shawn</v>
      </c>
      <c r="D7" s="40" t="str">
        <f>IFERROR(INDEX(Calcs!$C$25:$C$724,MATCH(LARGE(Calcs!$I$25:$I$724,2),Calcs!$I$25:$I$724,0)),"")</f>
        <v>FIFA</v>
      </c>
      <c r="E7" s="40" t="str">
        <f>IFERROR(TEXT(INDEX(Calcs!$F$25:$F$724,MATCH(LARGE(Calcs!$I$25:$I$724,2),Calcs!$I$25:$I$724,0)),"0%"),"")</f>
        <v>20%</v>
      </c>
      <c r="F7" s="40" t="str">
        <f>IFERROR(TEXT(INDEX(Calcs!$B$25:$B$724,MATCH(LARGE(Calcs!$I$25:$I$724,2),Calcs!$I$25:$I$724,0)),"d mmm"),"")</f>
        <v>30 May</v>
      </c>
    </row>
    <row r="8" spans="1:6" ht="15" customHeight="1" x14ac:dyDescent="0.2">
      <c r="A8" s="63">
        <v>3</v>
      </c>
      <c r="B8" s="37" t="str">
        <f>IFERROR(INDEX(Calcs!$D$25:$D$724,MATCH(LARGE(Calcs!$I$25:$I$724,3),Calcs!$I$25:$I$724,0)),"")</f>
        <v>Shawn</v>
      </c>
      <c r="C8" s="37" t="str">
        <f>IFERROR(INDEX(Calcs!$H$25:$H$724,MATCH(LARGE(Calcs!$I$25:$I$724,3),Calcs!$I$25:$I$724,0)),"")</f>
        <v>Daniel (Ferret)</v>
      </c>
      <c r="D8" s="37" t="str">
        <f>IFERROR(INDEX(Calcs!$C$25:$C$724,MATCH(LARGE(Calcs!$I$25:$I$724,3),Calcs!$I$25:$I$724,0)),"")</f>
        <v>Mario Party</v>
      </c>
      <c r="E8" s="37" t="str">
        <f>IFERROR(TEXT(INDEX(Calcs!$F$25:$F$724,MATCH(LARGE(Calcs!$I$25:$I$724,3),Calcs!$I$25:$I$724,0)),"0%"),"")</f>
        <v>23%</v>
      </c>
      <c r="F8" s="37" t="str">
        <f>IFERROR(TEXT(INDEX(Calcs!$B$25:$B$724,MATCH(LARGE(Calcs!$I$25:$I$724,3),Calcs!$I$25:$I$724,0)),"d mmm"),"")</f>
        <v>5 Jul</v>
      </c>
    </row>
    <row r="9" spans="1:6" ht="15" customHeight="1" x14ac:dyDescent="0.2">
      <c r="A9" s="67">
        <v>4</v>
      </c>
      <c r="B9" s="40" t="str">
        <f>IFERROR(INDEX(Calcs!$D$25:$D$724,MATCH(LARGE(Calcs!$I$25:$I$724,4),Calcs!$I$25:$I$724,0)),"")</f>
        <v>Dean B</v>
      </c>
      <c r="C9" s="40" t="str">
        <f>IFERROR(INDEX(Calcs!$H$25:$H$724,MATCH(LARGE(Calcs!$I$25:$I$724,4),Calcs!$I$25:$I$724,0)),"")</f>
        <v>David</v>
      </c>
      <c r="D9" s="40" t="str">
        <f>IFERROR(INDEX(Calcs!$C$25:$C$724,MATCH(LARGE(Calcs!$I$25:$I$724,4),Calcs!$I$25:$I$724,0)),"")</f>
        <v>Darts</v>
      </c>
      <c r="E9" s="40" t="str">
        <f>IFERROR(TEXT(INDEX(Calcs!$F$25:$F$724,MATCH(LARGE(Calcs!$I$25:$I$724,4),Calcs!$I$25:$I$724,0)),"0%"),"")</f>
        <v>23%</v>
      </c>
      <c r="F9" s="40" t="str">
        <f>IFERROR(TEXT(INDEX(Calcs!$B$25:$B$724,MATCH(LARGE(Calcs!$I$25:$I$724,4),Calcs!$I$25:$I$724,0)),"d mmm"),"")</f>
        <v>21 Aug</v>
      </c>
    </row>
    <row r="10" spans="1:6" ht="15" customHeight="1" x14ac:dyDescent="0.2">
      <c r="A10" s="63">
        <v>5</v>
      </c>
      <c r="B10" s="37" t="str">
        <f>IFERROR(INDEX(Calcs!$D$25:$D$724,MATCH(LARGE(Calcs!$I$25:$I$724,5),Calcs!$I$25:$I$724,0)),"")</f>
        <v>Simon</v>
      </c>
      <c r="C10" s="37" t="str">
        <f>IFERROR(INDEX(Calcs!$H$25:$H$724,MATCH(LARGE(Calcs!$I$25:$I$724,5),Calcs!$I$25:$I$724,0)),"")</f>
        <v>Oscar</v>
      </c>
      <c r="D10" s="37" t="str">
        <f>IFERROR(INDEX(Calcs!$C$25:$C$724,MATCH(LARGE(Calcs!$I$25:$I$724,5),Calcs!$I$25:$I$724,0)),"")</f>
        <v>Table Tennis</v>
      </c>
      <c r="E10" s="37" t="str">
        <f>IFERROR(TEXT(INDEX(Calcs!$F$25:$F$724,MATCH(LARGE(Calcs!$I$25:$I$724,5),Calcs!$I$25:$I$724,0)),"0%"),"")</f>
        <v>23%</v>
      </c>
      <c r="F10" s="37" t="str">
        <f>IFERROR(TEXT(INDEX(Calcs!$B$25:$B$724,MATCH(LARGE(Calcs!$I$25:$I$724,5),Calcs!$I$25:$I$724,0)),"d mmm"),"")</f>
        <v>23 Aug</v>
      </c>
    </row>
    <row r="11" spans="1:6" ht="15" customHeight="1" x14ac:dyDescent="0.2">
      <c r="A11" s="67">
        <v>6</v>
      </c>
      <c r="B11" s="40" t="str">
        <f>IFERROR(INDEX(Calcs!$D$25:$D$724,MATCH(LARGE(Calcs!$I$25:$I$724,6),Calcs!$I$25:$I$724,0)),"")</f>
        <v>Aaron</v>
      </c>
      <c r="C11" s="40" t="str">
        <f>IFERROR(INDEX(Calcs!$H$25:$H$724,MATCH(LARGE(Calcs!$I$25:$I$724,6),Calcs!$I$25:$I$724,0)),"")</f>
        <v>Shawn</v>
      </c>
      <c r="D11" s="40" t="str">
        <f>IFERROR(INDEX(Calcs!$C$25:$C$724,MATCH(LARGE(Calcs!$I$25:$I$724,6),Calcs!$I$25:$I$724,0)),"")</f>
        <v>Table Tennis</v>
      </c>
      <c r="E11" s="40" t="str">
        <f>IFERROR(TEXT(INDEX(Calcs!$F$25:$F$724,MATCH(LARGE(Calcs!$I$25:$I$724,6),Calcs!$I$25:$I$724,0)),"0%"),"")</f>
        <v>24%</v>
      </c>
      <c r="F11" s="40" t="str">
        <f>IFERROR(TEXT(INDEX(Calcs!$B$25:$B$724,MATCH(LARGE(Calcs!$I$25:$I$724,6),Calcs!$I$25:$I$724,0)),"d mmm"),"")</f>
        <v>21 Aug</v>
      </c>
    </row>
    <row r="12" spans="1:6" ht="15" customHeight="1" x14ac:dyDescent="0.2">
      <c r="A12" s="63">
        <v>7</v>
      </c>
      <c r="B12" s="37" t="str">
        <f>IFERROR(INDEX(Calcs!$D$25:$D$724,MATCH(LARGE(Calcs!$I$25:$I$724,7),Calcs!$I$25:$I$724,0)),"")</f>
        <v>Oscar</v>
      </c>
      <c r="C12" s="37" t="str">
        <f>IFERROR(INDEX(Calcs!$H$25:$H$724,MATCH(LARGE(Calcs!$I$25:$I$724,7),Calcs!$I$25:$I$724,0)),"")</f>
        <v>Daniel (Ferret)</v>
      </c>
      <c r="D12" s="37" t="str">
        <f>IFERROR(INDEX(Calcs!$C$25:$C$724,MATCH(LARGE(Calcs!$I$25:$I$724,7),Calcs!$I$25:$I$724,0)),"")</f>
        <v>Mario Kart</v>
      </c>
      <c r="E12" s="37" t="str">
        <f>IFERROR(TEXT(INDEX(Calcs!$F$25:$F$724,MATCH(LARGE(Calcs!$I$25:$I$724,7),Calcs!$I$25:$I$724,0)),"0%"),"")</f>
        <v>25%</v>
      </c>
      <c r="F12" s="37" t="str">
        <f>IFERROR(TEXT(INDEX(Calcs!$B$25:$B$724,MATCH(LARGE(Calcs!$I$25:$I$724,7),Calcs!$I$25:$I$724,0)),"d mmm"),"")</f>
        <v>3 Jun</v>
      </c>
    </row>
    <row r="13" spans="1:6" ht="15" customHeight="1" x14ac:dyDescent="0.2">
      <c r="A13" s="67">
        <v>8</v>
      </c>
      <c r="B13" s="40" t="str">
        <f>IFERROR(INDEX(Calcs!$D$25:$D$724,MATCH(LARGE(Calcs!$I$25:$I$724,8),Calcs!$I$25:$I$724,0)),"")</f>
        <v>Daniel (Ferret)</v>
      </c>
      <c r="C13" s="40" t="str">
        <f>IFERROR(INDEX(Calcs!$H$25:$H$724,MATCH(LARGE(Calcs!$I$25:$I$724,8),Calcs!$I$25:$I$724,0)),"")</f>
        <v>Josh</v>
      </c>
      <c r="D13" s="40" t="str">
        <f>IFERROR(INDEX(Calcs!$C$25:$C$724,MATCH(LARGE(Calcs!$I$25:$I$724,8),Calcs!$I$25:$I$724,0)),"")</f>
        <v>Mario Golf</v>
      </c>
      <c r="E13" s="40" t="str">
        <f>IFERROR(TEXT(INDEX(Calcs!$F$25:$F$724,MATCH(LARGE(Calcs!$I$25:$I$724,8),Calcs!$I$25:$I$724,0)),"0%"),"")</f>
        <v>25%</v>
      </c>
      <c r="F13" s="40" t="str">
        <f>IFERROR(TEXT(INDEX(Calcs!$B$25:$B$724,MATCH(LARGE(Calcs!$I$25:$I$724,8),Calcs!$I$25:$I$724,0)),"d mmm"),"")</f>
        <v>26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17%</v>
      </c>
      <c r="C20" s="40" t="str">
        <f>$B$6</f>
        <v>Aaron</v>
      </c>
      <c r="D20" s="40" t="str">
        <f>$D$6</f>
        <v>Mario Golf</v>
      </c>
      <c r="E20" s="40" t="str">
        <f>$F$6</f>
        <v>10 Jul</v>
      </c>
      <c r="F20" s="40" t="str">
        <f>"beat "&amp;$C$6</f>
        <v>beat Shawn</v>
      </c>
    </row>
    <row r="21" spans="1:8" ht="15" customHeight="1" x14ac:dyDescent="0.2">
      <c r="A21" s="92" t="s">
        <v>325</v>
      </c>
      <c r="B21" s="37" t="str">
        <f ca="1">TEXT(MAX(Dashboard!$D$5:$D$18),"0")</f>
        <v>157</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56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5 wins</v>
      </c>
      <c r="C24" s="40" t="str">
        <f>INDEX(Calcs!$A$7:$A$20,MATCH(MAX(Calcs!$O$7:$O$20),Calcs!$O$7:$O$20,0))</f>
        <v>Josh</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Josh</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Josh</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Josh leads the title race, 45 points clear of Simon.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Josh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Shawn can't take a trick — 6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Josh is surging — up 3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157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Log'!$A$4:$A$1510)&amp;" games played across "&amp;COUNTIF('Sport Records'!$P$8:$P$32,"&gt;0")&amp;" different sports — and counting."</f>
        <v>🎲  306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Josh</v>
      </c>
      <c r="C17" s="143">
        <f ca="1">ROUND(Dashboard!$C$5,0)</f>
        <v>1255</v>
      </c>
      <c r="D17" s="109" t="str">
        <f>"leader"</f>
        <v>leader</v>
      </c>
      <c r="E17" s="105"/>
      <c r="F17" s="27"/>
    </row>
    <row r="18" spans="1:6" ht="15" customHeight="1" x14ac:dyDescent="0.2">
      <c r="A18" s="110">
        <v>2</v>
      </c>
      <c r="B18" s="62" t="str">
        <f ca="1">Dashboard!$B$6</f>
        <v>Simon</v>
      </c>
      <c r="C18" s="144">
        <f ca="1">ROUND(Dashboard!$C$6,0)</f>
        <v>1210</v>
      </c>
      <c r="D18" s="111" t="str">
        <f ca="1">ROUND(Dashboard!$C$5-Dashboard!$C$6,0)&amp;" behind"</f>
        <v>45 behind</v>
      </c>
      <c r="E18" s="105"/>
      <c r="F18" s="27"/>
    </row>
    <row r="19" spans="1:6" ht="15" customHeight="1" x14ac:dyDescent="0.2">
      <c r="A19" s="110">
        <v>3</v>
      </c>
      <c r="B19" s="62" t="str">
        <f ca="1">Dashboard!$B$7</f>
        <v>Aaron</v>
      </c>
      <c r="C19" s="144">
        <f ca="1">ROUND(Dashboard!$C$7,0)</f>
        <v>1196</v>
      </c>
      <c r="D19" s="111" t="str">
        <f ca="1">ROUND(Dashboard!$C$5-Dashboard!$C$7,0)&amp;" behind"</f>
        <v>59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W</v>
      </c>
      <c r="C40" s="113" t="str">
        <f>IFERROR(IF(INDEX('Match Log'!$E$1:$E$1510,_xlfn.AGGREGATE(14,6,ROW('Match Log'!$A$4:$A$1510)/('Match Log'!$D$4:$D$1510=$A40),9))="Win","W","L"),"")</f>
        <v>W</v>
      </c>
      <c r="D40" s="113" t="str">
        <f>IFERROR(IF(INDEX('Match Log'!$E$1:$E$1510,_xlfn.AGGREGATE(14,6,ROW('Match Log'!$A$4:$A$1510)/('Match Log'!$D$4:$D$1510=$A40),8))="Win","W","L"),"")</f>
        <v>L</v>
      </c>
      <c r="E40" s="113" t="str">
        <f>IFERROR(IF(INDEX('Match Log'!$E$1:$E$1510,_xlfn.AGGREGATE(14,6,ROW('Match Log'!$A$4:$A$1510)/('Match Log'!$D$4:$D$1510=$A40),7))="Win","W","L"),"")</f>
        <v>W</v>
      </c>
      <c r="F40" s="113" t="str">
        <f>IFERROR(IF(INDEX('Match Log'!$E$1:$E$1510,_xlfn.AGGREGATE(14,6,ROW('Match Log'!$A$4:$A$1510)/('Match Log'!$D$4:$D$1510=$A40),6))="Win","W","L"),"")</f>
        <v>W</v>
      </c>
      <c r="G40" s="113" t="str">
        <f>IFERROR(IF(INDEX('Match Log'!$E$1:$E$1510,_xlfn.AGGREGATE(14,6,ROW('Match Log'!$A$4:$A$1510)/('Match Log'!$D$4:$D$1510=$A40),5))="Win","W","L"),"")</f>
        <v>L</v>
      </c>
      <c r="H40" s="113" t="str">
        <f>IFERROR(IF(INDEX('Match Log'!$E$1:$E$1510,_xlfn.AGGREGATE(14,6,ROW('Match Log'!$A$4:$A$1510)/('Match Log'!$D$4:$D$1510=$A40),4))="Win","W","L"),"")</f>
        <v>L</v>
      </c>
      <c r="I40" s="113" t="str">
        <f>IFERROR(IF(INDEX('Match Log'!$E$1:$E$1510,_xlfn.AGGREGATE(14,6,ROW('Match Log'!$A$4:$A$1510)/('Match Log'!$D$4:$D$1510=$A40),3))="Win","W","L"),"")</f>
        <v>L</v>
      </c>
      <c r="J40" s="113" t="str">
        <f>IFERROR(IF(INDEX('Match Log'!$E$1:$E$1510,_xlfn.AGGREGATE(14,6,ROW('Match Log'!$A$4:$A$1510)/('Match Log'!$D$4:$D$1510=$A40),2))="Win","W","L"),"")</f>
        <v>L</v>
      </c>
      <c r="K40" s="113" t="str">
        <f>IFERROR(IF(INDEX('Match Log'!$E$1:$E$1510,_xlfn.AGGREGATE(14,6,ROW('Match Log'!$A$4:$A$1510)/('Match Log'!$D$4:$D$1510=$A40),1))="Win","W","L"),"")</f>
        <v>L</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W</v>
      </c>
      <c r="C42" s="113" t="str">
        <f>IFERROR(IF(INDEX('Match Log'!$E$1:$E$1510,_xlfn.AGGREGATE(14,6,ROW('Match Log'!$A$4:$A$1510)/('Match Log'!$D$4:$D$1510=$A42),9))="Win","W","L"),"")</f>
        <v>L</v>
      </c>
      <c r="D42" s="113" t="str">
        <f>IFERROR(IF(INDEX('Match Log'!$E$1:$E$1510,_xlfn.AGGREGATE(14,6,ROW('Match Log'!$A$4:$A$1510)/('Match Log'!$D$4:$D$1510=$A42),8))="Win","W","L"),"")</f>
        <v>W</v>
      </c>
      <c r="E42" s="113" t="str">
        <f>IFERROR(IF(INDEX('Match Log'!$E$1:$E$1510,_xlfn.AGGREGATE(14,6,ROW('Match Log'!$A$4:$A$1510)/('Match Log'!$D$4:$D$1510=$A42),7))="Win","W","L"),"")</f>
        <v>L</v>
      </c>
      <c r="F42" s="113" t="str">
        <f>IFERROR(IF(INDEX('Match Log'!$E$1:$E$1510,_xlfn.AGGREGATE(14,6,ROW('Match Log'!$A$4:$A$1510)/('Match Log'!$D$4:$D$1510=$A42),6))="Win","W","L"),"")</f>
        <v>L</v>
      </c>
      <c r="G42" s="113" t="str">
        <f>IFERROR(IF(INDEX('Match Log'!$E$1:$E$1510,_xlfn.AGGREGATE(14,6,ROW('Match Log'!$A$4:$A$1510)/('Match Log'!$D$4:$D$1510=$A42),5))="Win","W","L"),"")</f>
        <v>L</v>
      </c>
      <c r="H42" s="113" t="str">
        <f>IFERROR(IF(INDEX('Match Log'!$E$1:$E$1510,_xlfn.AGGREGATE(14,6,ROW('Match Log'!$A$4:$A$1510)/('Match Log'!$D$4:$D$1510=$A42),4))="Win","W","L"),"")</f>
        <v>L</v>
      </c>
      <c r="I42" s="113" t="str">
        <f>IFERROR(IF(INDEX('Match Log'!$E$1:$E$1510,_xlfn.AGGREGATE(14,6,ROW('Match Log'!$A$4:$A$1510)/('Match Log'!$D$4:$D$1510=$A42),3))="Win","W","L"),"")</f>
        <v>W</v>
      </c>
      <c r="J42" s="113" t="str">
        <f>IFERROR(IF(INDEX('Match Log'!$E$1:$E$1510,_xlfn.AGGREGATE(14,6,ROW('Match Log'!$A$4:$A$1510)/('Match Log'!$D$4:$D$1510=$A42),2))="Win","W","L"),"")</f>
        <v>W</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W</v>
      </c>
      <c r="D44" s="113" t="str">
        <f>IFERROR(IF(INDEX('Match Log'!$E$1:$E$1510,_xlfn.AGGREGATE(14,6,ROW('Match Log'!$A$4:$A$1510)/('Match Log'!$D$4:$D$1510=$A44),8))="Win","W","L"),"")</f>
        <v>L</v>
      </c>
      <c r="E44" s="113" t="str">
        <f>IFERROR(IF(INDEX('Match Log'!$E$1:$E$1510,_xlfn.AGGREGATE(14,6,ROW('Match Log'!$A$4:$A$1510)/('Match Log'!$D$4:$D$1510=$A44),7))="Win","W","L"),"")</f>
        <v>W</v>
      </c>
      <c r="F44" s="113" t="str">
        <f>IFERROR(IF(INDEX('Match Log'!$E$1:$E$1510,_xlfn.AGGREGATE(14,6,ROW('Match Log'!$A$4:$A$1510)/('Match Log'!$D$4:$D$1510=$A44),6))="Win","W","L"),"")</f>
        <v>L</v>
      </c>
      <c r="G44" s="113" t="str">
        <f>IFERROR(IF(INDEX('Match Log'!$E$1:$E$1510,_xlfn.AGGREGATE(14,6,ROW('Match Log'!$A$4:$A$1510)/('Match Log'!$D$4:$D$1510=$A44),5))="Win","W","L"),"")</f>
        <v>W</v>
      </c>
      <c r="H44" s="113" t="str">
        <f>IFERROR(IF(INDEX('Match Log'!$E$1:$E$1510,_xlfn.AGGREGATE(14,6,ROW('Match Log'!$A$4:$A$1510)/('Match Log'!$D$4:$D$1510=$A44),4))="Win","W","L"),"")</f>
        <v>W</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W</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W</v>
      </c>
      <c r="F45" s="113" t="str">
        <f>IFERROR(IF(INDEX('Match Log'!$E$1:$E$1510,_xlfn.AGGREGATE(14,6,ROW('Match Log'!$A$4:$A$1510)/('Match Log'!$D$4:$D$1510=$A45),6))="Win","W","L"),"")</f>
        <v>L</v>
      </c>
      <c r="G45" s="113" t="str">
        <f>IFERROR(IF(INDEX('Match Log'!$E$1:$E$1510,_xlfn.AGGREGATE(14,6,ROW('Match Log'!$A$4:$A$1510)/('Match Log'!$D$4:$D$1510=$A45),5))="Win","W","L"),"")</f>
        <v>L</v>
      </c>
      <c r="H45" s="113" t="str">
        <f>IFERROR(IF(INDEX('Match Log'!$E$1:$E$1510,_xlfn.AGGREGATE(14,6,ROW('Match Log'!$A$4:$A$1510)/('Match Log'!$D$4:$D$1510=$A45),4))="Win","W","L"),"")</f>
        <v>L</v>
      </c>
      <c r="I45" s="113" t="str">
        <f>IFERROR(IF(INDEX('Match Log'!$E$1:$E$1510,_xlfn.AGGREGATE(14,6,ROW('Match Log'!$A$4:$A$1510)/('Match Log'!$D$4:$D$1510=$A45),3))="Win","W","L"),"")</f>
        <v>L</v>
      </c>
      <c r="J45" s="113" t="str">
        <f>IFERROR(IF(INDEX('Match Log'!$E$1:$E$1510,_xlfn.AGGREGATE(14,6,ROW('Match Log'!$A$4:$A$1510)/('Match Log'!$D$4:$D$1510=$A45),2))="Win","W","L"),"")</f>
        <v>L</v>
      </c>
      <c r="K45" s="113" t="str">
        <f>IFERROR(IF(INDEX('Match Log'!$E$1:$E$1510,_xlfn.AGGREGATE(14,6,ROW('Match Log'!$A$4:$A$1510)/('Match Log'!$D$4:$D$1510=$A45),1))="Win","W","L"),"")</f>
        <v>L</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W</v>
      </c>
      <c r="C47" s="113" t="str">
        <f>IFERROR(IF(INDEX('Match Log'!$E$1:$E$1510,_xlfn.AGGREGATE(14,6,ROW('Match Log'!$A$4:$A$1510)/('Match Log'!$D$4:$D$1510=$A47),9))="Win","W","L"),"")</f>
        <v>W</v>
      </c>
      <c r="D47" s="113" t="str">
        <f>IFERROR(IF(INDEX('Match Log'!$E$1:$E$1510,_xlfn.AGGREGATE(14,6,ROW('Match Log'!$A$4:$A$1510)/('Match Log'!$D$4:$D$1510=$A47),8))="Win","W","L"),"")</f>
        <v>W</v>
      </c>
      <c r="E47" s="113" t="str">
        <f>IFERROR(IF(INDEX('Match Log'!$E$1:$E$1510,_xlfn.AGGREGATE(14,6,ROW('Match Log'!$A$4:$A$1510)/('Match Log'!$D$4:$D$1510=$A47),7))="Win","W","L"),"")</f>
        <v>W</v>
      </c>
      <c r="F47" s="113" t="str">
        <f>IFERROR(IF(INDEX('Match Log'!$E$1:$E$1510,_xlfn.AGGREGATE(14,6,ROW('Match Log'!$A$4:$A$1510)/('Match Log'!$D$4:$D$1510=$A47),6))="Win","W","L"),"")</f>
        <v>W</v>
      </c>
      <c r="G47" s="113" t="str">
        <f>IFERROR(IF(INDEX('Match Log'!$E$1:$E$1510,_xlfn.AGGREGATE(14,6,ROW('Match Log'!$A$4:$A$1510)/('Match Log'!$D$4:$D$1510=$A47),5))="Win","W","L"),"")</f>
        <v>W</v>
      </c>
      <c r="H47" s="113" t="str">
        <f>IFERROR(IF(INDEX('Match Log'!$E$1:$E$1510,_xlfn.AGGREGATE(14,6,ROW('Match Log'!$A$4:$A$1510)/('Match Log'!$D$4:$D$1510=$A47),4))="Win","W","L"),"")</f>
        <v>L</v>
      </c>
      <c r="I47" s="113" t="str">
        <f>IFERROR(IF(INDEX('Match Log'!$E$1:$E$1510,_xlfn.AGGREGATE(14,6,ROW('Match Log'!$A$4:$A$1510)/('Match Log'!$D$4:$D$1510=$A47),3))="Win","W","L"),"")</f>
        <v>W</v>
      </c>
      <c r="J47" s="113" t="str">
        <f>IFERROR(IF(INDEX('Match Log'!$E$1:$E$1510,_xlfn.AGGREGATE(14,6,ROW('Match Log'!$A$4:$A$1510)/('Match Log'!$D$4:$D$1510=$A47),2))="Win","W","L"),"")</f>
        <v>L</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W</v>
      </c>
      <c r="E48" s="113" t="str">
        <f>IFERROR(IF(INDEX('Match Log'!$E$1:$E$1510,_xlfn.AGGREGATE(14,6,ROW('Match Log'!$A$4:$A$1510)/('Match Log'!$D$4:$D$1510=$A48),7))="Win","W","L"),"")</f>
        <v>L</v>
      </c>
      <c r="F48" s="113" t="str">
        <f>IFERROR(IF(INDEX('Match Log'!$E$1:$E$1510,_xlfn.AGGREGATE(14,6,ROW('Match Log'!$A$4:$A$1510)/('Match Log'!$D$4:$D$1510=$A48),6))="Win","W","L"),"")</f>
        <v>W</v>
      </c>
      <c r="G48" s="113" t="str">
        <f>IFERROR(IF(INDEX('Match Log'!$E$1:$E$1510,_xlfn.AGGREGATE(14,6,ROW('Match Log'!$A$4:$A$1510)/('Match Log'!$D$4:$D$1510=$A48),5))="Win","W","L"),"")</f>
        <v>W</v>
      </c>
      <c r="H48" s="113" t="str">
        <f>IFERROR(IF(INDEX('Match Log'!$E$1:$E$1510,_xlfn.AGGREGATE(14,6,ROW('Match Log'!$A$4:$A$1510)/('Match Log'!$D$4:$D$1510=$A48),4))="Win","W","L"),"")</f>
        <v>W</v>
      </c>
      <c r="I48" s="113" t="str">
        <f>IFERROR(IF(INDEX('Match Log'!$E$1:$E$1510,_xlfn.AGGREGATE(14,6,ROW('Match Log'!$A$4:$A$1510)/('Match Log'!$D$4:$D$1510=$A48),3))="Win","W","L"),"")</f>
        <v>L</v>
      </c>
      <c r="J48" s="113" t="str">
        <f>IFERROR(IF(INDEX('Match Log'!$E$1:$E$1510,_xlfn.AGGREGATE(14,6,ROW('Match Log'!$A$4:$A$1510)/('Match Log'!$D$4:$D$1510=$A48),2))="Win","W","L"),"")</f>
        <v>W</v>
      </c>
      <c r="K48" s="113" t="str">
        <f>IFERROR(IF(INDEX('Match Log'!$E$1:$E$1510,_xlfn.AGGREGATE(14,6,ROW('Match Log'!$A$4:$A$1510)/('Match Log'!$D$4:$D$1510=$A48),1))="Win","W","L"),"")</f>
        <v>L</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W</v>
      </c>
      <c r="C50" s="113" t="str">
        <f>IFERROR(IF(INDEX('Match Log'!$E$1:$E$1510,_xlfn.AGGREGATE(14,6,ROW('Match Log'!$A$4:$A$1510)/('Match Log'!$D$4:$D$1510=$A50),9))="Win","W","L"),"")</f>
        <v>L</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L</v>
      </c>
      <c r="K50" s="113" t="str">
        <f>IFERROR(IF(INDEX('Match Log'!$E$1:$E$1510,_xlfn.AGGREGATE(14,6,ROW('Match Log'!$A$4:$A$1510)/('Match Log'!$D$4:$D$1510=$A50),1))="Win","W","L"),"")</f>
        <v>W</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L</v>
      </c>
      <c r="D52" s="113" t="str">
        <f>IFERROR(IF(INDEX('Match Log'!$E$1:$E$1510,_xlfn.AGGREGATE(14,6,ROW('Match Log'!$A$4:$A$1510)/('Match Log'!$D$4:$D$1510=$A52),8))="Win","W","L"),"")</f>
        <v>W</v>
      </c>
      <c r="E52" s="113" t="str">
        <f>IFERROR(IF(INDEX('Match Log'!$E$1:$E$1510,_xlfn.AGGREGATE(14,6,ROW('Match Log'!$A$4:$A$1510)/('Match Log'!$D$4:$D$1510=$A52),7))="Win","W","L"),"")</f>
        <v>W</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0.21428571428571427</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0.5</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0.8571428571428571</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0.43478260869565216</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0.47368421052631576</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0.45454545454545453</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0.42857142857142855</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0.61290322580645162</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0.5714285714285714</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tabSelected="1" zoomScale="118" zoomScaleNormal="118" workbookViewId="0">
      <pane xSplit="5" ySplit="3" topLeftCell="F675" activePane="bottomRight" state="frozen"/>
      <selection pane="topRight" activeCell="F1" sqref="F1"/>
      <selection pane="bottomLeft" activeCell="A442" sqref="A442"/>
      <selection pane="bottomRight" activeCell="E711" sqref="E711"/>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45" t="s">
        <v>346</v>
      </c>
      <c r="B1" s="146"/>
      <c r="C1" s="146"/>
      <c r="D1" s="146"/>
      <c r="E1" s="146"/>
      <c r="F1" s="146"/>
      <c r="G1" s="146"/>
      <c r="H1" s="146"/>
      <c r="I1" s="146"/>
      <c r="J1" s="146"/>
      <c r="K1" s="146"/>
      <c r="L1" s="146"/>
      <c r="M1" s="146"/>
      <c r="N1" s="146"/>
      <c r="O1" s="146"/>
    </row>
    <row r="2" spans="1:32" ht="15" customHeight="1" x14ac:dyDescent="0.2">
      <c r="A2" s="147" t="s">
        <v>347</v>
      </c>
      <c r="B2" s="146"/>
      <c r="C2" s="146"/>
      <c r="D2" s="146"/>
      <c r="E2" s="146"/>
      <c r="F2" s="146"/>
      <c r="G2" s="146"/>
      <c r="H2" s="146"/>
      <c r="I2" s="146"/>
      <c r="J2" s="146"/>
      <c r="K2" s="146"/>
      <c r="L2" s="146"/>
      <c r="M2" s="146"/>
      <c r="N2" s="146"/>
      <c r="O2" s="146"/>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41" t="s">
        <v>458</v>
      </c>
      <c r="AE3" t="s">
        <v>459</v>
      </c>
      <c r="AF3"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42">
        <f t="shared" ref="AD4:AD67" si="17">IF($D4="",0,SUMPRODUCT(MAX(($D$4:$D$1510=$D4)*($B$4:$B$1510&lt;$B4)*$B$4:$B$1510)))</f>
        <v>0</v>
      </c>
      <c r="AE4">
        <f t="shared" ref="AE4:AE67" si="18">IF($D4="",0,COUNTIFS($A$4:$A$1510,$A4,$E$4:$E$1510,"Win"))</f>
        <v>1</v>
      </c>
      <c r="AF4">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42">
        <f t="shared" si="17"/>
        <v>0</v>
      </c>
      <c r="AE5">
        <f t="shared" si="18"/>
        <v>1</v>
      </c>
      <c r="AF5">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42">
        <f t="shared" si="17"/>
        <v>0</v>
      </c>
      <c r="AE6">
        <f t="shared" si="18"/>
        <v>1</v>
      </c>
      <c r="AF6">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42">
        <f t="shared" si="17"/>
        <v>0</v>
      </c>
      <c r="AE7">
        <f t="shared" si="18"/>
        <v>1</v>
      </c>
      <c r="AF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42">
        <f t="shared" si="17"/>
        <v>46173</v>
      </c>
      <c r="AE8">
        <f t="shared" si="18"/>
        <v>1</v>
      </c>
      <c r="AF8">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42">
        <f t="shared" si="17"/>
        <v>46173</v>
      </c>
      <c r="AE9">
        <f t="shared" si="18"/>
        <v>1</v>
      </c>
      <c r="AF9">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42">
        <f t="shared" si="17"/>
        <v>46172</v>
      </c>
      <c r="AE10">
        <f t="shared" si="18"/>
        <v>1</v>
      </c>
      <c r="AF10">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42">
        <f t="shared" si="17"/>
        <v>0</v>
      </c>
      <c r="AE11">
        <f t="shared" si="18"/>
        <v>1</v>
      </c>
      <c r="AF11">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42">
        <f t="shared" si="17"/>
        <v>0</v>
      </c>
      <c r="AE12">
        <f t="shared" si="18"/>
        <v>1</v>
      </c>
      <c r="AF12">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42">
        <f t="shared" si="17"/>
        <v>46145</v>
      </c>
      <c r="AE13">
        <f t="shared" si="18"/>
        <v>1</v>
      </c>
      <c r="AF13">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42">
        <f t="shared" si="17"/>
        <v>0</v>
      </c>
      <c r="AE14">
        <f t="shared" si="18"/>
        <v>1</v>
      </c>
      <c r="AF14">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42">
        <f t="shared" si="17"/>
        <v>0</v>
      </c>
      <c r="AE15">
        <f t="shared" si="18"/>
        <v>1</v>
      </c>
      <c r="AF15">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42">
        <f t="shared" si="17"/>
        <v>46145</v>
      </c>
      <c r="AE16">
        <f t="shared" si="18"/>
        <v>1</v>
      </c>
      <c r="AF16">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42">
        <f t="shared" si="17"/>
        <v>0</v>
      </c>
      <c r="AE17">
        <f t="shared" si="18"/>
        <v>1</v>
      </c>
      <c r="AF1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42">
        <f t="shared" si="17"/>
        <v>46145</v>
      </c>
      <c r="AE18">
        <f t="shared" si="18"/>
        <v>1</v>
      </c>
      <c r="AF18">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42">
        <f t="shared" si="17"/>
        <v>0</v>
      </c>
      <c r="AE19">
        <f t="shared" si="18"/>
        <v>1</v>
      </c>
      <c r="AF19">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42">
        <f t="shared" si="17"/>
        <v>46145</v>
      </c>
      <c r="AE20">
        <f t="shared" si="18"/>
        <v>1</v>
      </c>
      <c r="AF20">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42">
        <f t="shared" si="17"/>
        <v>0</v>
      </c>
      <c r="AE21">
        <f t="shared" si="18"/>
        <v>1</v>
      </c>
      <c r="AF21">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42">
        <f t="shared" si="17"/>
        <v>46145</v>
      </c>
      <c r="AE22">
        <f t="shared" si="18"/>
        <v>1</v>
      </c>
      <c r="AF22">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42">
        <f t="shared" si="17"/>
        <v>0</v>
      </c>
      <c r="AE23">
        <f t="shared" si="18"/>
        <v>1</v>
      </c>
      <c r="AF23">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42">
        <f t="shared" si="17"/>
        <v>46145</v>
      </c>
      <c r="AE24">
        <f t="shared" si="18"/>
        <v>1</v>
      </c>
      <c r="AF24">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42">
        <f t="shared" si="17"/>
        <v>0</v>
      </c>
      <c r="AE25">
        <f t="shared" si="18"/>
        <v>1</v>
      </c>
      <c r="AF25">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42">
        <f t="shared" si="17"/>
        <v>46145</v>
      </c>
      <c r="AE26">
        <f t="shared" si="18"/>
        <v>1</v>
      </c>
      <c r="AF26">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42">
        <f t="shared" si="17"/>
        <v>0</v>
      </c>
      <c r="AE27">
        <f t="shared" si="18"/>
        <v>1</v>
      </c>
      <c r="AF2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42">
        <f t="shared" si="17"/>
        <v>46145</v>
      </c>
      <c r="AE28">
        <f t="shared" si="18"/>
        <v>1</v>
      </c>
      <c r="AF28">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42">
        <f t="shared" si="17"/>
        <v>46145</v>
      </c>
      <c r="AE29">
        <f t="shared" si="18"/>
        <v>1</v>
      </c>
      <c r="AF29">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42">
        <f t="shared" si="17"/>
        <v>0</v>
      </c>
      <c r="AE30">
        <f t="shared" si="18"/>
        <v>1</v>
      </c>
      <c r="AF30">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42">
        <f t="shared" si="17"/>
        <v>46145</v>
      </c>
      <c r="AE31">
        <f t="shared" si="18"/>
        <v>1</v>
      </c>
      <c r="AF31">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42">
        <f t="shared" si="17"/>
        <v>0</v>
      </c>
      <c r="AE32">
        <f t="shared" si="18"/>
        <v>1</v>
      </c>
      <c r="AF32">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42">
        <f t="shared" si="17"/>
        <v>46145</v>
      </c>
      <c r="AE33">
        <f t="shared" si="18"/>
        <v>1</v>
      </c>
      <c r="AF33">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42">
        <f t="shared" si="17"/>
        <v>0</v>
      </c>
      <c r="AE34">
        <f t="shared" si="18"/>
        <v>1</v>
      </c>
      <c r="AF34">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42">
        <f t="shared" si="17"/>
        <v>46172</v>
      </c>
      <c r="AE35">
        <f t="shared" si="18"/>
        <v>1</v>
      </c>
      <c r="AF35">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42">
        <f t="shared" si="17"/>
        <v>46172</v>
      </c>
      <c r="AE36">
        <f t="shared" si="18"/>
        <v>1</v>
      </c>
      <c r="AF36">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42">
        <f t="shared" si="17"/>
        <v>46172</v>
      </c>
      <c r="AE37">
        <f t="shared" si="18"/>
        <v>1</v>
      </c>
      <c r="AF3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42">
        <f t="shared" si="17"/>
        <v>46172</v>
      </c>
      <c r="AE38">
        <f t="shared" si="18"/>
        <v>1</v>
      </c>
      <c r="AF38">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42">
        <f t="shared" si="17"/>
        <v>46172</v>
      </c>
      <c r="AE39">
        <f t="shared" si="18"/>
        <v>1</v>
      </c>
      <c r="AF39">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42">
        <f t="shared" si="17"/>
        <v>46172</v>
      </c>
      <c r="AE40">
        <f t="shared" si="18"/>
        <v>1</v>
      </c>
      <c r="AF40">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42">
        <f t="shared" si="17"/>
        <v>46172</v>
      </c>
      <c r="AE41">
        <f t="shared" si="18"/>
        <v>1</v>
      </c>
      <c r="AF41">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42">
        <f t="shared" si="17"/>
        <v>46172</v>
      </c>
      <c r="AE42">
        <f t="shared" si="18"/>
        <v>1</v>
      </c>
      <c r="AF42">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42">
        <f t="shared" si="17"/>
        <v>0</v>
      </c>
      <c r="AE43">
        <f t="shared" si="18"/>
        <v>1</v>
      </c>
      <c r="AF43">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42">
        <f t="shared" si="17"/>
        <v>46172</v>
      </c>
      <c r="AE44">
        <f t="shared" si="18"/>
        <v>1</v>
      </c>
      <c r="AF44">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42">
        <f t="shared" si="17"/>
        <v>0</v>
      </c>
      <c r="AE45">
        <f t="shared" si="18"/>
        <v>1</v>
      </c>
      <c r="AF45">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42">
        <f t="shared" si="17"/>
        <v>0</v>
      </c>
      <c r="AE46">
        <f t="shared" si="18"/>
        <v>1</v>
      </c>
      <c r="AF46">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42">
        <f t="shared" si="17"/>
        <v>0</v>
      </c>
      <c r="AE47">
        <f t="shared" si="18"/>
        <v>1</v>
      </c>
      <c r="AF4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42">
        <f t="shared" si="17"/>
        <v>46173</v>
      </c>
      <c r="AE48">
        <f t="shared" si="18"/>
        <v>1</v>
      </c>
      <c r="AF48">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42">
        <f t="shared" si="17"/>
        <v>0</v>
      </c>
      <c r="AE49">
        <f t="shared" si="18"/>
        <v>1</v>
      </c>
      <c r="AF49">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42">
        <f t="shared" si="17"/>
        <v>46173</v>
      </c>
      <c r="AE50">
        <f t="shared" si="18"/>
        <v>1</v>
      </c>
      <c r="AF50">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42">
        <f t="shared" si="17"/>
        <v>0</v>
      </c>
      <c r="AE51">
        <f t="shared" si="18"/>
        <v>1</v>
      </c>
      <c r="AF51">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42">
        <f t="shared" si="17"/>
        <v>46173</v>
      </c>
      <c r="AE52">
        <f t="shared" si="18"/>
        <v>1</v>
      </c>
      <c r="AF52">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42">
        <f t="shared" si="17"/>
        <v>0</v>
      </c>
      <c r="AE53">
        <f t="shared" si="18"/>
        <v>1</v>
      </c>
      <c r="AF53">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42">
        <f t="shared" si="17"/>
        <v>46173</v>
      </c>
      <c r="AE54">
        <f t="shared" si="18"/>
        <v>1</v>
      </c>
      <c r="AF54">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42">
        <f t="shared" si="17"/>
        <v>0</v>
      </c>
      <c r="AE55">
        <f t="shared" si="18"/>
        <v>1</v>
      </c>
      <c r="AF55">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42">
        <f t="shared" si="17"/>
        <v>46173</v>
      </c>
      <c r="AE56">
        <f t="shared" si="18"/>
        <v>1</v>
      </c>
      <c r="AF56">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42">
        <f t="shared" si="17"/>
        <v>46172</v>
      </c>
      <c r="AE57">
        <f t="shared" si="18"/>
        <v>1</v>
      </c>
      <c r="AF5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42">
        <f t="shared" si="17"/>
        <v>46173</v>
      </c>
      <c r="AE58">
        <f t="shared" si="18"/>
        <v>1</v>
      </c>
      <c r="AF58">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42">
        <f t="shared" si="17"/>
        <v>46172</v>
      </c>
      <c r="AE59">
        <f t="shared" si="18"/>
        <v>1</v>
      </c>
      <c r="AF59">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42">
        <f t="shared" si="17"/>
        <v>0</v>
      </c>
      <c r="AE60">
        <f t="shared" si="18"/>
        <v>1</v>
      </c>
      <c r="AF60">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42">
        <f t="shared" si="17"/>
        <v>0</v>
      </c>
      <c r="AE61">
        <f t="shared" si="18"/>
        <v>1</v>
      </c>
      <c r="AF61">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42">
        <f t="shared" si="17"/>
        <v>46173</v>
      </c>
      <c r="AE62">
        <f t="shared" si="18"/>
        <v>1</v>
      </c>
      <c r="AF62">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42">
        <f t="shared" si="17"/>
        <v>46172</v>
      </c>
      <c r="AE63">
        <f t="shared" si="18"/>
        <v>1</v>
      </c>
      <c r="AF63">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42">
        <f t="shared" si="17"/>
        <v>46173</v>
      </c>
      <c r="AE64">
        <f t="shared" si="18"/>
        <v>1</v>
      </c>
      <c r="AF64">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42">
        <f t="shared" si="17"/>
        <v>46172</v>
      </c>
      <c r="AE65">
        <f t="shared" si="18"/>
        <v>1</v>
      </c>
      <c r="AF65">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42">
        <f t="shared" si="17"/>
        <v>0</v>
      </c>
      <c r="AE66">
        <f t="shared" si="18"/>
        <v>1</v>
      </c>
      <c r="AF66">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42">
        <f t="shared" si="17"/>
        <v>0</v>
      </c>
      <c r="AE67">
        <f t="shared" si="18"/>
        <v>1</v>
      </c>
      <c r="AF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42">
        <f t="shared" ref="AD68:AD131" si="37">IF($D68="",0,SUMPRODUCT(MAX(($D$4:$D$1510=$D68)*($B$4:$B$1510&lt;$B68)*$B$4:$B$1510)))</f>
        <v>46145</v>
      </c>
      <c r="AE68">
        <f t="shared" ref="AE68:AE131" si="38">IF($D68="",0,COUNTIFS($A$4:$A$1510,$A68,$E$4:$E$1510,"Win"))</f>
        <v>1</v>
      </c>
      <c r="AF68">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42">
        <f t="shared" si="37"/>
        <v>0</v>
      </c>
      <c r="AE69">
        <f t="shared" si="38"/>
        <v>1</v>
      </c>
      <c r="AF69">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42">
        <f t="shared" si="37"/>
        <v>0</v>
      </c>
      <c r="AE70">
        <f t="shared" si="38"/>
        <v>1</v>
      </c>
      <c r="AF70">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42">
        <f t="shared" si="37"/>
        <v>46173</v>
      </c>
      <c r="AE71">
        <f t="shared" si="38"/>
        <v>1</v>
      </c>
      <c r="AF71">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42">
        <f t="shared" si="37"/>
        <v>0</v>
      </c>
      <c r="AE72">
        <f t="shared" si="38"/>
        <v>1</v>
      </c>
      <c r="AF72">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42">
        <f t="shared" si="37"/>
        <v>46173</v>
      </c>
      <c r="AE73">
        <f t="shared" si="38"/>
        <v>1</v>
      </c>
      <c r="AF73">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42">
        <f t="shared" si="37"/>
        <v>0</v>
      </c>
      <c r="AE74">
        <f t="shared" si="38"/>
        <v>1</v>
      </c>
      <c r="AF74">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42">
        <f t="shared" si="37"/>
        <v>0</v>
      </c>
      <c r="AE75">
        <f t="shared" si="38"/>
        <v>1</v>
      </c>
      <c r="AF75">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42">
        <f t="shared" si="37"/>
        <v>0</v>
      </c>
      <c r="AE76">
        <f t="shared" si="38"/>
        <v>1</v>
      </c>
      <c r="AF76">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42">
        <f t="shared" si="37"/>
        <v>46172</v>
      </c>
      <c r="AE77">
        <f t="shared" si="38"/>
        <v>1</v>
      </c>
      <c r="AF7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42">
        <f t="shared" si="37"/>
        <v>46173</v>
      </c>
      <c r="AE78">
        <f t="shared" si="38"/>
        <v>1</v>
      </c>
      <c r="AF78">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42">
        <f t="shared" si="37"/>
        <v>0</v>
      </c>
      <c r="AE79">
        <f t="shared" si="38"/>
        <v>1</v>
      </c>
      <c r="AF79">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42">
        <f t="shared" si="37"/>
        <v>0</v>
      </c>
      <c r="AE80">
        <f t="shared" si="38"/>
        <v>1</v>
      </c>
      <c r="AF80">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42">
        <f t="shared" si="37"/>
        <v>46172</v>
      </c>
      <c r="AE81">
        <f t="shared" si="38"/>
        <v>1</v>
      </c>
      <c r="AF81">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42">
        <f t="shared" si="37"/>
        <v>46172</v>
      </c>
      <c r="AE82">
        <f t="shared" si="38"/>
        <v>1</v>
      </c>
      <c r="AF82">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42">
        <f t="shared" si="37"/>
        <v>0</v>
      </c>
      <c r="AE83">
        <f t="shared" si="38"/>
        <v>1</v>
      </c>
      <c r="AF83">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42">
        <f t="shared" si="37"/>
        <v>46172</v>
      </c>
      <c r="AE84">
        <f t="shared" si="38"/>
        <v>1</v>
      </c>
      <c r="AF84">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42">
        <f t="shared" si="37"/>
        <v>46172</v>
      </c>
      <c r="AE85">
        <f t="shared" si="38"/>
        <v>1</v>
      </c>
      <c r="AF85">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42">
        <f t="shared" si="37"/>
        <v>0</v>
      </c>
      <c r="AE86">
        <f t="shared" si="38"/>
        <v>1</v>
      </c>
      <c r="AF86">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42">
        <f t="shared" si="37"/>
        <v>46175</v>
      </c>
      <c r="AE87">
        <f t="shared" si="38"/>
        <v>1</v>
      </c>
      <c r="AF8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42">
        <f t="shared" si="37"/>
        <v>0</v>
      </c>
      <c r="AE88">
        <f t="shared" si="38"/>
        <v>1</v>
      </c>
      <c r="AF88">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42">
        <f t="shared" si="37"/>
        <v>46175</v>
      </c>
      <c r="AE89">
        <f t="shared" si="38"/>
        <v>1</v>
      </c>
      <c r="AF89">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42">
        <f t="shared" si="37"/>
        <v>46175</v>
      </c>
      <c r="AE90">
        <f t="shared" si="38"/>
        <v>1</v>
      </c>
      <c r="AF90">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42">
        <f t="shared" si="37"/>
        <v>0</v>
      </c>
      <c r="AE91">
        <f t="shared" si="38"/>
        <v>1</v>
      </c>
      <c r="AF91">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42">
        <f t="shared" si="37"/>
        <v>46175</v>
      </c>
      <c r="AE92">
        <f t="shared" si="38"/>
        <v>1</v>
      </c>
      <c r="AF92">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42">
        <f t="shared" si="37"/>
        <v>46175</v>
      </c>
      <c r="AE93">
        <f t="shared" si="38"/>
        <v>1</v>
      </c>
      <c r="AF93">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42">
        <f t="shared" si="37"/>
        <v>46175</v>
      </c>
      <c r="AE94">
        <f t="shared" si="38"/>
        <v>1</v>
      </c>
      <c r="AF94">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42">
        <f t="shared" si="37"/>
        <v>0</v>
      </c>
      <c r="AE95">
        <f t="shared" si="38"/>
        <v>1</v>
      </c>
      <c r="AF95">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42">
        <f t="shared" si="37"/>
        <v>46175</v>
      </c>
      <c r="AE96">
        <f t="shared" si="38"/>
        <v>1</v>
      </c>
      <c r="AF96">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42">
        <f t="shared" si="37"/>
        <v>0</v>
      </c>
      <c r="AE97">
        <f t="shared" si="38"/>
        <v>1</v>
      </c>
      <c r="AF9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42">
        <f t="shared" si="37"/>
        <v>46175</v>
      </c>
      <c r="AE98">
        <f t="shared" si="38"/>
        <v>1</v>
      </c>
      <c r="AF98">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42">
        <f t="shared" si="37"/>
        <v>46175</v>
      </c>
      <c r="AE99">
        <f t="shared" si="38"/>
        <v>1</v>
      </c>
      <c r="AF99">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42">
        <f t="shared" si="37"/>
        <v>46175</v>
      </c>
      <c r="AE100">
        <f t="shared" si="38"/>
        <v>1</v>
      </c>
      <c r="AF100">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42">
        <f t="shared" si="37"/>
        <v>46175</v>
      </c>
      <c r="AE101">
        <f t="shared" si="38"/>
        <v>1</v>
      </c>
      <c r="AF101">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42">
        <f t="shared" si="37"/>
        <v>46175</v>
      </c>
      <c r="AE102">
        <f t="shared" si="38"/>
        <v>1</v>
      </c>
      <c r="AF102">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42">
        <f t="shared" si="37"/>
        <v>46175</v>
      </c>
      <c r="AE103">
        <f t="shared" si="38"/>
        <v>1</v>
      </c>
      <c r="AF103">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42">
        <f t="shared" si="37"/>
        <v>46175</v>
      </c>
      <c r="AE104">
        <f t="shared" si="38"/>
        <v>1</v>
      </c>
      <c r="AF104">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42">
        <f t="shared" si="37"/>
        <v>46175</v>
      </c>
      <c r="AE105">
        <f t="shared" si="38"/>
        <v>1</v>
      </c>
      <c r="AF105">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42">
        <f t="shared" si="37"/>
        <v>46175</v>
      </c>
      <c r="AE106">
        <f t="shared" si="38"/>
        <v>1</v>
      </c>
      <c r="AF106">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42">
        <f t="shared" si="37"/>
        <v>46175</v>
      </c>
      <c r="AE107">
        <f t="shared" si="38"/>
        <v>1</v>
      </c>
      <c r="AF10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42">
        <f t="shared" si="37"/>
        <v>46175</v>
      </c>
      <c r="AE108">
        <f t="shared" si="38"/>
        <v>1</v>
      </c>
      <c r="AF108">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42">
        <f t="shared" si="37"/>
        <v>46175</v>
      </c>
      <c r="AE109">
        <f t="shared" si="38"/>
        <v>1</v>
      </c>
      <c r="AF109">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42">
        <f t="shared" si="37"/>
        <v>46176</v>
      </c>
      <c r="AE110">
        <f t="shared" si="38"/>
        <v>1</v>
      </c>
      <c r="AF110">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42">
        <f t="shared" si="37"/>
        <v>46176</v>
      </c>
      <c r="AE111">
        <f t="shared" si="38"/>
        <v>1</v>
      </c>
      <c r="AF111">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42">
        <f t="shared" si="37"/>
        <v>46176</v>
      </c>
      <c r="AE112">
        <f t="shared" si="38"/>
        <v>1</v>
      </c>
      <c r="AF112">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42">
        <f t="shared" si="37"/>
        <v>46176</v>
      </c>
      <c r="AE113">
        <f t="shared" si="38"/>
        <v>1</v>
      </c>
      <c r="AF113">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42">
        <f t="shared" si="37"/>
        <v>46176</v>
      </c>
      <c r="AE114">
        <f t="shared" si="38"/>
        <v>1</v>
      </c>
      <c r="AF114">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42">
        <f t="shared" si="37"/>
        <v>46176</v>
      </c>
      <c r="AE115">
        <f t="shared" si="38"/>
        <v>1</v>
      </c>
      <c r="AF115">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42">
        <f t="shared" si="37"/>
        <v>46176</v>
      </c>
      <c r="AE116">
        <f t="shared" si="38"/>
        <v>1</v>
      </c>
      <c r="AF116">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42">
        <f t="shared" si="37"/>
        <v>46176</v>
      </c>
      <c r="AE117">
        <f t="shared" si="38"/>
        <v>1</v>
      </c>
      <c r="AF11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42">
        <f t="shared" si="37"/>
        <v>46176</v>
      </c>
      <c r="AE118">
        <f t="shared" si="38"/>
        <v>1</v>
      </c>
      <c r="AF118">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42">
        <f t="shared" si="37"/>
        <v>0</v>
      </c>
      <c r="AE119">
        <f t="shared" si="38"/>
        <v>1</v>
      </c>
      <c r="AF119">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42">
        <f t="shared" si="37"/>
        <v>46175</v>
      </c>
      <c r="AE120">
        <f t="shared" si="38"/>
        <v>1</v>
      </c>
      <c r="AF120">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42">
        <f t="shared" si="37"/>
        <v>46176</v>
      </c>
      <c r="AE121">
        <f t="shared" si="38"/>
        <v>1</v>
      </c>
      <c r="AF121">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42">
        <f t="shared" si="37"/>
        <v>46177</v>
      </c>
      <c r="AE122">
        <f t="shared" si="38"/>
        <v>1</v>
      </c>
      <c r="AF122">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42">
        <f t="shared" si="37"/>
        <v>46176</v>
      </c>
      <c r="AE123">
        <f t="shared" si="38"/>
        <v>1</v>
      </c>
      <c r="AF123">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42">
        <f t="shared" si="37"/>
        <v>46175</v>
      </c>
      <c r="AE124">
        <f t="shared" si="38"/>
        <v>1</v>
      </c>
      <c r="AF124">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42">
        <f t="shared" si="37"/>
        <v>46175</v>
      </c>
      <c r="AE125">
        <f t="shared" si="38"/>
        <v>1</v>
      </c>
      <c r="AF125">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42">
        <f t="shared" si="37"/>
        <v>46177</v>
      </c>
      <c r="AE126">
        <f t="shared" si="38"/>
        <v>1</v>
      </c>
      <c r="AF126">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42">
        <f t="shared" si="37"/>
        <v>46176</v>
      </c>
      <c r="AE127">
        <f t="shared" si="38"/>
        <v>1</v>
      </c>
      <c r="AF12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42">
        <f t="shared" si="37"/>
        <v>46175</v>
      </c>
      <c r="AE128">
        <f t="shared" si="38"/>
        <v>1</v>
      </c>
      <c r="AF128">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42">
        <f t="shared" si="37"/>
        <v>46175</v>
      </c>
      <c r="AE129">
        <f t="shared" si="38"/>
        <v>1</v>
      </c>
      <c r="AF129">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42">
        <f t="shared" si="37"/>
        <v>46177</v>
      </c>
      <c r="AE130">
        <f t="shared" si="38"/>
        <v>1</v>
      </c>
      <c r="AF130">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42">
        <f t="shared" si="37"/>
        <v>46175</v>
      </c>
      <c r="AE131">
        <f t="shared" si="38"/>
        <v>1</v>
      </c>
      <c r="AF131">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42">
        <f t="shared" ref="AD132:AD195" si="57">IF($D132="",0,SUMPRODUCT(MAX(($D$4:$D$1510=$D132)*($B$4:$B$1510&lt;$B132)*$B$4:$B$1510)))</f>
        <v>46177</v>
      </c>
      <c r="AE132">
        <f t="shared" ref="AE132:AE195" si="58">IF($D132="",0,COUNTIFS($A$4:$A$1510,$A132,$E$4:$E$1510,"Win"))</f>
        <v>1</v>
      </c>
      <c r="AF132">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42">
        <f t="shared" si="57"/>
        <v>46177</v>
      </c>
      <c r="AE133">
        <f t="shared" si="58"/>
        <v>1</v>
      </c>
      <c r="AF133">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42">
        <f t="shared" si="57"/>
        <v>46177</v>
      </c>
      <c r="AE134">
        <f t="shared" si="58"/>
        <v>1</v>
      </c>
      <c r="AF134">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42">
        <f t="shared" si="57"/>
        <v>46175</v>
      </c>
      <c r="AE135">
        <f t="shared" si="58"/>
        <v>1</v>
      </c>
      <c r="AF135">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42">
        <f t="shared" si="57"/>
        <v>46175</v>
      </c>
      <c r="AE136">
        <f t="shared" si="58"/>
        <v>1</v>
      </c>
      <c r="AF136">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42">
        <f t="shared" si="57"/>
        <v>46177</v>
      </c>
      <c r="AE137">
        <f t="shared" si="58"/>
        <v>1</v>
      </c>
      <c r="AF13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42">
        <f t="shared" si="57"/>
        <v>46175</v>
      </c>
      <c r="AE138">
        <f t="shared" si="58"/>
        <v>1</v>
      </c>
      <c r="AF138">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42">
        <f t="shared" si="57"/>
        <v>46175</v>
      </c>
      <c r="AE139">
        <f t="shared" si="58"/>
        <v>1</v>
      </c>
      <c r="AF139">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42">
        <f t="shared" si="57"/>
        <v>46175</v>
      </c>
      <c r="AE140">
        <f t="shared" si="58"/>
        <v>1</v>
      </c>
      <c r="AF140">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42">
        <f t="shared" si="57"/>
        <v>46177</v>
      </c>
      <c r="AE141">
        <f t="shared" si="58"/>
        <v>1</v>
      </c>
      <c r="AF141">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42">
        <f t="shared" si="57"/>
        <v>46175</v>
      </c>
      <c r="AE142">
        <f t="shared" si="58"/>
        <v>1</v>
      </c>
      <c r="AF142">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42">
        <f t="shared" si="57"/>
        <v>46177</v>
      </c>
      <c r="AE143">
        <f t="shared" si="58"/>
        <v>1</v>
      </c>
      <c r="AF143">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42">
        <f t="shared" si="57"/>
        <v>46175</v>
      </c>
      <c r="AE144">
        <f t="shared" si="58"/>
        <v>1</v>
      </c>
      <c r="AF144">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42">
        <f t="shared" si="57"/>
        <v>46177</v>
      </c>
      <c r="AE145">
        <f t="shared" si="58"/>
        <v>1</v>
      </c>
      <c r="AF145">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42">
        <f t="shared" si="57"/>
        <v>46175</v>
      </c>
      <c r="AE146">
        <f t="shared" si="58"/>
        <v>1</v>
      </c>
      <c r="AF146">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42">
        <f t="shared" si="57"/>
        <v>46175</v>
      </c>
      <c r="AE147">
        <f t="shared" si="58"/>
        <v>1</v>
      </c>
      <c r="AF14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42">
        <f t="shared" si="57"/>
        <v>46177</v>
      </c>
      <c r="AE148">
        <f t="shared" si="58"/>
        <v>2</v>
      </c>
      <c r="AF148">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42">
        <f t="shared" si="57"/>
        <v>46176</v>
      </c>
      <c r="AE149">
        <f t="shared" si="58"/>
        <v>2</v>
      </c>
      <c r="AF149">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42">
        <f t="shared" si="57"/>
        <v>46177</v>
      </c>
      <c r="AE150">
        <f t="shared" si="58"/>
        <v>2</v>
      </c>
      <c r="AF150">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42">
        <f t="shared" si="57"/>
        <v>46176</v>
      </c>
      <c r="AE151">
        <f t="shared" si="58"/>
        <v>2</v>
      </c>
      <c r="AF151">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42">
        <f t="shared" si="57"/>
        <v>46177</v>
      </c>
      <c r="AE152">
        <f t="shared" si="58"/>
        <v>2</v>
      </c>
      <c r="AF152">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42">
        <f t="shared" si="57"/>
        <v>46175</v>
      </c>
      <c r="AE153">
        <f t="shared" si="58"/>
        <v>2</v>
      </c>
      <c r="AF153">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42">
        <f t="shared" si="57"/>
        <v>46177</v>
      </c>
      <c r="AE154">
        <f t="shared" si="58"/>
        <v>2</v>
      </c>
      <c r="AF154">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42">
        <f t="shared" si="57"/>
        <v>46176</v>
      </c>
      <c r="AE155">
        <f t="shared" si="58"/>
        <v>2</v>
      </c>
      <c r="AF155">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42">
        <f t="shared" si="57"/>
        <v>46175</v>
      </c>
      <c r="AE156">
        <f t="shared" si="58"/>
        <v>2</v>
      </c>
      <c r="AF156">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42">
        <f t="shared" si="57"/>
        <v>46177</v>
      </c>
      <c r="AE157">
        <f t="shared" si="58"/>
        <v>2</v>
      </c>
      <c r="AF15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42">
        <f t="shared" si="57"/>
        <v>46175</v>
      </c>
      <c r="AE158">
        <f t="shared" si="58"/>
        <v>2</v>
      </c>
      <c r="AF158">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42">
        <f t="shared" si="57"/>
        <v>0</v>
      </c>
      <c r="AE159">
        <f t="shared" si="58"/>
        <v>2</v>
      </c>
      <c r="AF159">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42">
        <f t="shared" si="57"/>
        <v>46175</v>
      </c>
      <c r="AE160">
        <f t="shared" si="58"/>
        <v>2</v>
      </c>
      <c r="AF160">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42">
        <f t="shared" si="57"/>
        <v>46177</v>
      </c>
      <c r="AE161">
        <f t="shared" si="58"/>
        <v>2</v>
      </c>
      <c r="AF161">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42">
        <f t="shared" si="57"/>
        <v>46175</v>
      </c>
      <c r="AE162">
        <f t="shared" si="58"/>
        <v>2</v>
      </c>
      <c r="AF162">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42">
        <f t="shared" si="57"/>
        <v>46175</v>
      </c>
      <c r="AE163">
        <f t="shared" si="58"/>
        <v>2</v>
      </c>
      <c r="AF163">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42">
        <f t="shared" si="57"/>
        <v>46177</v>
      </c>
      <c r="AE164">
        <f t="shared" si="58"/>
        <v>2</v>
      </c>
      <c r="AF164">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42">
        <f t="shared" si="57"/>
        <v>0</v>
      </c>
      <c r="AE165">
        <f t="shared" si="58"/>
        <v>2</v>
      </c>
      <c r="AF165">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42">
        <f t="shared" si="57"/>
        <v>46177</v>
      </c>
      <c r="AE166">
        <f t="shared" si="58"/>
        <v>2</v>
      </c>
      <c r="AF166">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42">
        <f t="shared" si="57"/>
        <v>46175</v>
      </c>
      <c r="AE167">
        <f t="shared" si="58"/>
        <v>2</v>
      </c>
      <c r="AF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42">
        <f t="shared" si="57"/>
        <v>46176</v>
      </c>
      <c r="AE168">
        <f t="shared" si="58"/>
        <v>2</v>
      </c>
      <c r="AF168">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42">
        <f t="shared" si="57"/>
        <v>46177</v>
      </c>
      <c r="AE169">
        <f t="shared" si="58"/>
        <v>2</v>
      </c>
      <c r="AF169">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42">
        <f t="shared" si="57"/>
        <v>0</v>
      </c>
      <c r="AE170">
        <f t="shared" si="58"/>
        <v>2</v>
      </c>
      <c r="AF170">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42">
        <f t="shared" si="57"/>
        <v>46177</v>
      </c>
      <c r="AE171">
        <f t="shared" si="58"/>
        <v>2</v>
      </c>
      <c r="AF171">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42">
        <f t="shared" si="57"/>
        <v>46177</v>
      </c>
      <c r="AE172">
        <f t="shared" si="58"/>
        <v>2</v>
      </c>
      <c r="AF172">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42">
        <f t="shared" si="57"/>
        <v>46176</v>
      </c>
      <c r="AE173">
        <f t="shared" si="58"/>
        <v>2</v>
      </c>
      <c r="AF173">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42">
        <f t="shared" si="57"/>
        <v>46176</v>
      </c>
      <c r="AE174">
        <f t="shared" si="58"/>
        <v>2</v>
      </c>
      <c r="AF174">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42">
        <f t="shared" si="57"/>
        <v>46177</v>
      </c>
      <c r="AE175">
        <f t="shared" si="58"/>
        <v>2</v>
      </c>
      <c r="AF175">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42">
        <f t="shared" si="57"/>
        <v>46177</v>
      </c>
      <c r="AE176">
        <f t="shared" si="58"/>
        <v>2</v>
      </c>
      <c r="AF176">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42">
        <f t="shared" si="57"/>
        <v>46176</v>
      </c>
      <c r="AE177">
        <f t="shared" si="58"/>
        <v>2</v>
      </c>
      <c r="AF17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42">
        <f t="shared" si="57"/>
        <v>46175</v>
      </c>
      <c r="AE178">
        <f t="shared" si="58"/>
        <v>2</v>
      </c>
      <c r="AF178">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42">
        <f t="shared" si="57"/>
        <v>0</v>
      </c>
      <c r="AE179">
        <f t="shared" si="58"/>
        <v>2</v>
      </c>
      <c r="AF179">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42">
        <f t="shared" si="57"/>
        <v>46177</v>
      </c>
      <c r="AE180">
        <f t="shared" si="58"/>
        <v>2</v>
      </c>
      <c r="AF180">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42">
        <f t="shared" si="57"/>
        <v>46176</v>
      </c>
      <c r="AE181">
        <f t="shared" si="58"/>
        <v>2</v>
      </c>
      <c r="AF181">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42">
        <f t="shared" si="57"/>
        <v>46175</v>
      </c>
      <c r="AE182">
        <f t="shared" si="58"/>
        <v>2</v>
      </c>
      <c r="AF182">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42">
        <f t="shared" si="57"/>
        <v>46175</v>
      </c>
      <c r="AE183">
        <f t="shared" si="58"/>
        <v>2</v>
      </c>
      <c r="AF183">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42">
        <f t="shared" si="57"/>
        <v>46177</v>
      </c>
      <c r="AE184">
        <f t="shared" si="58"/>
        <v>2</v>
      </c>
      <c r="AF184">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42">
        <f t="shared" si="57"/>
        <v>0</v>
      </c>
      <c r="AE185">
        <f t="shared" si="58"/>
        <v>2</v>
      </c>
      <c r="AF185">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42">
        <f t="shared" si="57"/>
        <v>46177</v>
      </c>
      <c r="AE186">
        <f t="shared" si="58"/>
        <v>2</v>
      </c>
      <c r="AF186">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42">
        <f t="shared" si="57"/>
        <v>46176</v>
      </c>
      <c r="AE187">
        <f t="shared" si="58"/>
        <v>2</v>
      </c>
      <c r="AF18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42">
        <f t="shared" si="57"/>
        <v>46177</v>
      </c>
      <c r="AE188">
        <f t="shared" si="58"/>
        <v>2</v>
      </c>
      <c r="AF188">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42">
        <f t="shared" si="57"/>
        <v>46175</v>
      </c>
      <c r="AE189">
        <f t="shared" si="58"/>
        <v>2</v>
      </c>
      <c r="AF189">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42">
        <f t="shared" si="57"/>
        <v>46177</v>
      </c>
      <c r="AE190">
        <f t="shared" si="58"/>
        <v>2</v>
      </c>
      <c r="AF190">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42">
        <f t="shared" si="57"/>
        <v>0</v>
      </c>
      <c r="AE191">
        <f t="shared" si="58"/>
        <v>2</v>
      </c>
      <c r="AF191">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42">
        <f t="shared" si="57"/>
        <v>46176</v>
      </c>
      <c r="AE192">
        <f t="shared" si="58"/>
        <v>2</v>
      </c>
      <c r="AF192">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42">
        <f t="shared" si="57"/>
        <v>46177</v>
      </c>
      <c r="AE193">
        <f t="shared" si="58"/>
        <v>2</v>
      </c>
      <c r="AF193">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42">
        <f t="shared" si="57"/>
        <v>46175</v>
      </c>
      <c r="AE194">
        <f t="shared" si="58"/>
        <v>2</v>
      </c>
      <c r="AF194">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42">
        <f t="shared" si="57"/>
        <v>46177</v>
      </c>
      <c r="AE195">
        <f t="shared" si="58"/>
        <v>2</v>
      </c>
      <c r="AF195">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42">
        <f t="shared" ref="AD196:AD259" si="77">IF($D196="",0,SUMPRODUCT(MAX(($D$4:$D$1510=$D196)*($B$4:$B$1510&lt;$B196)*$B$4:$B$1510)))</f>
        <v>46177</v>
      </c>
      <c r="AE196">
        <f t="shared" ref="AE196:AE259" si="78">IF($D196="",0,COUNTIFS($A$4:$A$1510,$A196,$E$4:$E$1510,"Win"))</f>
        <v>2</v>
      </c>
      <c r="AF196">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42">
        <f t="shared" si="77"/>
        <v>46176</v>
      </c>
      <c r="AE197">
        <f t="shared" si="78"/>
        <v>2</v>
      </c>
      <c r="AF19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42">
        <f t="shared" si="77"/>
        <v>46176</v>
      </c>
      <c r="AE198">
        <f t="shared" si="78"/>
        <v>2</v>
      </c>
      <c r="AF198">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42">
        <f t="shared" si="77"/>
        <v>46177</v>
      </c>
      <c r="AE199">
        <f t="shared" si="78"/>
        <v>2</v>
      </c>
      <c r="AF199">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42">
        <f t="shared" si="77"/>
        <v>46177</v>
      </c>
      <c r="AE200">
        <f t="shared" si="78"/>
        <v>2</v>
      </c>
      <c r="AF200">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42">
        <f t="shared" si="77"/>
        <v>46176</v>
      </c>
      <c r="AE201">
        <f t="shared" si="78"/>
        <v>2</v>
      </c>
      <c r="AF201">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42">
        <f t="shared" si="77"/>
        <v>46175</v>
      </c>
      <c r="AE202">
        <f t="shared" si="78"/>
        <v>2</v>
      </c>
      <c r="AF202">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42">
        <f t="shared" si="77"/>
        <v>0</v>
      </c>
      <c r="AE203">
        <f t="shared" si="78"/>
        <v>2</v>
      </c>
      <c r="AF203">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42">
        <f t="shared" si="77"/>
        <v>46175</v>
      </c>
      <c r="AE204">
        <f t="shared" si="78"/>
        <v>2</v>
      </c>
      <c r="AF204">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42">
        <f t="shared" si="77"/>
        <v>46177</v>
      </c>
      <c r="AE205">
        <f t="shared" si="78"/>
        <v>2</v>
      </c>
      <c r="AF205">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42">
        <f t="shared" si="77"/>
        <v>46177</v>
      </c>
      <c r="AE206">
        <f t="shared" si="78"/>
        <v>2</v>
      </c>
      <c r="AF206">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42">
        <f t="shared" si="77"/>
        <v>46176</v>
      </c>
      <c r="AE207">
        <f t="shared" si="78"/>
        <v>2</v>
      </c>
      <c r="AF20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42">
        <f t="shared" si="77"/>
        <v>46175</v>
      </c>
      <c r="AE208">
        <f t="shared" si="78"/>
        <v>2</v>
      </c>
      <c r="AF208">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42">
        <f t="shared" si="77"/>
        <v>46177</v>
      </c>
      <c r="AE209">
        <f t="shared" si="78"/>
        <v>2</v>
      </c>
      <c r="AF209">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42">
        <f t="shared" si="77"/>
        <v>46175</v>
      </c>
      <c r="AE210">
        <f t="shared" si="78"/>
        <v>2</v>
      </c>
      <c r="AF210">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42">
        <f t="shared" si="77"/>
        <v>46177</v>
      </c>
      <c r="AE211">
        <f t="shared" si="78"/>
        <v>2</v>
      </c>
      <c r="AF211">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42">
        <f t="shared" si="77"/>
        <v>0</v>
      </c>
      <c r="AE212">
        <f t="shared" si="78"/>
        <v>2</v>
      </c>
      <c r="AF212">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42">
        <f t="shared" si="77"/>
        <v>46175</v>
      </c>
      <c r="AE213">
        <f t="shared" si="78"/>
        <v>2</v>
      </c>
      <c r="AF213">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42">
        <f t="shared" si="77"/>
        <v>46175</v>
      </c>
      <c r="AE214">
        <f t="shared" si="78"/>
        <v>2</v>
      </c>
      <c r="AF214">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42">
        <f t="shared" si="77"/>
        <v>46177</v>
      </c>
      <c r="AE215">
        <f t="shared" si="78"/>
        <v>2</v>
      </c>
      <c r="AF215">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42">
        <f t="shared" si="77"/>
        <v>0</v>
      </c>
      <c r="AE216">
        <f t="shared" si="78"/>
        <v>2</v>
      </c>
      <c r="AF216">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42">
        <f t="shared" si="77"/>
        <v>46175</v>
      </c>
      <c r="AE217">
        <f t="shared" si="78"/>
        <v>2</v>
      </c>
      <c r="AF21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42">
        <f t="shared" si="77"/>
        <v>46177</v>
      </c>
      <c r="AE218">
        <f t="shared" si="78"/>
        <v>2</v>
      </c>
      <c r="AF218">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42">
        <f t="shared" si="77"/>
        <v>46176</v>
      </c>
      <c r="AE219">
        <f t="shared" si="78"/>
        <v>2</v>
      </c>
      <c r="AF219">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42">
        <f t="shared" si="77"/>
        <v>46175</v>
      </c>
      <c r="AE220">
        <f t="shared" si="78"/>
        <v>1</v>
      </c>
      <c r="AF220">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42">
        <f t="shared" si="77"/>
        <v>46177</v>
      </c>
      <c r="AE221">
        <f t="shared" si="78"/>
        <v>1</v>
      </c>
      <c r="AF221">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42">
        <f t="shared" si="77"/>
        <v>46175</v>
      </c>
      <c r="AE222">
        <f t="shared" si="78"/>
        <v>1</v>
      </c>
      <c r="AF222">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42">
        <f t="shared" si="77"/>
        <v>46177</v>
      </c>
      <c r="AE223">
        <f t="shared" si="78"/>
        <v>1</v>
      </c>
      <c r="AF223">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42">
        <f t="shared" si="77"/>
        <v>46176</v>
      </c>
      <c r="AE224">
        <f t="shared" si="78"/>
        <v>1</v>
      </c>
      <c r="AF224">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42">
        <f t="shared" si="77"/>
        <v>46177</v>
      </c>
      <c r="AE225">
        <f t="shared" si="78"/>
        <v>1</v>
      </c>
      <c r="AF225">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42">
        <f t="shared" si="77"/>
        <v>46177</v>
      </c>
      <c r="AE226">
        <f t="shared" si="78"/>
        <v>1</v>
      </c>
      <c r="AF226">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42">
        <f t="shared" si="77"/>
        <v>46177</v>
      </c>
      <c r="AE227">
        <f t="shared" si="78"/>
        <v>1</v>
      </c>
      <c r="AF22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42">
        <f t="shared" si="77"/>
        <v>46175</v>
      </c>
      <c r="AE228">
        <f t="shared" si="78"/>
        <v>1</v>
      </c>
      <c r="AF228">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42">
        <f t="shared" si="77"/>
        <v>46177</v>
      </c>
      <c r="AE229">
        <f t="shared" si="78"/>
        <v>1</v>
      </c>
      <c r="AF229">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42">
        <f t="shared" si="77"/>
        <v>46175</v>
      </c>
      <c r="AE230">
        <f t="shared" si="78"/>
        <v>1</v>
      </c>
      <c r="AF230">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42">
        <f t="shared" si="77"/>
        <v>46177</v>
      </c>
      <c r="AE231">
        <f t="shared" si="78"/>
        <v>1</v>
      </c>
      <c r="AF231">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42">
        <f t="shared" si="77"/>
        <v>46175</v>
      </c>
      <c r="AE232">
        <f t="shared" si="78"/>
        <v>1</v>
      </c>
      <c r="AF232">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42">
        <f t="shared" si="77"/>
        <v>46177</v>
      </c>
      <c r="AE233">
        <f t="shared" si="78"/>
        <v>1</v>
      </c>
      <c r="AF233">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42">
        <f t="shared" si="77"/>
        <v>46177</v>
      </c>
      <c r="AE234">
        <f t="shared" si="78"/>
        <v>1</v>
      </c>
      <c r="AF234">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42">
        <f t="shared" si="77"/>
        <v>46176</v>
      </c>
      <c r="AE235">
        <f t="shared" si="78"/>
        <v>1</v>
      </c>
      <c r="AF235">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42">
        <f t="shared" si="77"/>
        <v>46175</v>
      </c>
      <c r="AE236">
        <f t="shared" si="78"/>
        <v>1</v>
      </c>
      <c r="AF236">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42">
        <f t="shared" si="77"/>
        <v>46188</v>
      </c>
      <c r="AE237">
        <f t="shared" si="78"/>
        <v>1</v>
      </c>
      <c r="AF23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42">
        <f t="shared" si="77"/>
        <v>46188</v>
      </c>
      <c r="AE238">
        <f t="shared" si="78"/>
        <v>1</v>
      </c>
      <c r="AF238">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42">
        <f t="shared" si="77"/>
        <v>46188</v>
      </c>
      <c r="AE239">
        <f t="shared" si="78"/>
        <v>1</v>
      </c>
      <c r="AF239">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42">
        <f t="shared" si="77"/>
        <v>46188</v>
      </c>
      <c r="AE240">
        <f t="shared" si="78"/>
        <v>1</v>
      </c>
      <c r="AF240">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42">
        <f t="shared" si="77"/>
        <v>46188</v>
      </c>
      <c r="AE241">
        <f t="shared" si="78"/>
        <v>1</v>
      </c>
      <c r="AF241">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42">
        <f t="shared" si="77"/>
        <v>46188</v>
      </c>
      <c r="AE242">
        <f t="shared" si="78"/>
        <v>1</v>
      </c>
      <c r="AF242">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42">
        <f t="shared" si="77"/>
        <v>46188</v>
      </c>
      <c r="AE243">
        <f t="shared" si="78"/>
        <v>1</v>
      </c>
      <c r="AF243">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42">
        <f t="shared" si="77"/>
        <v>46189</v>
      </c>
      <c r="AE244">
        <f t="shared" si="78"/>
        <v>1</v>
      </c>
      <c r="AF244">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42">
        <f t="shared" si="77"/>
        <v>46189</v>
      </c>
      <c r="AE245">
        <f t="shared" si="78"/>
        <v>1</v>
      </c>
      <c r="AF245">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42">
        <f t="shared" si="77"/>
        <v>46190</v>
      </c>
      <c r="AE246">
        <f t="shared" si="78"/>
        <v>1</v>
      </c>
      <c r="AF246">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42">
        <f t="shared" si="77"/>
        <v>46188</v>
      </c>
      <c r="AE247">
        <f t="shared" si="78"/>
        <v>1</v>
      </c>
      <c r="AF24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42">
        <f t="shared" si="77"/>
        <v>46190</v>
      </c>
      <c r="AE248">
        <f t="shared" si="78"/>
        <v>1</v>
      </c>
      <c r="AF248">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42">
        <f t="shared" si="77"/>
        <v>46188</v>
      </c>
      <c r="AE249">
        <f t="shared" si="78"/>
        <v>1</v>
      </c>
      <c r="AF249">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42">
        <f t="shared" si="77"/>
        <v>46188</v>
      </c>
      <c r="AE250">
        <f t="shared" si="78"/>
        <v>1</v>
      </c>
      <c r="AF250">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42">
        <f t="shared" si="77"/>
        <v>46190</v>
      </c>
      <c r="AE251">
        <f t="shared" si="78"/>
        <v>1</v>
      </c>
      <c r="AF251">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42">
        <f t="shared" si="77"/>
        <v>46188</v>
      </c>
      <c r="AE252">
        <f t="shared" si="78"/>
        <v>1</v>
      </c>
      <c r="AF252">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42">
        <f t="shared" si="77"/>
        <v>46190</v>
      </c>
      <c r="AE253">
        <f t="shared" si="78"/>
        <v>1</v>
      </c>
      <c r="AF253">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42">
        <f t="shared" si="77"/>
        <v>46190</v>
      </c>
      <c r="AE254">
        <f t="shared" si="78"/>
        <v>1</v>
      </c>
      <c r="AF254">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42">
        <f t="shared" si="77"/>
        <v>46188</v>
      </c>
      <c r="AE255">
        <f t="shared" si="78"/>
        <v>1</v>
      </c>
      <c r="AF255">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42">
        <f t="shared" si="77"/>
        <v>46188</v>
      </c>
      <c r="AE256">
        <f t="shared" si="78"/>
        <v>1</v>
      </c>
      <c r="AF256">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42">
        <f t="shared" si="77"/>
        <v>46190</v>
      </c>
      <c r="AE257">
        <f t="shared" si="78"/>
        <v>1</v>
      </c>
      <c r="AF25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42">
        <f t="shared" si="77"/>
        <v>46188</v>
      </c>
      <c r="AE258">
        <f t="shared" si="78"/>
        <v>1</v>
      </c>
      <c r="AF258">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42">
        <f t="shared" si="77"/>
        <v>46190</v>
      </c>
      <c r="AE259">
        <f t="shared" si="78"/>
        <v>1</v>
      </c>
      <c r="AF259">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42">
        <f t="shared" ref="AD260:AD323" si="97">IF($D260="",0,SUMPRODUCT(MAX(($D$4:$D$1510=$D260)*($B$4:$B$1510&lt;$B260)*$B$4:$B$1510)))</f>
        <v>46188</v>
      </c>
      <c r="AE260">
        <f t="shared" ref="AE260:AE323" si="98">IF($D260="",0,COUNTIFS($A$4:$A$1510,$A260,$E$4:$E$1510,"Win"))</f>
        <v>1</v>
      </c>
      <c r="AF260">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42">
        <f t="shared" si="97"/>
        <v>46190</v>
      </c>
      <c r="AE261">
        <f t="shared" si="98"/>
        <v>1</v>
      </c>
      <c r="AF261">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42">
        <f t="shared" si="97"/>
        <v>46188</v>
      </c>
      <c r="AE262">
        <f t="shared" si="98"/>
        <v>1</v>
      </c>
      <c r="AF262">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42">
        <f t="shared" si="97"/>
        <v>46190</v>
      </c>
      <c r="AE263">
        <f t="shared" si="98"/>
        <v>1</v>
      </c>
      <c r="AF263">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42">
        <f t="shared" si="97"/>
        <v>46199</v>
      </c>
      <c r="AE264">
        <f t="shared" si="98"/>
        <v>1</v>
      </c>
      <c r="AF264">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42">
        <f t="shared" si="97"/>
        <v>46199</v>
      </c>
      <c r="AE265">
        <f t="shared" si="98"/>
        <v>1</v>
      </c>
      <c r="AF265">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42">
        <f t="shared" si="97"/>
        <v>46199</v>
      </c>
      <c r="AE266">
        <f t="shared" si="98"/>
        <v>1</v>
      </c>
      <c r="AF266">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42">
        <f t="shared" si="97"/>
        <v>46199</v>
      </c>
      <c r="AE267">
        <f t="shared" si="98"/>
        <v>1</v>
      </c>
      <c r="AF2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42">
        <f t="shared" si="97"/>
        <v>46199</v>
      </c>
      <c r="AE268">
        <f t="shared" si="98"/>
        <v>1</v>
      </c>
      <c r="AF268">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42">
        <f t="shared" si="97"/>
        <v>46199</v>
      </c>
      <c r="AE269">
        <f t="shared" si="98"/>
        <v>1</v>
      </c>
      <c r="AF269">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42">
        <f t="shared" si="97"/>
        <v>46199</v>
      </c>
      <c r="AE270">
        <f t="shared" si="98"/>
        <v>1</v>
      </c>
      <c r="AF270">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42">
        <f t="shared" si="97"/>
        <v>46199</v>
      </c>
      <c r="AE271">
        <f t="shared" si="98"/>
        <v>1</v>
      </c>
      <c r="AF271">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42">
        <f t="shared" si="97"/>
        <v>46199</v>
      </c>
      <c r="AE272">
        <f t="shared" si="98"/>
        <v>1</v>
      </c>
      <c r="AF272">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42">
        <f t="shared" si="97"/>
        <v>46199</v>
      </c>
      <c r="AE273">
        <f t="shared" si="98"/>
        <v>1</v>
      </c>
      <c r="AF273">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42">
        <f t="shared" si="97"/>
        <v>46199</v>
      </c>
      <c r="AE274">
        <f t="shared" si="98"/>
        <v>1</v>
      </c>
      <c r="AF274">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42">
        <f t="shared" si="97"/>
        <v>46199</v>
      </c>
      <c r="AE275">
        <f t="shared" si="98"/>
        <v>1</v>
      </c>
      <c r="AF275">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42">
        <f t="shared" si="97"/>
        <v>46200</v>
      </c>
      <c r="AE276">
        <f t="shared" si="98"/>
        <v>1</v>
      </c>
      <c r="AF276">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42">
        <f t="shared" si="97"/>
        <v>46199</v>
      </c>
      <c r="AE277">
        <f t="shared" si="98"/>
        <v>1</v>
      </c>
      <c r="AF27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42">
        <f t="shared" si="97"/>
        <v>46202</v>
      </c>
      <c r="AE278">
        <f t="shared" si="98"/>
        <v>1</v>
      </c>
      <c r="AF278">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42">
        <f t="shared" si="97"/>
        <v>46189</v>
      </c>
      <c r="AE279">
        <f t="shared" si="98"/>
        <v>1</v>
      </c>
      <c r="AF279">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42">
        <f t="shared" si="97"/>
        <v>46202</v>
      </c>
      <c r="AE280">
        <f t="shared" si="98"/>
        <v>1</v>
      </c>
      <c r="AF280">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42">
        <f t="shared" si="97"/>
        <v>46189</v>
      </c>
      <c r="AE281">
        <f t="shared" si="98"/>
        <v>1</v>
      </c>
      <c r="AF281">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42">
        <f t="shared" si="97"/>
        <v>46202</v>
      </c>
      <c r="AE282">
        <f t="shared" si="98"/>
        <v>1</v>
      </c>
      <c r="AF282">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42">
        <f t="shared" si="97"/>
        <v>46189</v>
      </c>
      <c r="AE283">
        <f t="shared" si="98"/>
        <v>1</v>
      </c>
      <c r="AF283">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42">
        <f t="shared" si="97"/>
        <v>46202</v>
      </c>
      <c r="AE284">
        <f t="shared" si="98"/>
        <v>1</v>
      </c>
      <c r="AF284">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42">
        <f t="shared" si="97"/>
        <v>46189</v>
      </c>
      <c r="AE285">
        <f t="shared" si="98"/>
        <v>1</v>
      </c>
      <c r="AF285">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42">
        <f t="shared" si="97"/>
        <v>46207</v>
      </c>
      <c r="AE286">
        <f t="shared" si="98"/>
        <v>1</v>
      </c>
      <c r="AF286">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42">
        <f t="shared" si="97"/>
        <v>46207</v>
      </c>
      <c r="AE287">
        <f t="shared" si="98"/>
        <v>1</v>
      </c>
      <c r="AF28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42">
        <f t="shared" si="97"/>
        <v>46207</v>
      </c>
      <c r="AE288">
        <f t="shared" si="98"/>
        <v>1</v>
      </c>
      <c r="AF288">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42">
        <f t="shared" si="97"/>
        <v>46207</v>
      </c>
      <c r="AE289">
        <f t="shared" si="98"/>
        <v>1</v>
      </c>
      <c r="AF289">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42">
        <f t="shared" si="97"/>
        <v>46207</v>
      </c>
      <c r="AE290">
        <f t="shared" si="98"/>
        <v>1</v>
      </c>
      <c r="AF290">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42">
        <f t="shared" si="97"/>
        <v>46202</v>
      </c>
      <c r="AE291">
        <f t="shared" si="98"/>
        <v>1</v>
      </c>
      <c r="AF291">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42">
        <f t="shared" si="97"/>
        <v>46207</v>
      </c>
      <c r="AE292">
        <f t="shared" si="98"/>
        <v>1</v>
      </c>
      <c r="AF292">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42">
        <f t="shared" si="97"/>
        <v>46202</v>
      </c>
      <c r="AE293">
        <f t="shared" si="98"/>
        <v>1</v>
      </c>
      <c r="AF293">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42">
        <f t="shared" si="97"/>
        <v>46207</v>
      </c>
      <c r="AE294">
        <f t="shared" si="98"/>
        <v>1</v>
      </c>
      <c r="AF294">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42">
        <f t="shared" si="97"/>
        <v>46202</v>
      </c>
      <c r="AE295">
        <f t="shared" si="98"/>
        <v>1</v>
      </c>
      <c r="AF295">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42">
        <f t="shared" si="97"/>
        <v>46208</v>
      </c>
      <c r="AE296">
        <f t="shared" si="98"/>
        <v>1</v>
      </c>
      <c r="AF296">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42">
        <f t="shared" si="97"/>
        <v>46208</v>
      </c>
      <c r="AE297">
        <f t="shared" si="98"/>
        <v>1</v>
      </c>
      <c r="AF29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42">
        <f t="shared" si="97"/>
        <v>46208</v>
      </c>
      <c r="AE298">
        <f t="shared" si="98"/>
        <v>1</v>
      </c>
      <c r="AF298">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42">
        <f t="shared" si="97"/>
        <v>46208</v>
      </c>
      <c r="AE299">
        <f t="shared" si="98"/>
        <v>1</v>
      </c>
      <c r="AF299">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42">
        <f t="shared" si="97"/>
        <v>46208</v>
      </c>
      <c r="AE300">
        <f t="shared" si="98"/>
        <v>1</v>
      </c>
      <c r="AF300">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42">
        <f t="shared" si="97"/>
        <v>46208</v>
      </c>
      <c r="AE301">
        <f t="shared" si="98"/>
        <v>1</v>
      </c>
      <c r="AF301">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42">
        <f t="shared" si="97"/>
        <v>46209</v>
      </c>
      <c r="AE302">
        <f t="shared" si="98"/>
        <v>1</v>
      </c>
      <c r="AF302">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42">
        <f t="shared" si="97"/>
        <v>46200</v>
      </c>
      <c r="AE303">
        <f t="shared" si="98"/>
        <v>1</v>
      </c>
      <c r="AF303">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42">
        <f t="shared" si="97"/>
        <v>46209</v>
      </c>
      <c r="AE304">
        <f t="shared" si="98"/>
        <v>1</v>
      </c>
      <c r="AF304">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42">
        <f t="shared" si="97"/>
        <v>46200</v>
      </c>
      <c r="AE305">
        <f t="shared" si="98"/>
        <v>1</v>
      </c>
      <c r="AF305">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42">
        <f t="shared" si="97"/>
        <v>46209</v>
      </c>
      <c r="AE306">
        <f t="shared" si="98"/>
        <v>1</v>
      </c>
      <c r="AF306">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42">
        <f t="shared" si="97"/>
        <v>46200</v>
      </c>
      <c r="AE307">
        <f t="shared" si="98"/>
        <v>1</v>
      </c>
      <c r="AF30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42">
        <f t="shared" si="97"/>
        <v>46209</v>
      </c>
      <c r="AE308">
        <f t="shared" si="98"/>
        <v>1</v>
      </c>
      <c r="AF308">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42">
        <f t="shared" si="97"/>
        <v>46200</v>
      </c>
      <c r="AE309">
        <f t="shared" si="98"/>
        <v>1</v>
      </c>
      <c r="AF309">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42">
        <f t="shared" si="97"/>
        <v>46209</v>
      </c>
      <c r="AE310">
        <f t="shared" si="98"/>
        <v>1</v>
      </c>
      <c r="AF310">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42">
        <f t="shared" si="97"/>
        <v>46200</v>
      </c>
      <c r="AE311">
        <f t="shared" si="98"/>
        <v>1</v>
      </c>
      <c r="AF311">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42">
        <f t="shared" si="97"/>
        <v>46212</v>
      </c>
      <c r="AE312">
        <f t="shared" si="98"/>
        <v>1</v>
      </c>
      <c r="AF312">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42">
        <f t="shared" si="97"/>
        <v>46212</v>
      </c>
      <c r="AE313">
        <f t="shared" si="98"/>
        <v>1</v>
      </c>
      <c r="AF313">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42">
        <f t="shared" si="97"/>
        <v>46212</v>
      </c>
      <c r="AE314">
        <f t="shared" si="98"/>
        <v>1</v>
      </c>
      <c r="AF314">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42">
        <f t="shared" si="97"/>
        <v>46212</v>
      </c>
      <c r="AE315">
        <f t="shared" si="98"/>
        <v>1</v>
      </c>
      <c r="AF315">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42">
        <f t="shared" si="97"/>
        <v>46212</v>
      </c>
      <c r="AE316">
        <f t="shared" si="98"/>
        <v>1</v>
      </c>
      <c r="AF316">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42">
        <f t="shared" si="97"/>
        <v>46212</v>
      </c>
      <c r="AE317">
        <f t="shared" si="98"/>
        <v>1</v>
      </c>
      <c r="AF31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42">
        <f t="shared" si="97"/>
        <v>46212</v>
      </c>
      <c r="AE318">
        <f t="shared" si="98"/>
        <v>1</v>
      </c>
      <c r="AF318">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42">
        <f t="shared" si="97"/>
        <v>46212</v>
      </c>
      <c r="AE319">
        <f t="shared" si="98"/>
        <v>1</v>
      </c>
      <c r="AF319">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42">
        <f t="shared" si="97"/>
        <v>46212</v>
      </c>
      <c r="AE320">
        <f t="shared" si="98"/>
        <v>1</v>
      </c>
      <c r="AF320">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42">
        <f t="shared" si="97"/>
        <v>46212</v>
      </c>
      <c r="AE321">
        <f t="shared" si="98"/>
        <v>1</v>
      </c>
      <c r="AF321">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42">
        <f t="shared" si="97"/>
        <v>46213</v>
      </c>
      <c r="AE322">
        <f t="shared" si="98"/>
        <v>1</v>
      </c>
      <c r="AF322">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42">
        <f t="shared" si="97"/>
        <v>46213</v>
      </c>
      <c r="AE323">
        <f t="shared" si="98"/>
        <v>1</v>
      </c>
      <c r="AF323">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42">
        <f t="shared" ref="AD324:AD387" si="117">IF($D324="",0,SUMPRODUCT(MAX(($D$4:$D$1510=$D324)*($B$4:$B$1510&lt;$B324)*$B$4:$B$1510)))</f>
        <v>46213</v>
      </c>
      <c r="AE324">
        <f t="shared" ref="AE324:AE387" si="118">IF($D324="",0,COUNTIFS($A$4:$A$1510,$A324,$E$4:$E$1510,"Win"))</f>
        <v>1</v>
      </c>
      <c r="AF324">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42">
        <f t="shared" si="117"/>
        <v>46213</v>
      </c>
      <c r="AE325">
        <f t="shared" si="118"/>
        <v>1</v>
      </c>
      <c r="AF325">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42">
        <f t="shared" si="117"/>
        <v>46213</v>
      </c>
      <c r="AE326">
        <f t="shared" si="118"/>
        <v>1</v>
      </c>
      <c r="AF326">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42">
        <f t="shared" si="117"/>
        <v>46213</v>
      </c>
      <c r="AE327">
        <f t="shared" si="118"/>
        <v>1</v>
      </c>
      <c r="AF32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42">
        <f t="shared" si="117"/>
        <v>46188</v>
      </c>
      <c r="AE328">
        <f t="shared" si="118"/>
        <v>1</v>
      </c>
      <c r="AF328">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42">
        <f t="shared" si="117"/>
        <v>46213</v>
      </c>
      <c r="AE329">
        <f t="shared" si="118"/>
        <v>1</v>
      </c>
      <c r="AF329">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42">
        <f t="shared" si="117"/>
        <v>46213</v>
      </c>
      <c r="AE330">
        <f t="shared" si="118"/>
        <v>1</v>
      </c>
      <c r="AF330">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42">
        <f t="shared" si="117"/>
        <v>46213</v>
      </c>
      <c r="AE331">
        <f t="shared" si="118"/>
        <v>1</v>
      </c>
      <c r="AF331">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42">
        <f t="shared" si="117"/>
        <v>46213</v>
      </c>
      <c r="AE332">
        <f t="shared" si="118"/>
        <v>1</v>
      </c>
      <c r="AF332">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42">
        <f t="shared" si="117"/>
        <v>46213</v>
      </c>
      <c r="AE333">
        <f t="shared" si="118"/>
        <v>1</v>
      </c>
      <c r="AF333">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42">
        <f t="shared" si="117"/>
        <v>46213</v>
      </c>
      <c r="AE334">
        <f t="shared" si="118"/>
        <v>1</v>
      </c>
      <c r="AF334">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42">
        <f t="shared" si="117"/>
        <v>46213</v>
      </c>
      <c r="AE335">
        <f t="shared" si="118"/>
        <v>1</v>
      </c>
      <c r="AF335">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42">
        <f t="shared" si="117"/>
        <v>46213</v>
      </c>
      <c r="AE336">
        <f t="shared" si="118"/>
        <v>1</v>
      </c>
      <c r="AF336">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42">
        <f t="shared" si="117"/>
        <v>46188</v>
      </c>
      <c r="AE337">
        <f t="shared" si="118"/>
        <v>1</v>
      </c>
      <c r="AF33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42">
        <f t="shared" si="117"/>
        <v>46188</v>
      </c>
      <c r="AE338">
        <f t="shared" si="118"/>
        <v>1</v>
      </c>
      <c r="AF338">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42">
        <f t="shared" si="117"/>
        <v>46213</v>
      </c>
      <c r="AE339">
        <f t="shared" si="118"/>
        <v>1</v>
      </c>
      <c r="AF339">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42">
        <f t="shared" si="117"/>
        <v>46213</v>
      </c>
      <c r="AE340">
        <f t="shared" si="118"/>
        <v>1</v>
      </c>
      <c r="AF340">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42">
        <f t="shared" si="117"/>
        <v>46213</v>
      </c>
      <c r="AE341">
        <f t="shared" si="118"/>
        <v>1</v>
      </c>
      <c r="AF341">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42">
        <f t="shared" si="117"/>
        <v>46213</v>
      </c>
      <c r="AE342">
        <f t="shared" si="118"/>
        <v>1</v>
      </c>
      <c r="AF342">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42">
        <f t="shared" si="117"/>
        <v>46213</v>
      </c>
      <c r="AE343">
        <f t="shared" si="118"/>
        <v>1</v>
      </c>
      <c r="AF343">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42">
        <f t="shared" si="117"/>
        <v>46213</v>
      </c>
      <c r="AE344">
        <f t="shared" si="118"/>
        <v>1</v>
      </c>
      <c r="AF344">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42">
        <f t="shared" si="117"/>
        <v>46213</v>
      </c>
      <c r="AE345">
        <f t="shared" si="118"/>
        <v>1</v>
      </c>
      <c r="AF345">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42">
        <f t="shared" si="117"/>
        <v>46213</v>
      </c>
      <c r="AE346">
        <f t="shared" si="118"/>
        <v>1</v>
      </c>
      <c r="AF346">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42">
        <f t="shared" si="117"/>
        <v>46189</v>
      </c>
      <c r="AE347">
        <f t="shared" si="118"/>
        <v>1</v>
      </c>
      <c r="AF34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42">
        <f t="shared" si="117"/>
        <v>46208</v>
      </c>
      <c r="AE348">
        <f t="shared" si="118"/>
        <v>1</v>
      </c>
      <c r="AF348">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42">
        <f t="shared" si="117"/>
        <v>46189</v>
      </c>
      <c r="AE349">
        <f t="shared" si="118"/>
        <v>1</v>
      </c>
      <c r="AF349">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42">
        <f t="shared" si="117"/>
        <v>46208</v>
      </c>
      <c r="AE350">
        <f t="shared" si="118"/>
        <v>1</v>
      </c>
      <c r="AF350">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42">
        <f t="shared" si="117"/>
        <v>46189</v>
      </c>
      <c r="AE351">
        <f t="shared" si="118"/>
        <v>1</v>
      </c>
      <c r="AF351">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42">
        <f t="shared" si="117"/>
        <v>46199</v>
      </c>
      <c r="AE352">
        <f t="shared" si="118"/>
        <v>1</v>
      </c>
      <c r="AF352">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42">
        <f t="shared" si="117"/>
        <v>46189</v>
      </c>
      <c r="AE353">
        <f t="shared" si="118"/>
        <v>1</v>
      </c>
      <c r="AF353">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42">
        <f t="shared" si="117"/>
        <v>46199</v>
      </c>
      <c r="AE354">
        <f t="shared" si="118"/>
        <v>1</v>
      </c>
      <c r="AF354">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42">
        <f t="shared" si="117"/>
        <v>46199</v>
      </c>
      <c r="AE355">
        <f t="shared" si="118"/>
        <v>1</v>
      </c>
      <c r="AF355">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42">
        <f t="shared" si="117"/>
        <v>46208</v>
      </c>
      <c r="AE356">
        <f t="shared" si="118"/>
        <v>1</v>
      </c>
      <c r="AF356">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42">
        <f t="shared" si="117"/>
        <v>46208</v>
      </c>
      <c r="AE357">
        <f t="shared" si="118"/>
        <v>1</v>
      </c>
      <c r="AF35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42">
        <f t="shared" si="117"/>
        <v>46199</v>
      </c>
      <c r="AE358">
        <f t="shared" si="118"/>
        <v>1</v>
      </c>
      <c r="AF358">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42">
        <f t="shared" si="117"/>
        <v>46189</v>
      </c>
      <c r="AE359">
        <f t="shared" si="118"/>
        <v>1</v>
      </c>
      <c r="AF359">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42">
        <f t="shared" si="117"/>
        <v>46208</v>
      </c>
      <c r="AE360">
        <f t="shared" si="118"/>
        <v>1</v>
      </c>
      <c r="AF360">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42">
        <f t="shared" si="117"/>
        <v>46199</v>
      </c>
      <c r="AE361">
        <f t="shared" si="118"/>
        <v>1</v>
      </c>
      <c r="AF361">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42">
        <f t="shared" si="117"/>
        <v>46208</v>
      </c>
      <c r="AE362">
        <f t="shared" si="118"/>
        <v>1</v>
      </c>
      <c r="AF362">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42">
        <f t="shared" si="117"/>
        <v>46189</v>
      </c>
      <c r="AE363">
        <f t="shared" si="118"/>
        <v>1</v>
      </c>
      <c r="AF363">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42">
        <f t="shared" si="117"/>
        <v>46214</v>
      </c>
      <c r="AE364">
        <f t="shared" si="118"/>
        <v>1</v>
      </c>
      <c r="AF364">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42">
        <f t="shared" si="117"/>
        <v>46208</v>
      </c>
      <c r="AE365">
        <f t="shared" si="118"/>
        <v>1</v>
      </c>
      <c r="AF365">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42">
        <f t="shared" si="117"/>
        <v>46188</v>
      </c>
      <c r="AE366">
        <f t="shared" si="118"/>
        <v>1</v>
      </c>
      <c r="AF366">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42">
        <f t="shared" si="117"/>
        <v>46188</v>
      </c>
      <c r="AE367">
        <f t="shared" si="118"/>
        <v>1</v>
      </c>
      <c r="AF3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42">
        <f t="shared" si="117"/>
        <v>46215</v>
      </c>
      <c r="AE368">
        <f t="shared" si="118"/>
        <v>1</v>
      </c>
      <c r="AF368">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42">
        <f t="shared" si="117"/>
        <v>46209</v>
      </c>
      <c r="AE369">
        <f t="shared" si="118"/>
        <v>1</v>
      </c>
      <c r="AF369">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42">
        <f t="shared" si="117"/>
        <v>46215</v>
      </c>
      <c r="AE370">
        <f t="shared" si="118"/>
        <v>1</v>
      </c>
      <c r="AF370">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42">
        <f t="shared" si="117"/>
        <v>46209</v>
      </c>
      <c r="AE371">
        <f t="shared" si="118"/>
        <v>1</v>
      </c>
      <c r="AF371">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42">
        <f t="shared" si="117"/>
        <v>46215</v>
      </c>
      <c r="AE372">
        <f t="shared" si="118"/>
        <v>1</v>
      </c>
      <c r="AF372">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42">
        <f t="shared" si="117"/>
        <v>46217</v>
      </c>
      <c r="AE373">
        <f t="shared" si="118"/>
        <v>1</v>
      </c>
      <c r="AF373">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42">
        <f t="shared" si="117"/>
        <v>46215</v>
      </c>
      <c r="AE374">
        <f t="shared" si="118"/>
        <v>1</v>
      </c>
      <c r="AF374">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42">
        <f t="shared" si="117"/>
        <v>46217</v>
      </c>
      <c r="AE375">
        <f t="shared" si="118"/>
        <v>1</v>
      </c>
      <c r="AF375">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42">
        <f t="shared" si="117"/>
        <v>46215</v>
      </c>
      <c r="AE376">
        <f t="shared" si="118"/>
        <v>1</v>
      </c>
      <c r="AF376">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42">
        <f t="shared" si="117"/>
        <v>46217</v>
      </c>
      <c r="AE377">
        <f t="shared" si="118"/>
        <v>1</v>
      </c>
      <c r="AF37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42">
        <f t="shared" si="117"/>
        <v>46215</v>
      </c>
      <c r="AE378">
        <f t="shared" si="118"/>
        <v>1</v>
      </c>
      <c r="AF378">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42">
        <f t="shared" si="117"/>
        <v>46217</v>
      </c>
      <c r="AE379">
        <f t="shared" si="118"/>
        <v>1</v>
      </c>
      <c r="AF379">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42">
        <f t="shared" si="117"/>
        <v>46215</v>
      </c>
      <c r="AE380">
        <f t="shared" si="118"/>
        <v>1</v>
      </c>
      <c r="AF380">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42">
        <f t="shared" si="117"/>
        <v>46214</v>
      </c>
      <c r="AE381">
        <f t="shared" si="118"/>
        <v>1</v>
      </c>
      <c r="AF381">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42">
        <f t="shared" si="117"/>
        <v>46217</v>
      </c>
      <c r="AE382">
        <f t="shared" si="118"/>
        <v>1</v>
      </c>
      <c r="AF382">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42">
        <f t="shared" si="117"/>
        <v>46214</v>
      </c>
      <c r="AE383">
        <f t="shared" si="118"/>
        <v>1</v>
      </c>
      <c r="AF383">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42">
        <f t="shared" si="117"/>
        <v>46217</v>
      </c>
      <c r="AE384">
        <f t="shared" si="118"/>
        <v>1</v>
      </c>
      <c r="AF384">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42">
        <f t="shared" si="117"/>
        <v>46214</v>
      </c>
      <c r="AE385">
        <f t="shared" si="118"/>
        <v>1</v>
      </c>
      <c r="AF385">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42">
        <f t="shared" si="117"/>
        <v>46217</v>
      </c>
      <c r="AE386">
        <f t="shared" si="118"/>
        <v>1</v>
      </c>
      <c r="AF386">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42">
        <f t="shared" si="117"/>
        <v>46219</v>
      </c>
      <c r="AE387">
        <f t="shared" si="118"/>
        <v>1</v>
      </c>
      <c r="AF38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42">
        <f t="shared" ref="AD388:AD451" si="137">IF($D388="",0,SUMPRODUCT(MAX(($D$4:$D$1510=$D388)*($B$4:$B$1510&lt;$B388)*$B$4:$B$1510)))</f>
        <v>46219</v>
      </c>
      <c r="AE388">
        <f t="shared" ref="AE388:AE451" si="138">IF($D388="",0,COUNTIFS($A$4:$A$1510,$A388,$E$4:$E$1510,"Win"))</f>
        <v>1</v>
      </c>
      <c r="AF388">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42">
        <f t="shared" si="137"/>
        <v>46219</v>
      </c>
      <c r="AE389">
        <f t="shared" si="138"/>
        <v>1</v>
      </c>
      <c r="AF389">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42">
        <f t="shared" si="137"/>
        <v>46219</v>
      </c>
      <c r="AE390">
        <f t="shared" si="138"/>
        <v>1</v>
      </c>
      <c r="AF390">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42">
        <f t="shared" si="137"/>
        <v>46219</v>
      </c>
      <c r="AE391">
        <f t="shared" si="138"/>
        <v>1</v>
      </c>
      <c r="AF391">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42">
        <f t="shared" si="137"/>
        <v>46219</v>
      </c>
      <c r="AE392">
        <f t="shared" si="138"/>
        <v>1</v>
      </c>
      <c r="AF392">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42">
        <f t="shared" si="137"/>
        <v>46219</v>
      </c>
      <c r="AE393">
        <f t="shared" si="138"/>
        <v>1</v>
      </c>
      <c r="AF393">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42">
        <f t="shared" si="137"/>
        <v>46219</v>
      </c>
      <c r="AE394">
        <f t="shared" si="138"/>
        <v>1</v>
      </c>
      <c r="AF394">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42">
        <f t="shared" si="137"/>
        <v>46219</v>
      </c>
      <c r="AE395">
        <f t="shared" si="138"/>
        <v>1</v>
      </c>
      <c r="AF395">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42">
        <f t="shared" si="137"/>
        <v>46219</v>
      </c>
      <c r="AE396">
        <f t="shared" si="138"/>
        <v>1</v>
      </c>
      <c r="AF396">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42">
        <f t="shared" si="137"/>
        <v>46219</v>
      </c>
      <c r="AE397">
        <f t="shared" si="138"/>
        <v>1</v>
      </c>
      <c r="AF39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42">
        <f t="shared" si="137"/>
        <v>46219</v>
      </c>
      <c r="AE398">
        <f t="shared" si="138"/>
        <v>1</v>
      </c>
      <c r="AF398">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42">
        <f t="shared" si="137"/>
        <v>46219</v>
      </c>
      <c r="AE399">
        <f t="shared" si="138"/>
        <v>1</v>
      </c>
      <c r="AF399">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42">
        <f t="shared" si="137"/>
        <v>46219</v>
      </c>
      <c r="AE400">
        <f t="shared" si="138"/>
        <v>1</v>
      </c>
      <c r="AF400">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42">
        <f t="shared" si="137"/>
        <v>46219</v>
      </c>
      <c r="AE401">
        <f t="shared" si="138"/>
        <v>1</v>
      </c>
      <c r="AF401">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42">
        <f t="shared" si="137"/>
        <v>46220</v>
      </c>
      <c r="AE402">
        <f t="shared" si="138"/>
        <v>1</v>
      </c>
      <c r="AF402">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42">
        <f t="shared" si="137"/>
        <v>46220</v>
      </c>
      <c r="AE403">
        <f t="shared" si="138"/>
        <v>1</v>
      </c>
      <c r="AF403">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42">
        <f t="shared" si="137"/>
        <v>46220</v>
      </c>
      <c r="AE404">
        <f t="shared" si="138"/>
        <v>1</v>
      </c>
      <c r="AF404">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42">
        <f t="shared" si="137"/>
        <v>46220</v>
      </c>
      <c r="AE405">
        <f t="shared" si="138"/>
        <v>1</v>
      </c>
      <c r="AF405">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42">
        <f t="shared" si="137"/>
        <v>46220</v>
      </c>
      <c r="AE406">
        <f t="shared" si="138"/>
        <v>1</v>
      </c>
      <c r="AF406">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42">
        <f t="shared" si="137"/>
        <v>46220</v>
      </c>
      <c r="AE407">
        <f t="shared" si="138"/>
        <v>1</v>
      </c>
      <c r="AF40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42">
        <f t="shared" si="137"/>
        <v>46220</v>
      </c>
      <c r="AE408">
        <f t="shared" si="138"/>
        <v>1</v>
      </c>
      <c r="AF408">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42">
        <f t="shared" si="137"/>
        <v>46220</v>
      </c>
      <c r="AE409">
        <f t="shared" si="138"/>
        <v>1</v>
      </c>
      <c r="AF409">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42">
        <f t="shared" si="137"/>
        <v>46214</v>
      </c>
      <c r="AE410">
        <f t="shared" si="138"/>
        <v>1</v>
      </c>
      <c r="AF410">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42">
        <f t="shared" si="137"/>
        <v>46214</v>
      </c>
      <c r="AE411">
        <f t="shared" si="138"/>
        <v>1</v>
      </c>
      <c r="AF411">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42">
        <f t="shared" si="137"/>
        <v>46214</v>
      </c>
      <c r="AE412">
        <f t="shared" si="138"/>
        <v>1</v>
      </c>
      <c r="AF412">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42">
        <f t="shared" si="137"/>
        <v>46214</v>
      </c>
      <c r="AE413">
        <f t="shared" si="138"/>
        <v>1</v>
      </c>
      <c r="AF413">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42">
        <f t="shared" si="137"/>
        <v>46214</v>
      </c>
      <c r="AE414">
        <f t="shared" si="138"/>
        <v>1</v>
      </c>
      <c r="AF414">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42">
        <f t="shared" si="137"/>
        <v>46214</v>
      </c>
      <c r="AE415">
        <f t="shared" si="138"/>
        <v>1</v>
      </c>
      <c r="AF415">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42">
        <f t="shared" si="137"/>
        <v>46214</v>
      </c>
      <c r="AE416">
        <f t="shared" si="138"/>
        <v>1</v>
      </c>
      <c r="AF416">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42">
        <f t="shared" si="137"/>
        <v>46188</v>
      </c>
      <c r="AE417">
        <f t="shared" si="138"/>
        <v>1</v>
      </c>
      <c r="AF41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42">
        <f t="shared" si="137"/>
        <v>46214</v>
      </c>
      <c r="AE418">
        <f t="shared" si="138"/>
        <v>1</v>
      </c>
      <c r="AF418">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42">
        <f t="shared" si="137"/>
        <v>46188</v>
      </c>
      <c r="AE419">
        <f t="shared" si="138"/>
        <v>1</v>
      </c>
      <c r="AF419">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42">
        <f t="shared" si="137"/>
        <v>46220</v>
      </c>
      <c r="AE420">
        <f t="shared" si="138"/>
        <v>1</v>
      </c>
      <c r="AF420">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42">
        <f t="shared" si="137"/>
        <v>46222</v>
      </c>
      <c r="AE421">
        <f t="shared" si="138"/>
        <v>1</v>
      </c>
      <c r="AF421">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42">
        <f t="shared" si="137"/>
        <v>46222</v>
      </c>
      <c r="AE422">
        <f t="shared" si="138"/>
        <v>1</v>
      </c>
      <c r="AF422">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42">
        <f t="shared" si="137"/>
        <v>46219</v>
      </c>
      <c r="AE423">
        <f t="shared" si="138"/>
        <v>1</v>
      </c>
      <c r="AF423">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42">
        <f t="shared" si="137"/>
        <v>46215</v>
      </c>
      <c r="AE424">
        <f t="shared" si="138"/>
        <v>1</v>
      </c>
      <c r="AF424">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42">
        <f t="shared" si="137"/>
        <v>46229</v>
      </c>
      <c r="AE425">
        <f t="shared" si="138"/>
        <v>1</v>
      </c>
      <c r="AF425">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42">
        <f t="shared" si="137"/>
        <v>46229</v>
      </c>
      <c r="AE426">
        <f t="shared" si="138"/>
        <v>1</v>
      </c>
      <c r="AF426">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42">
        <f t="shared" si="137"/>
        <v>46229</v>
      </c>
      <c r="AE427">
        <f t="shared" si="138"/>
        <v>1</v>
      </c>
      <c r="AF42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42">
        <f t="shared" si="137"/>
        <v>46229</v>
      </c>
      <c r="AE428">
        <f t="shared" si="138"/>
        <v>1</v>
      </c>
      <c r="AF428">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42">
        <f t="shared" si="137"/>
        <v>46229</v>
      </c>
      <c r="AE429">
        <f t="shared" si="138"/>
        <v>1</v>
      </c>
      <c r="AF429">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42">
        <f t="shared" si="137"/>
        <v>46229</v>
      </c>
      <c r="AE430">
        <f t="shared" si="138"/>
        <v>1</v>
      </c>
      <c r="AF430">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42">
        <f t="shared" si="137"/>
        <v>46229</v>
      </c>
      <c r="AE431">
        <f t="shared" si="138"/>
        <v>1</v>
      </c>
      <c r="AF431">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42">
        <f t="shared" si="137"/>
        <v>46229</v>
      </c>
      <c r="AE432">
        <f t="shared" si="138"/>
        <v>1</v>
      </c>
      <c r="AF432">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42">
        <f t="shared" si="137"/>
        <v>46229</v>
      </c>
      <c r="AE433">
        <f t="shared" si="138"/>
        <v>1</v>
      </c>
      <c r="AF433">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42">
        <f t="shared" si="137"/>
        <v>46229</v>
      </c>
      <c r="AE434">
        <f t="shared" si="138"/>
        <v>1</v>
      </c>
      <c r="AF434">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42">
        <f t="shared" si="137"/>
        <v>46236</v>
      </c>
      <c r="AE435">
        <f t="shared" si="138"/>
        <v>1</v>
      </c>
      <c r="AF435">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42">
        <f t="shared" si="137"/>
        <v>46220</v>
      </c>
      <c r="AE436">
        <f t="shared" si="138"/>
        <v>1</v>
      </c>
      <c r="AF436">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42">
        <f t="shared" si="137"/>
        <v>46236</v>
      </c>
      <c r="AE437">
        <f t="shared" si="138"/>
        <v>1</v>
      </c>
      <c r="AF43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42">
        <f t="shared" si="137"/>
        <v>46236</v>
      </c>
      <c r="AE438">
        <f t="shared" si="138"/>
        <v>1</v>
      </c>
      <c r="AF438">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42">
        <f t="shared" si="137"/>
        <v>46220</v>
      </c>
      <c r="AE439">
        <f t="shared" si="138"/>
        <v>1</v>
      </c>
      <c r="AF439">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42">
        <f t="shared" si="137"/>
        <v>46236</v>
      </c>
      <c r="AE440">
        <f t="shared" si="138"/>
        <v>1</v>
      </c>
      <c r="AF440">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42">
        <f t="shared" si="137"/>
        <v>46236</v>
      </c>
      <c r="AE441">
        <f t="shared" si="138"/>
        <v>1</v>
      </c>
      <c r="AF441">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42">
        <f t="shared" si="137"/>
        <v>46220</v>
      </c>
      <c r="AE442">
        <f t="shared" si="138"/>
        <v>1</v>
      </c>
      <c r="AF442">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42">
        <f t="shared" si="137"/>
        <v>46236</v>
      </c>
      <c r="AE443">
        <f t="shared" si="138"/>
        <v>1</v>
      </c>
      <c r="AF443">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42">
        <f t="shared" si="137"/>
        <v>46236</v>
      </c>
      <c r="AE444">
        <f t="shared" si="138"/>
        <v>1</v>
      </c>
      <c r="AF444">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42">
        <f t="shared" si="137"/>
        <v>46220</v>
      </c>
      <c r="AE445">
        <f t="shared" si="138"/>
        <v>1</v>
      </c>
      <c r="AF445">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42">
        <f t="shared" si="137"/>
        <v>46241</v>
      </c>
      <c r="AE446">
        <f t="shared" si="138"/>
        <v>1</v>
      </c>
      <c r="AF446">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42">
        <f t="shared" si="137"/>
        <v>46241</v>
      </c>
      <c r="AE447">
        <f t="shared" si="138"/>
        <v>1</v>
      </c>
      <c r="AF44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42">
        <f t="shared" si="137"/>
        <v>46229</v>
      </c>
      <c r="AE448">
        <f t="shared" si="138"/>
        <v>1</v>
      </c>
      <c r="AF448">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42">
        <f t="shared" si="137"/>
        <v>46243</v>
      </c>
      <c r="AE449">
        <f t="shared" si="138"/>
        <v>1</v>
      </c>
      <c r="AF449">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42">
        <f t="shared" si="137"/>
        <v>46243</v>
      </c>
      <c r="AE450">
        <f t="shared" si="138"/>
        <v>1</v>
      </c>
      <c r="AF450">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42">
        <f t="shared" si="137"/>
        <v>46229</v>
      </c>
      <c r="AE451">
        <f t="shared" si="138"/>
        <v>1</v>
      </c>
      <c r="AF451">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42">
        <f t="shared" ref="AD452:AD515" si="157">IF($D452="",0,SUMPRODUCT(MAX(($D$4:$D$1510=$D452)*($B$4:$B$1510&lt;$B452)*$B$4:$B$1510)))</f>
        <v>46243</v>
      </c>
      <c r="AE452">
        <f t="shared" ref="AE452:AE515" si="158">IF($D452="",0,COUNTIFS($A$4:$A$1510,$A452,$E$4:$E$1510,"Win"))</f>
        <v>1</v>
      </c>
      <c r="AF452">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42">
        <f t="shared" si="157"/>
        <v>46229</v>
      </c>
      <c r="AE453">
        <f t="shared" si="158"/>
        <v>1</v>
      </c>
      <c r="AF453">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42">
        <f t="shared" si="157"/>
        <v>46243</v>
      </c>
      <c r="AE454">
        <f t="shared" si="158"/>
        <v>1</v>
      </c>
      <c r="AF454">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42">
        <f t="shared" si="157"/>
        <v>46229</v>
      </c>
      <c r="AE455">
        <f t="shared" si="158"/>
        <v>1</v>
      </c>
      <c r="AF455">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42">
        <f t="shared" si="157"/>
        <v>46243</v>
      </c>
      <c r="AE456">
        <f t="shared" si="158"/>
        <v>1</v>
      </c>
      <c r="AF456">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42">
        <f t="shared" si="157"/>
        <v>46229</v>
      </c>
      <c r="AE457">
        <f t="shared" si="158"/>
        <v>1</v>
      </c>
      <c r="AF45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42">
        <f t="shared" si="157"/>
        <v>46243</v>
      </c>
      <c r="AE458">
        <f t="shared" si="158"/>
        <v>1</v>
      </c>
      <c r="AF458">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42">
        <f t="shared" si="157"/>
        <v>46229</v>
      </c>
      <c r="AE459">
        <f t="shared" si="158"/>
        <v>1</v>
      </c>
      <c r="AF459">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42">
        <f t="shared" si="157"/>
        <v>46243</v>
      </c>
      <c r="AE460">
        <f t="shared" si="158"/>
        <v>1</v>
      </c>
      <c r="AF460">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42">
        <f t="shared" si="157"/>
        <v>46229</v>
      </c>
      <c r="AE461">
        <f t="shared" si="158"/>
        <v>1</v>
      </c>
      <c r="AF461">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42">
        <f t="shared" si="157"/>
        <v>46243</v>
      </c>
      <c r="AE462">
        <f t="shared" si="158"/>
        <v>1</v>
      </c>
      <c r="AF462">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42">
        <f t="shared" si="157"/>
        <v>46229</v>
      </c>
      <c r="AE463">
        <f t="shared" si="158"/>
        <v>1</v>
      </c>
      <c r="AF463">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42">
        <f t="shared" si="157"/>
        <v>46243</v>
      </c>
      <c r="AE464">
        <f t="shared" si="158"/>
        <v>1</v>
      </c>
      <c r="AF464">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42">
        <f t="shared" si="157"/>
        <v>46229</v>
      </c>
      <c r="AE465">
        <f t="shared" si="158"/>
        <v>1</v>
      </c>
      <c r="AF465">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42">
        <f t="shared" si="157"/>
        <v>46243</v>
      </c>
      <c r="AE466">
        <f t="shared" si="158"/>
        <v>1</v>
      </c>
      <c r="AF466">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42">
        <f t="shared" si="157"/>
        <v>46229</v>
      </c>
      <c r="AE467">
        <f t="shared" si="158"/>
        <v>1</v>
      </c>
      <c r="AF4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42">
        <f t="shared" si="157"/>
        <v>46243</v>
      </c>
      <c r="AE468">
        <f t="shared" si="158"/>
        <v>1</v>
      </c>
      <c r="AF468">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42">
        <f t="shared" si="157"/>
        <v>46241</v>
      </c>
      <c r="AE469">
        <f t="shared" si="158"/>
        <v>1</v>
      </c>
      <c r="AF469">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42">
        <f t="shared" si="157"/>
        <v>46247</v>
      </c>
      <c r="AE470">
        <f t="shared" si="158"/>
        <v>1</v>
      </c>
      <c r="AF470">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42">
        <f t="shared" si="157"/>
        <v>46222</v>
      </c>
      <c r="AE471">
        <f t="shared" si="158"/>
        <v>1</v>
      </c>
      <c r="AF471">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42">
        <f t="shared" si="157"/>
        <v>46222</v>
      </c>
      <c r="AE472">
        <f t="shared" si="158"/>
        <v>1</v>
      </c>
      <c r="AF472">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42">
        <f t="shared" si="157"/>
        <v>46247</v>
      </c>
      <c r="AE473">
        <f t="shared" si="158"/>
        <v>1</v>
      </c>
      <c r="AF473">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42">
        <f t="shared" si="157"/>
        <v>46222</v>
      </c>
      <c r="AE474">
        <f t="shared" si="158"/>
        <v>1</v>
      </c>
      <c r="AF474">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42">
        <f t="shared" si="157"/>
        <v>46247</v>
      </c>
      <c r="AE475">
        <f t="shared" si="158"/>
        <v>1</v>
      </c>
      <c r="AF475">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42">
        <f t="shared" si="157"/>
        <v>46222</v>
      </c>
      <c r="AE476">
        <f t="shared" si="158"/>
        <v>1</v>
      </c>
      <c r="AF476">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42">
        <f t="shared" si="157"/>
        <v>46222</v>
      </c>
      <c r="AE477">
        <f t="shared" si="158"/>
        <v>1</v>
      </c>
      <c r="AF47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42">
        <f t="shared" si="157"/>
        <v>46247</v>
      </c>
      <c r="AE478">
        <f t="shared" si="158"/>
        <v>1</v>
      </c>
      <c r="AF478">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42">
        <f t="shared" si="157"/>
        <v>46222</v>
      </c>
      <c r="AE479">
        <f t="shared" si="158"/>
        <v>1</v>
      </c>
      <c r="AF479">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42">
        <f t="shared" si="157"/>
        <v>46222</v>
      </c>
      <c r="AE480">
        <f t="shared" si="158"/>
        <v>1</v>
      </c>
      <c r="AF480">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42">
        <f t="shared" si="157"/>
        <v>46247</v>
      </c>
      <c r="AE481">
        <f t="shared" si="158"/>
        <v>1</v>
      </c>
      <c r="AF481">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42">
        <f t="shared" si="157"/>
        <v>46222</v>
      </c>
      <c r="AE482">
        <f t="shared" si="158"/>
        <v>1</v>
      </c>
      <c r="AF482">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42">
        <f t="shared" si="157"/>
        <v>46222</v>
      </c>
      <c r="AE483">
        <f t="shared" si="158"/>
        <v>1</v>
      </c>
      <c r="AF483">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42">
        <f t="shared" si="157"/>
        <v>46247</v>
      </c>
      <c r="AE484">
        <f t="shared" si="158"/>
        <v>1</v>
      </c>
      <c r="AF484">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42">
        <f t="shared" si="157"/>
        <v>46222</v>
      </c>
      <c r="AE485">
        <f t="shared" si="158"/>
        <v>1</v>
      </c>
      <c r="AF485">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42">
        <f t="shared" si="157"/>
        <v>46222</v>
      </c>
      <c r="AE486">
        <f t="shared" si="158"/>
        <v>1</v>
      </c>
      <c r="AF486">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42">
        <f t="shared" si="157"/>
        <v>46247</v>
      </c>
      <c r="AE487">
        <f t="shared" si="158"/>
        <v>1</v>
      </c>
      <c r="AF48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42">
        <f t="shared" si="157"/>
        <v>46249</v>
      </c>
      <c r="AE488">
        <f t="shared" si="158"/>
        <v>1</v>
      </c>
      <c r="AF488">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42">
        <f t="shared" si="157"/>
        <v>46247</v>
      </c>
      <c r="AE489">
        <f t="shared" si="158"/>
        <v>1</v>
      </c>
      <c r="AF489">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42">
        <f t="shared" si="157"/>
        <v>46249</v>
      </c>
      <c r="AE490">
        <f t="shared" si="158"/>
        <v>1</v>
      </c>
      <c r="AF490">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42">
        <f t="shared" si="157"/>
        <v>46247</v>
      </c>
      <c r="AE491">
        <f t="shared" si="158"/>
        <v>1</v>
      </c>
      <c r="AF491">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42">
        <f t="shared" si="157"/>
        <v>46249</v>
      </c>
      <c r="AE492">
        <f t="shared" si="158"/>
        <v>1</v>
      </c>
      <c r="AF492">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42">
        <f t="shared" si="157"/>
        <v>46247</v>
      </c>
      <c r="AE493">
        <f t="shared" si="158"/>
        <v>1</v>
      </c>
      <c r="AF493">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42">
        <f t="shared" si="157"/>
        <v>46249</v>
      </c>
      <c r="AE494">
        <f t="shared" si="158"/>
        <v>1</v>
      </c>
      <c r="AF494">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42">
        <f t="shared" si="157"/>
        <v>46247</v>
      </c>
      <c r="AE495">
        <f t="shared" si="158"/>
        <v>1</v>
      </c>
      <c r="AF495">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42">
        <f t="shared" si="157"/>
        <v>46249</v>
      </c>
      <c r="AE496">
        <f t="shared" si="158"/>
        <v>1</v>
      </c>
      <c r="AF496">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42">
        <f t="shared" si="157"/>
        <v>46247</v>
      </c>
      <c r="AE497">
        <f t="shared" si="158"/>
        <v>1</v>
      </c>
      <c r="AF49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42">
        <f t="shared" si="157"/>
        <v>46249</v>
      </c>
      <c r="AE498">
        <f t="shared" si="158"/>
        <v>1</v>
      </c>
      <c r="AF498">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42">
        <f t="shared" si="157"/>
        <v>46247</v>
      </c>
      <c r="AE499">
        <f t="shared" si="158"/>
        <v>1</v>
      </c>
      <c r="AF499">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42">
        <f t="shared" si="157"/>
        <v>46249</v>
      </c>
      <c r="AE500">
        <f t="shared" si="158"/>
        <v>1</v>
      </c>
      <c r="AF500">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42">
        <f t="shared" si="157"/>
        <v>46247</v>
      </c>
      <c r="AE501">
        <f t="shared" si="158"/>
        <v>1</v>
      </c>
      <c r="AF501">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42">
        <f t="shared" si="157"/>
        <v>46249</v>
      </c>
      <c r="AE502">
        <f t="shared" si="158"/>
        <v>1</v>
      </c>
      <c r="AF502">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42">
        <f t="shared" si="157"/>
        <v>46247</v>
      </c>
      <c r="AE503">
        <f t="shared" si="158"/>
        <v>1</v>
      </c>
      <c r="AF503">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42">
        <f t="shared" si="157"/>
        <v>46249</v>
      </c>
      <c r="AE504">
        <f t="shared" si="158"/>
        <v>1</v>
      </c>
      <c r="AF504">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42">
        <f t="shared" si="157"/>
        <v>46247</v>
      </c>
      <c r="AE505">
        <f t="shared" si="158"/>
        <v>1</v>
      </c>
      <c r="AF505">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42">
        <f t="shared" si="157"/>
        <v>46249</v>
      </c>
      <c r="AE506">
        <f t="shared" si="158"/>
        <v>1</v>
      </c>
      <c r="AF506">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42">
        <f t="shared" si="157"/>
        <v>46247</v>
      </c>
      <c r="AE507">
        <f t="shared" si="158"/>
        <v>1</v>
      </c>
      <c r="AF50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42">
        <f t="shared" si="157"/>
        <v>46249</v>
      </c>
      <c r="AE508">
        <f t="shared" si="158"/>
        <v>1</v>
      </c>
      <c r="AF508">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42">
        <f t="shared" si="157"/>
        <v>46247</v>
      </c>
      <c r="AE509">
        <f t="shared" si="158"/>
        <v>1</v>
      </c>
      <c r="AF509">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42">
        <f t="shared" si="157"/>
        <v>46249</v>
      </c>
      <c r="AE510">
        <f t="shared" si="158"/>
        <v>1</v>
      </c>
      <c r="AF510">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42">
        <f t="shared" si="157"/>
        <v>46247</v>
      </c>
      <c r="AE511">
        <f t="shared" si="158"/>
        <v>1</v>
      </c>
      <c r="AF511">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42">
        <f t="shared" si="157"/>
        <v>46229</v>
      </c>
      <c r="AE512">
        <f t="shared" si="158"/>
        <v>1</v>
      </c>
      <c r="AF512">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42">
        <f t="shared" si="157"/>
        <v>46247</v>
      </c>
      <c r="AE513">
        <f t="shared" si="158"/>
        <v>1</v>
      </c>
      <c r="AF513">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42">
        <f t="shared" si="157"/>
        <v>46229</v>
      </c>
      <c r="AE514">
        <f t="shared" si="158"/>
        <v>1</v>
      </c>
      <c r="AF514">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42">
        <f t="shared" si="157"/>
        <v>46247</v>
      </c>
      <c r="AE515">
        <f t="shared" si="158"/>
        <v>1</v>
      </c>
      <c r="AF515">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42">
        <f t="shared" ref="AD516:AD579" si="177">IF($D516="",0,SUMPRODUCT(MAX(($D$4:$D$1510=$D516)*($B$4:$B$1510&lt;$B516)*$B$4:$B$1510)))</f>
        <v>46229</v>
      </c>
      <c r="AE516">
        <f t="shared" ref="AE516:AE579" si="178">IF($D516="",0,COUNTIFS($A$4:$A$1510,$A516,$E$4:$E$1510,"Win"))</f>
        <v>1</v>
      </c>
      <c r="AF516">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42">
        <f t="shared" si="177"/>
        <v>46247</v>
      </c>
      <c r="AE517">
        <f t="shared" si="178"/>
        <v>1</v>
      </c>
      <c r="AF51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42">
        <f t="shared" si="177"/>
        <v>46229</v>
      </c>
      <c r="AE518">
        <f t="shared" si="178"/>
        <v>1</v>
      </c>
      <c r="AF518">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42">
        <f t="shared" si="177"/>
        <v>46247</v>
      </c>
      <c r="AE519">
        <f t="shared" si="178"/>
        <v>1</v>
      </c>
      <c r="AF519">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42">
        <f t="shared" si="177"/>
        <v>46229</v>
      </c>
      <c r="AE520">
        <f t="shared" si="178"/>
        <v>1</v>
      </c>
      <c r="AF520">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42">
        <f t="shared" si="177"/>
        <v>46215</v>
      </c>
      <c r="AE521">
        <f t="shared" si="178"/>
        <v>1</v>
      </c>
      <c r="AF521">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42">
        <f t="shared" si="177"/>
        <v>46229</v>
      </c>
      <c r="AE522">
        <f t="shared" si="178"/>
        <v>1</v>
      </c>
      <c r="AF522">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42">
        <f t="shared" si="177"/>
        <v>46253</v>
      </c>
      <c r="AE523">
        <f t="shared" si="178"/>
        <v>1</v>
      </c>
      <c r="AF523">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42">
        <f t="shared" si="177"/>
        <v>46247</v>
      </c>
      <c r="AE524">
        <f t="shared" si="178"/>
        <v>1</v>
      </c>
      <c r="AF524">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42">
        <f t="shared" si="177"/>
        <v>46229</v>
      </c>
      <c r="AE525">
        <f t="shared" si="178"/>
        <v>1</v>
      </c>
      <c r="AF525">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42">
        <f t="shared" si="177"/>
        <v>46215</v>
      </c>
      <c r="AE526">
        <f t="shared" si="178"/>
        <v>1</v>
      </c>
      <c r="AF526">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42">
        <f t="shared" si="177"/>
        <v>46229</v>
      </c>
      <c r="AE527">
        <f t="shared" si="178"/>
        <v>1</v>
      </c>
      <c r="AF52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42">
        <f t="shared" si="177"/>
        <v>46253</v>
      </c>
      <c r="AE528">
        <f t="shared" si="178"/>
        <v>1</v>
      </c>
      <c r="AF528">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42">
        <f t="shared" si="177"/>
        <v>46247</v>
      </c>
      <c r="AE529">
        <f t="shared" si="178"/>
        <v>1</v>
      </c>
      <c r="AF529">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42">
        <f t="shared" si="177"/>
        <v>46229</v>
      </c>
      <c r="AE530">
        <f t="shared" si="178"/>
        <v>1</v>
      </c>
      <c r="AF530">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42">
        <f t="shared" si="177"/>
        <v>46253</v>
      </c>
      <c r="AE531">
        <f t="shared" si="178"/>
        <v>1</v>
      </c>
      <c r="AF531">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42">
        <f t="shared" si="177"/>
        <v>46215</v>
      </c>
      <c r="AE532">
        <f t="shared" si="178"/>
        <v>1</v>
      </c>
      <c r="AF532">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42">
        <f t="shared" si="177"/>
        <v>46247</v>
      </c>
      <c r="AE533">
        <f t="shared" si="178"/>
        <v>1</v>
      </c>
      <c r="AF533">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42">
        <f t="shared" si="177"/>
        <v>46229</v>
      </c>
      <c r="AE534">
        <f t="shared" si="178"/>
        <v>1</v>
      </c>
      <c r="AF534">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42">
        <f t="shared" si="177"/>
        <v>46253</v>
      </c>
      <c r="AE535">
        <f t="shared" si="178"/>
        <v>1</v>
      </c>
      <c r="AF535">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42">
        <f t="shared" si="177"/>
        <v>46215</v>
      </c>
      <c r="AE536">
        <f t="shared" si="178"/>
        <v>1</v>
      </c>
      <c r="AF536">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42">
        <f t="shared" si="177"/>
        <v>46229</v>
      </c>
      <c r="AE537">
        <f t="shared" si="178"/>
        <v>1</v>
      </c>
      <c r="AF53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42">
        <f t="shared" si="177"/>
        <v>46214</v>
      </c>
      <c r="AE538">
        <f t="shared" si="178"/>
        <v>1</v>
      </c>
      <c r="AF538">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42">
        <f t="shared" si="177"/>
        <v>46229</v>
      </c>
      <c r="AE539">
        <f t="shared" si="178"/>
        <v>1</v>
      </c>
      <c r="AF539">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42">
        <f t="shared" si="177"/>
        <v>46253</v>
      </c>
      <c r="AE540">
        <f t="shared" si="178"/>
        <v>1</v>
      </c>
      <c r="AF540">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42">
        <f t="shared" si="177"/>
        <v>46229</v>
      </c>
      <c r="AE541">
        <f t="shared" si="178"/>
        <v>1</v>
      </c>
      <c r="AF541">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42">
        <f t="shared" si="177"/>
        <v>46215</v>
      </c>
      <c r="AE542">
        <f t="shared" si="178"/>
        <v>1</v>
      </c>
      <c r="AF542">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42">
        <f t="shared" si="177"/>
        <v>46229</v>
      </c>
      <c r="AE543">
        <f t="shared" si="178"/>
        <v>1</v>
      </c>
      <c r="AF543">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42">
        <f t="shared" si="177"/>
        <v>46229</v>
      </c>
      <c r="AE544">
        <f t="shared" si="178"/>
        <v>1</v>
      </c>
      <c r="AF544">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42">
        <f t="shared" si="177"/>
        <v>46229</v>
      </c>
      <c r="AE545">
        <f t="shared" si="178"/>
        <v>1</v>
      </c>
      <c r="AF545">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42">
        <f t="shared" si="177"/>
        <v>46253</v>
      </c>
      <c r="AE546">
        <f t="shared" si="178"/>
        <v>1</v>
      </c>
      <c r="AF546">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42">
        <f t="shared" si="177"/>
        <v>46253</v>
      </c>
      <c r="AE547">
        <f t="shared" si="178"/>
        <v>1</v>
      </c>
      <c r="AF54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42">
        <f t="shared" si="177"/>
        <v>46214</v>
      </c>
      <c r="AE548">
        <f t="shared" si="178"/>
        <v>1</v>
      </c>
      <c r="AF548">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42">
        <f t="shared" si="177"/>
        <v>46253</v>
      </c>
      <c r="AE549">
        <f t="shared" si="178"/>
        <v>1</v>
      </c>
      <c r="AF549">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42">
        <f t="shared" si="177"/>
        <v>46215</v>
      </c>
      <c r="AE550">
        <f t="shared" si="178"/>
        <v>1</v>
      </c>
      <c r="AF550">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42">
        <f t="shared" si="177"/>
        <v>46229</v>
      </c>
      <c r="AE551">
        <f t="shared" si="178"/>
        <v>1</v>
      </c>
      <c r="AF551">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42">
        <f t="shared" si="177"/>
        <v>46214</v>
      </c>
      <c r="AE552">
        <f t="shared" si="178"/>
        <v>1</v>
      </c>
      <c r="AF552">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42">
        <f t="shared" si="177"/>
        <v>46215</v>
      </c>
      <c r="AE553">
        <f t="shared" si="178"/>
        <v>1</v>
      </c>
      <c r="AF553">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42">
        <f t="shared" si="177"/>
        <v>46214</v>
      </c>
      <c r="AE554">
        <f t="shared" si="178"/>
        <v>1</v>
      </c>
      <c r="AF554">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42">
        <f t="shared" si="177"/>
        <v>46229</v>
      </c>
      <c r="AE555">
        <f t="shared" si="178"/>
        <v>1</v>
      </c>
      <c r="AF555">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42">
        <f t="shared" si="177"/>
        <v>46247</v>
      </c>
      <c r="AE556">
        <f t="shared" si="178"/>
        <v>1</v>
      </c>
      <c r="AF556">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42">
        <f t="shared" si="177"/>
        <v>46229</v>
      </c>
      <c r="AE557">
        <f t="shared" si="178"/>
        <v>1</v>
      </c>
      <c r="AF55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42">
        <f t="shared" si="177"/>
        <v>46247</v>
      </c>
      <c r="AE558">
        <f t="shared" si="178"/>
        <v>1</v>
      </c>
      <c r="AF558">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42">
        <f t="shared" si="177"/>
        <v>46253</v>
      </c>
      <c r="AE559">
        <f t="shared" si="178"/>
        <v>1</v>
      </c>
      <c r="AF559">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42">
        <f t="shared" si="177"/>
        <v>46229</v>
      </c>
      <c r="AE560">
        <f t="shared" si="178"/>
        <v>1</v>
      </c>
      <c r="AF560">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42">
        <f t="shared" si="177"/>
        <v>46253</v>
      </c>
      <c r="AE561">
        <f t="shared" si="178"/>
        <v>1</v>
      </c>
      <c r="AF561">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42">
        <f t="shared" si="177"/>
        <v>46214</v>
      </c>
      <c r="AE562">
        <f t="shared" si="178"/>
        <v>1</v>
      </c>
      <c r="AF562">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42">
        <f t="shared" si="177"/>
        <v>46215</v>
      </c>
      <c r="AE563">
        <f t="shared" si="178"/>
        <v>1</v>
      </c>
      <c r="AF563">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42">
        <f t="shared" si="177"/>
        <v>46255</v>
      </c>
      <c r="AE564">
        <f t="shared" si="178"/>
        <v>1</v>
      </c>
      <c r="AF564">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42">
        <f t="shared" si="177"/>
        <v>46255</v>
      </c>
      <c r="AE565">
        <f t="shared" si="178"/>
        <v>1</v>
      </c>
      <c r="AF565">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42">
        <f t="shared" si="177"/>
        <v>46255</v>
      </c>
      <c r="AE566">
        <f t="shared" si="178"/>
        <v>1</v>
      </c>
      <c r="AF566">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42">
        <f t="shared" si="177"/>
        <v>46255</v>
      </c>
      <c r="AE567">
        <f t="shared" si="178"/>
        <v>1</v>
      </c>
      <c r="AF5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42">
        <f t="shared" si="177"/>
        <v>46255</v>
      </c>
      <c r="AE568">
        <f t="shared" si="178"/>
        <v>1</v>
      </c>
      <c r="AF568">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42">
        <f t="shared" si="177"/>
        <v>46243</v>
      </c>
      <c r="AE569">
        <f t="shared" si="178"/>
        <v>1</v>
      </c>
      <c r="AF569">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42">
        <f t="shared" si="177"/>
        <v>46255</v>
      </c>
      <c r="AE570">
        <f t="shared" si="178"/>
        <v>1</v>
      </c>
      <c r="AF570">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42">
        <f t="shared" si="177"/>
        <v>46243</v>
      </c>
      <c r="AE571">
        <f t="shared" si="178"/>
        <v>1</v>
      </c>
      <c r="AF571">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42">
        <f t="shared" si="177"/>
        <v>46255</v>
      </c>
      <c r="AE572">
        <f t="shared" si="178"/>
        <v>1</v>
      </c>
      <c r="AF572">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42">
        <f t="shared" si="177"/>
        <v>46255</v>
      </c>
      <c r="AE573">
        <f t="shared" si="178"/>
        <v>1</v>
      </c>
      <c r="AF573">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42">
        <f t="shared" si="177"/>
        <v>46255</v>
      </c>
      <c r="AE574">
        <f t="shared" si="178"/>
        <v>1</v>
      </c>
      <c r="AF574">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42">
        <f t="shared" si="177"/>
        <v>46255</v>
      </c>
      <c r="AE575">
        <f t="shared" si="178"/>
        <v>1</v>
      </c>
      <c r="AF575">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42">
        <f t="shared" si="177"/>
        <v>46255</v>
      </c>
      <c r="AE576">
        <f t="shared" si="178"/>
        <v>1</v>
      </c>
      <c r="AF576">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42">
        <f t="shared" si="177"/>
        <v>46243</v>
      </c>
      <c r="AE577">
        <f t="shared" si="178"/>
        <v>1</v>
      </c>
      <c r="AF57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42">
        <f t="shared" si="177"/>
        <v>46255</v>
      </c>
      <c r="AE578">
        <f t="shared" si="178"/>
        <v>1</v>
      </c>
      <c r="AF578">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42">
        <f t="shared" si="177"/>
        <v>46255</v>
      </c>
      <c r="AE579">
        <f t="shared" si="178"/>
        <v>1</v>
      </c>
      <c r="AF579">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42">
        <f t="shared" ref="AD580:AD643" si="197">IF($D580="",0,SUMPRODUCT(MAX(($D$4:$D$1510=$D580)*($B$4:$B$1510&lt;$B580)*$B$4:$B$1510)))</f>
        <v>46243</v>
      </c>
      <c r="AE580">
        <f t="shared" ref="AE580:AE643" si="198">IF($D580="",0,COUNTIFS($A$4:$A$1510,$A580,$E$4:$E$1510,"Win"))</f>
        <v>1</v>
      </c>
      <c r="AF580">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42">
        <f t="shared" si="197"/>
        <v>46255</v>
      </c>
      <c r="AE581">
        <f t="shared" si="198"/>
        <v>1</v>
      </c>
      <c r="AF581">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42">
        <f t="shared" si="197"/>
        <v>46255</v>
      </c>
      <c r="AE582">
        <f t="shared" si="198"/>
        <v>1</v>
      </c>
      <c r="AF582">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42">
        <f t="shared" si="197"/>
        <v>46255</v>
      </c>
      <c r="AE583">
        <f t="shared" si="198"/>
        <v>1</v>
      </c>
      <c r="AF583">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42">
        <f t="shared" si="197"/>
        <v>46255</v>
      </c>
      <c r="AE584">
        <f t="shared" si="198"/>
        <v>1</v>
      </c>
      <c r="AF584">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42">
        <f t="shared" si="197"/>
        <v>46243</v>
      </c>
      <c r="AE585">
        <f t="shared" si="198"/>
        <v>1</v>
      </c>
      <c r="AF585">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42">
        <f t="shared" si="197"/>
        <v>46220</v>
      </c>
      <c r="AE586">
        <f t="shared" si="198"/>
        <v>1</v>
      </c>
      <c r="AF586">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42">
        <f t="shared" si="197"/>
        <v>46255</v>
      </c>
      <c r="AE587">
        <f t="shared" si="198"/>
        <v>1</v>
      </c>
      <c r="AF58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42">
        <f t="shared" si="197"/>
        <v>46255</v>
      </c>
      <c r="AE588">
        <f t="shared" si="198"/>
        <v>1</v>
      </c>
      <c r="AF588">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42">
        <f t="shared" si="197"/>
        <v>46255</v>
      </c>
      <c r="AE589">
        <f t="shared" si="198"/>
        <v>1</v>
      </c>
      <c r="AF589">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42">
        <f t="shared" si="197"/>
        <v>46255</v>
      </c>
      <c r="AE590">
        <f t="shared" si="198"/>
        <v>1</v>
      </c>
      <c r="AF590">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42">
        <f t="shared" si="197"/>
        <v>46255</v>
      </c>
      <c r="AE591">
        <f t="shared" si="198"/>
        <v>1</v>
      </c>
      <c r="AF591">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42">
        <f t="shared" si="197"/>
        <v>46255</v>
      </c>
      <c r="AE592">
        <f t="shared" si="198"/>
        <v>1</v>
      </c>
      <c r="AF592">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42">
        <f t="shared" si="197"/>
        <v>46255</v>
      </c>
      <c r="AE593">
        <f t="shared" si="198"/>
        <v>1</v>
      </c>
      <c r="AF593">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42">
        <f t="shared" si="197"/>
        <v>46255</v>
      </c>
      <c r="AE594">
        <f t="shared" si="198"/>
        <v>1</v>
      </c>
      <c r="AF594">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42">
        <f t="shared" si="197"/>
        <v>46255</v>
      </c>
      <c r="AE595">
        <f t="shared" si="198"/>
        <v>1</v>
      </c>
      <c r="AF595">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42">
        <f t="shared" si="197"/>
        <v>46255</v>
      </c>
      <c r="AE596">
        <f t="shared" si="198"/>
        <v>1</v>
      </c>
      <c r="AF596">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42">
        <f t="shared" si="197"/>
        <v>46255</v>
      </c>
      <c r="AE597">
        <f t="shared" si="198"/>
        <v>1</v>
      </c>
      <c r="AF59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42">
        <f t="shared" si="197"/>
        <v>46255</v>
      </c>
      <c r="AE598">
        <f t="shared" si="198"/>
        <v>1</v>
      </c>
      <c r="AF598">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42">
        <f t="shared" si="197"/>
        <v>46220</v>
      </c>
      <c r="AE599">
        <f t="shared" si="198"/>
        <v>1</v>
      </c>
      <c r="AF599">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42">
        <f t="shared" si="197"/>
        <v>46255</v>
      </c>
      <c r="AE600">
        <f t="shared" si="198"/>
        <v>1</v>
      </c>
      <c r="AF600">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42">
        <f t="shared" si="197"/>
        <v>46255</v>
      </c>
      <c r="AE601">
        <f t="shared" si="198"/>
        <v>1</v>
      </c>
      <c r="AF601">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42">
        <f t="shared" si="197"/>
        <v>46255</v>
      </c>
      <c r="AE602">
        <f t="shared" si="198"/>
        <v>1</v>
      </c>
      <c r="AF602">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42">
        <f t="shared" si="197"/>
        <v>46220</v>
      </c>
      <c r="AE603">
        <f t="shared" si="198"/>
        <v>1</v>
      </c>
      <c r="AF603">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42">
        <f t="shared" si="197"/>
        <v>46255</v>
      </c>
      <c r="AE604">
        <f t="shared" si="198"/>
        <v>1</v>
      </c>
      <c r="AF604">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42">
        <f t="shared" si="197"/>
        <v>46255</v>
      </c>
      <c r="AE605">
        <f t="shared" si="198"/>
        <v>1</v>
      </c>
      <c r="AF605">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42">
        <f t="shared" si="197"/>
        <v>46255</v>
      </c>
      <c r="AE606">
        <f t="shared" si="198"/>
        <v>1</v>
      </c>
      <c r="AF606">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42">
        <f t="shared" si="197"/>
        <v>46255</v>
      </c>
      <c r="AE607">
        <f t="shared" si="198"/>
        <v>1</v>
      </c>
      <c r="AF60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42">
        <f t="shared" si="197"/>
        <v>46255</v>
      </c>
      <c r="AE608">
        <f t="shared" si="198"/>
        <v>1</v>
      </c>
      <c r="AF608">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42">
        <f t="shared" si="197"/>
        <v>46255</v>
      </c>
      <c r="AE609">
        <f t="shared" si="198"/>
        <v>1</v>
      </c>
      <c r="AF609">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42">
        <f t="shared" si="197"/>
        <v>46255</v>
      </c>
      <c r="AE610">
        <f t="shared" si="198"/>
        <v>1</v>
      </c>
      <c r="AF610">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42">
        <f t="shared" si="197"/>
        <v>46255</v>
      </c>
      <c r="AE611">
        <f t="shared" si="198"/>
        <v>1</v>
      </c>
      <c r="AF611">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42">
        <f t="shared" si="197"/>
        <v>46255</v>
      </c>
      <c r="AE612">
        <f t="shared" si="198"/>
        <v>1</v>
      </c>
      <c r="AF612">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42">
        <f t="shared" si="197"/>
        <v>46255</v>
      </c>
      <c r="AE613">
        <f t="shared" si="198"/>
        <v>1</v>
      </c>
      <c r="AF613">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42">
        <f t="shared" si="197"/>
        <v>46255</v>
      </c>
      <c r="AE614">
        <f t="shared" si="198"/>
        <v>1</v>
      </c>
      <c r="AF614">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42">
        <f t="shared" si="197"/>
        <v>46255</v>
      </c>
      <c r="AE615">
        <f t="shared" si="198"/>
        <v>1</v>
      </c>
      <c r="AF615">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42">
        <f t="shared" si="197"/>
        <v>46255</v>
      </c>
      <c r="AE616">
        <f t="shared" si="198"/>
        <v>1</v>
      </c>
      <c r="AF616">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42">
        <f t="shared" si="197"/>
        <v>46255</v>
      </c>
      <c r="AE617">
        <f t="shared" si="198"/>
        <v>1</v>
      </c>
      <c r="AF61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42">
        <f t="shared" si="197"/>
        <v>46255</v>
      </c>
      <c r="AE618">
        <f t="shared" si="198"/>
        <v>1</v>
      </c>
      <c r="AF618">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42">
        <f t="shared" si="197"/>
        <v>46243</v>
      </c>
      <c r="AE619">
        <f t="shared" si="198"/>
        <v>1</v>
      </c>
      <c r="AF619">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42">
        <f t="shared" si="197"/>
        <v>46255</v>
      </c>
      <c r="AE620">
        <f t="shared" si="198"/>
        <v>1</v>
      </c>
      <c r="AF620">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42">
        <f t="shared" si="197"/>
        <v>46255</v>
      </c>
      <c r="AE621">
        <f t="shared" si="198"/>
        <v>1</v>
      </c>
      <c r="AF621">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42">
        <f t="shared" si="197"/>
        <v>46255</v>
      </c>
      <c r="AE622">
        <f t="shared" si="198"/>
        <v>1</v>
      </c>
      <c r="AF622">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42">
        <f t="shared" si="197"/>
        <v>46255</v>
      </c>
      <c r="AE623">
        <f t="shared" si="198"/>
        <v>1</v>
      </c>
      <c r="AF623">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42">
        <f t="shared" si="197"/>
        <v>46255</v>
      </c>
      <c r="AE624">
        <f t="shared" si="198"/>
        <v>1</v>
      </c>
      <c r="AF624">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42">
        <f t="shared" si="197"/>
        <v>46243</v>
      </c>
      <c r="AE625">
        <f t="shared" si="198"/>
        <v>1</v>
      </c>
      <c r="AF625">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42">
        <f t="shared" si="197"/>
        <v>46255</v>
      </c>
      <c r="AE626">
        <f t="shared" si="198"/>
        <v>1</v>
      </c>
      <c r="AF626">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42">
        <f t="shared" si="197"/>
        <v>46256</v>
      </c>
      <c r="AE627">
        <f t="shared" si="198"/>
        <v>1</v>
      </c>
      <c r="AF62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42">
        <f t="shared" si="197"/>
        <v>46256</v>
      </c>
      <c r="AE628">
        <f t="shared" si="198"/>
        <v>1</v>
      </c>
      <c r="AF628">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42">
        <f t="shared" si="197"/>
        <v>46256</v>
      </c>
      <c r="AE629">
        <f t="shared" si="198"/>
        <v>1</v>
      </c>
      <c r="AF629">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42">
        <f t="shared" si="197"/>
        <v>46256</v>
      </c>
      <c r="AE630">
        <f t="shared" si="198"/>
        <v>1</v>
      </c>
      <c r="AF630">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42">
        <f t="shared" si="197"/>
        <v>46256</v>
      </c>
      <c r="AE631">
        <f t="shared" si="198"/>
        <v>1</v>
      </c>
      <c r="AF631">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42">
        <f t="shared" si="197"/>
        <v>46256</v>
      </c>
      <c r="AE632">
        <f t="shared" si="198"/>
        <v>1</v>
      </c>
      <c r="AF632">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42">
        <f t="shared" si="197"/>
        <v>46255</v>
      </c>
      <c r="AE633">
        <f t="shared" si="198"/>
        <v>1</v>
      </c>
      <c r="AF633">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42">
        <f t="shared" si="197"/>
        <v>46256</v>
      </c>
      <c r="AE634">
        <f t="shared" si="198"/>
        <v>1</v>
      </c>
      <c r="AF634">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42">
        <f t="shared" si="197"/>
        <v>46255</v>
      </c>
      <c r="AE635">
        <f t="shared" si="198"/>
        <v>1</v>
      </c>
      <c r="AF635">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42">
        <f t="shared" si="197"/>
        <v>46256</v>
      </c>
      <c r="AE636">
        <f t="shared" si="198"/>
        <v>1</v>
      </c>
      <c r="AF636">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42">
        <f t="shared" si="197"/>
        <v>46255</v>
      </c>
      <c r="AE637">
        <f t="shared" si="198"/>
        <v>1</v>
      </c>
      <c r="AF63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42">
        <f t="shared" si="197"/>
        <v>46256</v>
      </c>
      <c r="AE638">
        <f t="shared" si="198"/>
        <v>1</v>
      </c>
      <c r="AF638">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42">
        <f t="shared" si="197"/>
        <v>46255</v>
      </c>
      <c r="AE639">
        <f t="shared" si="198"/>
        <v>1</v>
      </c>
      <c r="AF639">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42">
        <f t="shared" si="197"/>
        <v>46256</v>
      </c>
      <c r="AE640">
        <f t="shared" si="198"/>
        <v>1</v>
      </c>
      <c r="AF640">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42">
        <f t="shared" si="197"/>
        <v>46255</v>
      </c>
      <c r="AE641">
        <f t="shared" si="198"/>
        <v>1</v>
      </c>
      <c r="AF641">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42">
        <f t="shared" si="197"/>
        <v>46256</v>
      </c>
      <c r="AE642">
        <f t="shared" si="198"/>
        <v>1</v>
      </c>
      <c r="AF642">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42">
        <f t="shared" si="197"/>
        <v>46256</v>
      </c>
      <c r="AE643">
        <f t="shared" si="198"/>
        <v>1</v>
      </c>
      <c r="AF643">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42">
        <f t="shared" ref="AD644:AD707" si="217">IF($D644="",0,SUMPRODUCT(MAX(($D$4:$D$1510=$D644)*($B$4:$B$1510&lt;$B644)*$B$4:$B$1510)))</f>
        <v>46256</v>
      </c>
      <c r="AE644">
        <f t="shared" ref="AE644:AE707" si="218">IF($D644="",0,COUNTIFS($A$4:$A$1510,$A644,$E$4:$E$1510,"Win"))</f>
        <v>1</v>
      </c>
      <c r="AF644">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42">
        <f t="shared" si="217"/>
        <v>46256</v>
      </c>
      <c r="AE645">
        <f t="shared" si="218"/>
        <v>1</v>
      </c>
      <c r="AF645">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42">
        <f t="shared" si="217"/>
        <v>46256</v>
      </c>
      <c r="AE646">
        <f t="shared" si="218"/>
        <v>1</v>
      </c>
      <c r="AF646">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42">
        <f t="shared" si="217"/>
        <v>46257</v>
      </c>
      <c r="AE647">
        <f t="shared" si="218"/>
        <v>1</v>
      </c>
      <c r="AF64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42">
        <f t="shared" si="217"/>
        <v>46257</v>
      </c>
      <c r="AE648">
        <f t="shared" si="218"/>
        <v>1</v>
      </c>
      <c r="AF648">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42">
        <f t="shared" si="217"/>
        <v>46257</v>
      </c>
      <c r="AE649">
        <f t="shared" si="218"/>
        <v>1</v>
      </c>
      <c r="AF649">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42">
        <f t="shared" si="217"/>
        <v>46257</v>
      </c>
      <c r="AE650">
        <f t="shared" si="218"/>
        <v>1</v>
      </c>
      <c r="AF650">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42">
        <f t="shared" si="217"/>
        <v>46257</v>
      </c>
      <c r="AE651">
        <f t="shared" si="218"/>
        <v>1</v>
      </c>
      <c r="AF651">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42">
        <f t="shared" si="217"/>
        <v>46257</v>
      </c>
      <c r="AE652">
        <f t="shared" si="218"/>
        <v>1</v>
      </c>
      <c r="AF652">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42">
        <f t="shared" si="217"/>
        <v>46257</v>
      </c>
      <c r="AE653">
        <f t="shared" si="218"/>
        <v>1</v>
      </c>
      <c r="AF653">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42">
        <f t="shared" si="217"/>
        <v>46257</v>
      </c>
      <c r="AE654">
        <f t="shared" si="218"/>
        <v>1</v>
      </c>
      <c r="AF654">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42">
        <f t="shared" si="217"/>
        <v>46260</v>
      </c>
      <c r="AE655">
        <f t="shared" si="218"/>
        <v>1</v>
      </c>
      <c r="AF655">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42">
        <f t="shared" si="217"/>
        <v>46257</v>
      </c>
      <c r="AE656">
        <f t="shared" si="218"/>
        <v>1</v>
      </c>
      <c r="AF656">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42">
        <f t="shared" si="217"/>
        <v>46264</v>
      </c>
      <c r="AE657">
        <f t="shared" si="218"/>
        <v>1</v>
      </c>
      <c r="AF65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42">
        <f t="shared" si="217"/>
        <v>46260</v>
      </c>
      <c r="AE658">
        <f t="shared" si="218"/>
        <v>1</v>
      </c>
      <c r="AF658">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42">
        <f t="shared" si="217"/>
        <v>46260</v>
      </c>
      <c r="AE659">
        <f t="shared" si="218"/>
        <v>1</v>
      </c>
      <c r="AF659">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42">
        <f t="shared" si="217"/>
        <v>46264</v>
      </c>
      <c r="AE660">
        <f t="shared" si="218"/>
        <v>1</v>
      </c>
      <c r="AF660">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42">
        <f t="shared" si="217"/>
        <v>46260</v>
      </c>
      <c r="AE661">
        <f t="shared" si="218"/>
        <v>1</v>
      </c>
      <c r="AF661">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42">
        <f t="shared" si="217"/>
        <v>46260</v>
      </c>
      <c r="AE662">
        <f t="shared" si="218"/>
        <v>1</v>
      </c>
      <c r="AF662">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42">
        <f t="shared" si="217"/>
        <v>46264</v>
      </c>
      <c r="AE663">
        <f t="shared" si="218"/>
        <v>1</v>
      </c>
      <c r="AF663">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42">
        <f t="shared" si="217"/>
        <v>46260</v>
      </c>
      <c r="AE664">
        <f t="shared" si="218"/>
        <v>1</v>
      </c>
      <c r="AF664">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42">
        <f t="shared" si="217"/>
        <v>46260</v>
      </c>
      <c r="AE665">
        <f t="shared" si="218"/>
        <v>1</v>
      </c>
      <c r="AF665">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42">
        <f t="shared" si="217"/>
        <v>46264</v>
      </c>
      <c r="AE666">
        <f t="shared" si="218"/>
        <v>1</v>
      </c>
      <c r="AF666">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42">
        <f t="shared" si="217"/>
        <v>46260</v>
      </c>
      <c r="AE667">
        <f t="shared" si="218"/>
        <v>1</v>
      </c>
      <c r="AF6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42">
        <f t="shared" si="217"/>
        <v>46260</v>
      </c>
      <c r="AE668">
        <f t="shared" si="218"/>
        <v>1</v>
      </c>
      <c r="AF668">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42">
        <f t="shared" si="217"/>
        <v>46264</v>
      </c>
      <c r="AE669">
        <f t="shared" si="218"/>
        <v>1</v>
      </c>
      <c r="AF669">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42">
        <f t="shared" si="217"/>
        <v>46260</v>
      </c>
      <c r="AE670">
        <f t="shared" si="218"/>
        <v>1</v>
      </c>
      <c r="AF670">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42">
        <f t="shared" si="217"/>
        <v>46260</v>
      </c>
      <c r="AE671">
        <f t="shared" si="218"/>
        <v>1</v>
      </c>
      <c r="AF671">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42">
        <f t="shared" si="217"/>
        <v>46264</v>
      </c>
      <c r="AE672">
        <f t="shared" si="218"/>
        <v>1</v>
      </c>
      <c r="AF672">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42">
        <f t="shared" si="217"/>
        <v>46260</v>
      </c>
      <c r="AE673">
        <f t="shared" si="218"/>
        <v>1</v>
      </c>
      <c r="AF673">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42">
        <f t="shared" si="217"/>
        <v>46260</v>
      </c>
      <c r="AE674">
        <f t="shared" si="218"/>
        <v>1</v>
      </c>
      <c r="AF674">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42">
        <f t="shared" si="217"/>
        <v>46253</v>
      </c>
      <c r="AE675">
        <f t="shared" si="218"/>
        <v>1</v>
      </c>
      <c r="AF675">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42">
        <f t="shared" si="217"/>
        <v>46264</v>
      </c>
      <c r="AE676">
        <f t="shared" si="218"/>
        <v>1</v>
      </c>
      <c r="AF676">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42">
        <f t="shared" si="217"/>
        <v>46253</v>
      </c>
      <c r="AE677">
        <f t="shared" si="218"/>
        <v>1</v>
      </c>
      <c r="AF67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42">
        <f t="shared" si="217"/>
        <v>46264</v>
      </c>
      <c r="AE678">
        <f t="shared" si="218"/>
        <v>1</v>
      </c>
      <c r="AF678">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42">
        <f t="shared" si="217"/>
        <v>46271</v>
      </c>
      <c r="AE679">
        <f t="shared" si="218"/>
        <v>1</v>
      </c>
      <c r="AF679">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42">
        <f t="shared" si="217"/>
        <v>46256</v>
      </c>
      <c r="AE680">
        <f t="shared" si="218"/>
        <v>1</v>
      </c>
      <c r="AF680">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42">
        <f t="shared" si="217"/>
        <v>46272</v>
      </c>
      <c r="AE681">
        <f t="shared" si="218"/>
        <v>1</v>
      </c>
      <c r="AF681">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42">
        <f t="shared" si="217"/>
        <v>46274</v>
      </c>
      <c r="AE682">
        <f t="shared" si="218"/>
        <v>1</v>
      </c>
      <c r="AF682">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42">
        <f t="shared" si="217"/>
        <v>46272</v>
      </c>
      <c r="AE683">
        <f t="shared" si="218"/>
        <v>1</v>
      </c>
      <c r="AF683">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42">
        <f t="shared" si="217"/>
        <v>46274</v>
      </c>
      <c r="AE684">
        <f t="shared" si="218"/>
        <v>1</v>
      </c>
      <c r="AF684">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42">
        <f t="shared" si="217"/>
        <v>46272</v>
      </c>
      <c r="AE685">
        <f t="shared" si="218"/>
        <v>1</v>
      </c>
      <c r="AF685">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42">
        <f t="shared" si="217"/>
        <v>46274</v>
      </c>
      <c r="AE686">
        <f t="shared" si="218"/>
        <v>1</v>
      </c>
      <c r="AF686">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42">
        <f t="shared" si="217"/>
        <v>46272</v>
      </c>
      <c r="AE687">
        <f t="shared" si="218"/>
        <v>1</v>
      </c>
      <c r="AF68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42">
        <f t="shared" si="217"/>
        <v>46274</v>
      </c>
      <c r="AE688">
        <f t="shared" si="218"/>
        <v>1</v>
      </c>
      <c r="AF688">
        <f t="shared" si="219"/>
        <v>0</v>
      </c>
    </row>
    <row r="689" spans="1:32" x14ac:dyDescent="0.2">
      <c r="A689" s="117">
        <v>291</v>
      </c>
      <c r="B689" s="118">
        <v>46287</v>
      </c>
      <c r="C689" s="119" t="s">
        <v>50</v>
      </c>
      <c r="D689" s="119" t="s">
        <v>20</v>
      </c>
      <c r="E689" s="117" t="s">
        <v>370</v>
      </c>
      <c r="F689" s="120">
        <f t="shared" si="200"/>
        <v>3</v>
      </c>
      <c r="G689" s="121" t="str">
        <f t="shared" si="201"/>
        <v>Daniel (Ferret)</v>
      </c>
      <c r="H689" s="122">
        <f>IF($D689="",0,IFERROR(LOOKUP(2,1/(($D$3:D688=$D689)*($A$3:A688&lt;$A689)),$N$3:N688),'Guide &amp; Settings'!$C$41))</f>
        <v>1228.0957478478258</v>
      </c>
      <c r="I689" s="123">
        <f t="shared" si="202"/>
        <v>0.39444240645634626</v>
      </c>
      <c r="J689" s="124">
        <f>IF($D689="",0,IF($F689&lt;2,0,IF($E689="Win",('Guide &amp; Settings'!$C$42/(($F689-1)*COUNTIFS($A$4:$A$1510,$A689,$E$4:$E$1510,"Win")))*SUMIFS($X$4:$X$1510,$A$4:$A$1510,$A689,$E$4:$E$1510,"Loss"),-('Guide &amp; Settings'!$C$42/($F689-1))*$X689)))</f>
        <v>4.4341418612906605</v>
      </c>
      <c r="K689" s="124">
        <f>IF($D689="",0,'Guide &amp; Settings'!$C$43*(IF($E689="Win",1,0)-$I689))</f>
        <v>7.2666911225238442</v>
      </c>
      <c r="L689" s="125">
        <f>IF($D689="",0,'Guide &amp; Settings'!$C$44*IF($F689&gt;=3,$F689,0))</f>
        <v>3</v>
      </c>
      <c r="M689" s="124">
        <f t="shared" si="203"/>
        <v>14.700832983814504</v>
      </c>
      <c r="N689" s="122">
        <f t="shared" si="204"/>
        <v>1242.7965808316403</v>
      </c>
      <c r="O689" s="121" t="str">
        <f t="shared" si="205"/>
        <v>check winners</v>
      </c>
      <c r="P689">
        <f t="shared" si="206"/>
        <v>1125.5386861542411</v>
      </c>
      <c r="Q689">
        <f t="shared" si="207"/>
        <v>0.64344909656439164</v>
      </c>
      <c r="R689">
        <f t="shared" si="208"/>
        <v>0.54838709677419351</v>
      </c>
      <c r="S689">
        <f t="shared" si="209"/>
        <v>1.3902843299757746</v>
      </c>
      <c r="T689" s="89">
        <f t="shared" si="210"/>
        <v>29</v>
      </c>
      <c r="U689" s="126">
        <f>IF($D689="",0,IFERROR(LOOKUP(2,1/(($D$3:D688=$D689)*($C$3:C688=$C689)*($A$3:A688&lt;$A689)),$AB$3:AB688),1000))</f>
        <v>1017.4795584563102</v>
      </c>
      <c r="V689" s="126">
        <f t="shared" si="211"/>
        <v>1048.4525274844743</v>
      </c>
      <c r="W689">
        <f t="shared" si="212"/>
        <v>1041.8330861200416</v>
      </c>
      <c r="X689">
        <f t="shared" si="213"/>
        <v>0.50952498941851065</v>
      </c>
      <c r="Y689">
        <f t="shared" si="214"/>
        <v>1027.8027944982157</v>
      </c>
      <c r="Z689">
        <f t="shared" si="215"/>
        <v>0.48514803950048635</v>
      </c>
      <c r="AA689">
        <f>IF($D689="",0,IF($F689&lt;2,0,IF($E689="Win",('Guide &amp; Settings'!$C$42/(($F689-1)*COUNTIFS($A$4:$A$1510,$A689,$E$4:$E$1510,"Win")))*SUMIFS($Z$4:$Z$1510,$A$4:$A$1510,$A689,$E$4:$E$1510,"Loss"),-('Guide &amp; Settings'!$C$42/($F689-1))*$Z689)))</f>
        <v>3.4130686878429808</v>
      </c>
      <c r="AB689" s="126">
        <f t="shared" si="216"/>
        <v>1020.8926271441532</v>
      </c>
      <c r="AC689" s="126">
        <f>IF($D689="","",IF($AD689=0,0,IF(COUNTIFS($D$4:$D689,$D689,$B$4:$B689,$B689)&gt;1,0,IF($B689&lt;'Guide &amp; Settings'!$C$50,0,IF(($B689-$AD689)/7-'Guide &amp; Settings'!$C$48&gt;=0,(INT(($B689-$AD689)/7-'Guide &amp; Settings'!$C$48)+1)*'Guide &amp; Settings'!$C$49,0)))))</f>
        <v>0</v>
      </c>
      <c r="AD689" s="142">
        <f t="shared" si="217"/>
        <v>46285</v>
      </c>
      <c r="AE689">
        <f t="shared" si="218"/>
        <v>2</v>
      </c>
      <c r="AF689">
        <f t="shared" si="219"/>
        <v>0</v>
      </c>
    </row>
    <row r="690" spans="1:32" x14ac:dyDescent="0.2">
      <c r="A690" s="117">
        <v>291</v>
      </c>
      <c r="B690" s="118">
        <v>46287</v>
      </c>
      <c r="C690" s="119" t="s">
        <v>50</v>
      </c>
      <c r="D690" s="119" t="s">
        <v>22</v>
      </c>
      <c r="E690" s="117" t="s">
        <v>370</v>
      </c>
      <c r="F690" s="120">
        <f t="shared" si="200"/>
        <v>3</v>
      </c>
      <c r="G690" s="121" t="str">
        <f t="shared" si="201"/>
        <v>Daniel (Ferret)</v>
      </c>
      <c r="H690" s="122">
        <f>IF($D690="",0,IFERROR(LOOKUP(2,1/(($D$3:D689=$D690)*($A$3:A689&lt;$A690)),$N$3:N689),'Guide &amp; Settings'!$C$41))</f>
        <v>1022.9816244606566</v>
      </c>
      <c r="I690" s="123">
        <f t="shared" si="202"/>
        <v>0.34400220102714602</v>
      </c>
      <c r="J690" s="124">
        <f>IF($D690="",0,IF($F690&lt;2,0,IF($E690="Win",('Guide &amp; Settings'!$C$42/(($F690-1)*COUNTIFS($A$4:$A$1510,$A690,$E$4:$E$1510,"Win")))*SUMIFS($X$4:$X$1510,$A$4:$A$1510,$A690,$E$4:$E$1510,"Loss"),-('Guide &amp; Settings'!$C$42/($F690-1))*$X690)))</f>
        <v>4.4341418612906605</v>
      </c>
      <c r="K690" s="124">
        <f>IF($D690="",0,'Guide &amp; Settings'!$C$43*(IF($E690="Win",1,0)-$I690))</f>
        <v>7.8719735876742485</v>
      </c>
      <c r="L690" s="125">
        <f>IF($D690="",0,'Guide &amp; Settings'!$C$44*IF($F690&gt;=3,$F690,0))</f>
        <v>3</v>
      </c>
      <c r="M690" s="124">
        <f t="shared" si="203"/>
        <v>15.30611544896491</v>
      </c>
      <c r="N690" s="122">
        <f t="shared" si="204"/>
        <v>1038.2877399096215</v>
      </c>
      <c r="O690" s="121" t="str">
        <f t="shared" si="205"/>
        <v>check winners</v>
      </c>
      <c r="P690">
        <f t="shared" si="206"/>
        <v>1125.5386861542411</v>
      </c>
      <c r="Q690">
        <f t="shared" si="207"/>
        <v>0.35655090343560863</v>
      </c>
      <c r="R690">
        <f t="shared" si="208"/>
        <v>0.47826086956521741</v>
      </c>
      <c r="S690">
        <f t="shared" si="209"/>
        <v>1.3902843299757746</v>
      </c>
      <c r="T690" s="89">
        <f t="shared" si="210"/>
        <v>21</v>
      </c>
      <c r="U690" s="126">
        <f>IF($D690="",0,IFERROR(LOOKUP(2,1/(($D$3:D689=$D690)*($C$3:C689=$C690)*($A$3:A689&lt;$A690)),$AB$3:AB689),1000))</f>
        <v>1038.1260305401211</v>
      </c>
      <c r="V690" s="126">
        <f t="shared" si="211"/>
        <v>1035.2136447556086</v>
      </c>
      <c r="W690">
        <f t="shared" si="212"/>
        <v>1041.8330861200416</v>
      </c>
      <c r="X690">
        <f t="shared" si="213"/>
        <v>0.49047501058148901</v>
      </c>
      <c r="Y690">
        <f t="shared" si="214"/>
        <v>1027.8027944982157</v>
      </c>
      <c r="Z690">
        <f t="shared" si="215"/>
        <v>0.51485196049951343</v>
      </c>
      <c r="AA690">
        <f>IF($D690="",0,IF($F690&lt;2,0,IF($E690="Win",('Guide &amp; Settings'!$C$42/(($F690-1)*COUNTIFS($A$4:$A$1510,$A690,$E$4:$E$1510,"Win")))*SUMIFS($Z$4:$Z$1510,$A$4:$A$1510,$A690,$E$4:$E$1510,"Loss"),-('Guide &amp; Settings'!$C$42/($F690-1))*$Z690)))</f>
        <v>3.4130686878429808</v>
      </c>
      <c r="AB690" s="126">
        <f t="shared" si="216"/>
        <v>1041.539099227964</v>
      </c>
      <c r="AC690" s="126">
        <f>IF($D690="","",IF($AD690=0,0,IF(COUNTIFS($D$4:$D690,$D690,$B$4:$B690,$B690)&gt;1,0,IF($B690&lt;'Guide &amp; Settings'!$C$50,0,IF(($B690-$AD690)/7-'Guide &amp; Settings'!$C$48&gt;=0,(INT(($B690-$AD690)/7-'Guide &amp; Settings'!$C$48)+1)*'Guide &amp; Settings'!$C$49,0)))))</f>
        <v>0</v>
      </c>
      <c r="AD690" s="142">
        <f t="shared" si="217"/>
        <v>46285</v>
      </c>
      <c r="AE690">
        <f t="shared" si="218"/>
        <v>2</v>
      </c>
      <c r="AF690">
        <f t="shared" si="219"/>
        <v>0</v>
      </c>
    </row>
    <row r="691" spans="1:32" x14ac:dyDescent="0.2">
      <c r="A691" s="117">
        <v>291</v>
      </c>
      <c r="B691" s="118">
        <v>46287</v>
      </c>
      <c r="C691" s="119" t="s">
        <v>50</v>
      </c>
      <c r="D691" s="119" t="s">
        <v>15</v>
      </c>
      <c r="E691" s="117" t="s">
        <v>371</v>
      </c>
      <c r="F691" s="120">
        <f t="shared" si="200"/>
        <v>3</v>
      </c>
      <c r="G691" s="121" t="str">
        <f t="shared" si="201"/>
        <v>Daniel (Ferret)</v>
      </c>
      <c r="H691" s="122">
        <f>IF($D691="",0,IFERROR(LOOKUP(2,1/(($D$3:D690=$D691)*($A$3:A690&lt;$A691)),$N$3:N690),'Guide &amp; Settings'!$C$41))</f>
        <v>1265.5221853966827</v>
      </c>
      <c r="I691" s="123">
        <f t="shared" si="202"/>
        <v>0.26155539251650772</v>
      </c>
      <c r="J691" s="124">
        <f>IF($D691="",0,IF($F691&lt;2,0,IF($E691="Win",('Guide &amp; Settings'!$C$42/(($F691-1)*COUNTIFS($A$4:$A$1510,$A691,$E$4:$E$1510,"Win")))*SUMIFS($X$4:$X$1510,$A$4:$A$1510,$A691,$E$4:$E$1510,"Loss"),-('Guide &amp; Settings'!$C$42/($F691-1))*$X691)))</f>
        <v>-8.8682837225813209</v>
      </c>
      <c r="K691" s="124">
        <f>IF($D691="",0,'Guide &amp; Settings'!$C$43*(IF($E691="Win",1,0)-$I691))</f>
        <v>-3.1386647101980927</v>
      </c>
      <c r="L691" s="125">
        <f>IF($D691="",0,'Guide &amp; Settings'!$C$44*IF($F691&gt;=3,$F691,0))</f>
        <v>3</v>
      </c>
      <c r="M691" s="124">
        <f t="shared" si="203"/>
        <v>-9.0069484327794136</v>
      </c>
      <c r="N691" s="122">
        <f t="shared" si="204"/>
        <v>1256.5152369639034</v>
      </c>
      <c r="O691" s="121" t="str">
        <f t="shared" si="205"/>
        <v>check winners</v>
      </c>
      <c r="P691">
        <f t="shared" si="206"/>
        <v>1125.5386861542411</v>
      </c>
      <c r="Q691">
        <f t="shared" si="207"/>
        <v>0.69121587930565964</v>
      </c>
      <c r="R691">
        <f t="shared" si="208"/>
        <v>0.36363636363636365</v>
      </c>
      <c r="S691">
        <f t="shared" si="209"/>
        <v>1.3902843299757746</v>
      </c>
      <c r="T691" s="89">
        <f t="shared" si="210"/>
        <v>9</v>
      </c>
      <c r="U691" s="126">
        <f>IF($D691="",0,IFERROR(LOOKUP(2,1/(($D$3:D690=$D691)*($C$3:C690=$C691)*($A$3:A690&lt;$A691)),$AB$3:AB690),1000))</f>
        <v>976.45191120369645</v>
      </c>
      <c r="V691" s="126">
        <f t="shared" si="211"/>
        <v>1079.6912948440486</v>
      </c>
      <c r="W691">
        <f t="shared" si="212"/>
        <v>1041.8330861200416</v>
      </c>
      <c r="X691">
        <f t="shared" si="213"/>
        <v>0.55426773266133256</v>
      </c>
      <c r="Y691">
        <f t="shared" si="214"/>
        <v>1027.8027944982157</v>
      </c>
      <c r="Z691">
        <f t="shared" si="215"/>
        <v>0.4266335859803726</v>
      </c>
      <c r="AA691">
        <f>IF($D691="",0,IF($F691&lt;2,0,IF($E691="Win",('Guide &amp; Settings'!$C$42/(($F691-1)*COUNTIFS($A$4:$A$1510,$A691,$E$4:$E$1510,"Win")))*SUMIFS($Z$4:$Z$1510,$A$4:$A$1510,$A691,$E$4:$E$1510,"Loss"),-('Guide &amp; Settings'!$C$42/($F691-1))*$Z691)))</f>
        <v>-6.8261373756859616</v>
      </c>
      <c r="AB691" s="126">
        <f t="shared" si="216"/>
        <v>969.62577382801044</v>
      </c>
      <c r="AC691" s="126">
        <f>IF($D691="","",IF($AD691=0,0,IF(COUNTIFS($D$4:$D691,$D691,$B$4:$B691,$B691)&gt;1,0,IF($B691&lt;'Guide &amp; Settings'!$C$50,0,IF(($B691-$AD691)/7-'Guide &amp; Settings'!$C$48&gt;=0,(INT(($B691-$AD691)/7-'Guide &amp; Settings'!$C$48)+1)*'Guide &amp; Settings'!$C$49,0)))))</f>
        <v>10</v>
      </c>
      <c r="AD691" s="142">
        <f t="shared" si="217"/>
        <v>46256</v>
      </c>
      <c r="AE691">
        <f t="shared" si="218"/>
        <v>2</v>
      </c>
      <c r="AF691">
        <f t="shared" si="219"/>
        <v>0</v>
      </c>
    </row>
    <row r="692" spans="1:32" x14ac:dyDescent="0.2">
      <c r="A692" s="117">
        <v>292</v>
      </c>
      <c r="B692" s="118">
        <v>46287</v>
      </c>
      <c r="C692" s="119" t="s">
        <v>50</v>
      </c>
      <c r="D692" s="119" t="s">
        <v>20</v>
      </c>
      <c r="E692" s="117" t="s">
        <v>371</v>
      </c>
      <c r="F692" s="120">
        <f t="shared" si="200"/>
        <v>3</v>
      </c>
      <c r="G692" s="121" t="str">
        <f t="shared" si="201"/>
        <v>Daniel (Ferret)</v>
      </c>
      <c r="H692" s="122">
        <f>IF($D692="",0,IFERROR(LOOKUP(2,1/(($D$3:D691=$D692)*($A$3:A691&lt;$A692)),$N$3:N691),'Guide &amp; Settings'!$C$41))</f>
        <v>1242.7965808316403</v>
      </c>
      <c r="I692" s="123">
        <f t="shared" si="202"/>
        <v>0.40298507462686567</v>
      </c>
      <c r="J692" s="124">
        <f>IF($D692="",0,IF($F692&lt;2,0,IF($E692="Win",('Guide &amp; Settings'!$C$42/(($F692-1)*COUNTIFS($A$4:$A$1510,$A692,$E$4:$E$1510,"Win")))*SUMIFS($X$4:$X$1510,$A$4:$A$1510,$A692,$E$4:$E$1510,"Loss"),-('Guide &amp; Settings'!$C$42/($F692-1))*$X692)))</f>
        <v>-8.2682931869024063</v>
      </c>
      <c r="K692" s="124">
        <f>IF($D692="",0,'Guide &amp; Settings'!$C$43*(IF($E692="Win",1,0)-$I692))</f>
        <v>-4.8358208955223878</v>
      </c>
      <c r="L692" s="125">
        <f>IF($D692="",0,'Guide &amp; Settings'!$C$44*IF($F692&gt;=3,$F692,0))</f>
        <v>3</v>
      </c>
      <c r="M692" s="124">
        <f t="shared" si="203"/>
        <v>-10.104114082424793</v>
      </c>
      <c r="N692" s="122">
        <f t="shared" si="204"/>
        <v>1232.6924667492156</v>
      </c>
      <c r="O692" s="121" t="str">
        <f t="shared" si="205"/>
        <v>OK</v>
      </c>
      <c r="P692">
        <f t="shared" si="206"/>
        <v>1038.2877399096215</v>
      </c>
      <c r="Q692">
        <f t="shared" si="207"/>
        <v>0.76445253989100215</v>
      </c>
      <c r="R692">
        <f t="shared" si="208"/>
        <v>0.5625</v>
      </c>
      <c r="S692">
        <f t="shared" si="209"/>
        <v>1.3958333333333333</v>
      </c>
      <c r="T692" s="89">
        <f t="shared" si="210"/>
        <v>30</v>
      </c>
      <c r="U692" s="126">
        <f>IF($D692="",0,IFERROR(LOOKUP(2,1/(($D$3:D691=$D692)*($C$3:C691=$C692)*($A$3:A691&lt;$A692)),$AB$3:AB691),1000))</f>
        <v>1020.8926271441532</v>
      </c>
      <c r="V692" s="126">
        <f t="shared" si="211"/>
        <v>1052.5931919566513</v>
      </c>
      <c r="W692">
        <f t="shared" si="212"/>
        <v>1040.9369956504931</v>
      </c>
      <c r="X692">
        <f t="shared" si="213"/>
        <v>0.5167683241814004</v>
      </c>
      <c r="Y692">
        <f t="shared" si="214"/>
        <v>1041.539099227964</v>
      </c>
      <c r="Z692">
        <f t="shared" si="215"/>
        <v>0.47032226434743341</v>
      </c>
      <c r="AA692">
        <f>IF($D692="",0,IF($F692&lt;2,0,IF($E692="Win",('Guide &amp; Settings'!$C$42/(($F692-1)*COUNTIFS($A$4:$A$1510,$A692,$E$4:$E$1510,"Win")))*SUMIFS($Z$4:$Z$1510,$A$4:$A$1510,$A692,$E$4:$E$1510,"Loss"),-('Guide &amp; Settings'!$C$42/($F692-1))*$Z692)))</f>
        <v>-7.5251562295589345</v>
      </c>
      <c r="AB692" s="126">
        <f t="shared" si="216"/>
        <v>1013.3674709145943</v>
      </c>
      <c r="AC692" s="126">
        <f>IF($D692="","",IF($AD692=0,0,IF(COUNTIFS($D$4:$D692,$D692,$B$4:$B692,$B692)&gt;1,0,IF($B692&lt;'Guide &amp; Settings'!$C$50,0,IF(($B692-$AD692)/7-'Guide &amp; Settings'!$C$48&gt;=0,(INT(($B692-$AD692)/7-'Guide &amp; Settings'!$C$48)+1)*'Guide &amp; Settings'!$C$49,0)))))</f>
        <v>0</v>
      </c>
      <c r="AD692" s="142">
        <f t="shared" si="217"/>
        <v>46285</v>
      </c>
      <c r="AE692">
        <f t="shared" si="218"/>
        <v>1</v>
      </c>
      <c r="AF692">
        <f t="shared" si="219"/>
        <v>0</v>
      </c>
    </row>
    <row r="693" spans="1:32" x14ac:dyDescent="0.2">
      <c r="A693" s="117">
        <v>292</v>
      </c>
      <c r="B693" s="118">
        <v>46287</v>
      </c>
      <c r="C693" s="119" t="s">
        <v>50</v>
      </c>
      <c r="D693" s="119" t="s">
        <v>22</v>
      </c>
      <c r="E693" s="117" t="s">
        <v>370</v>
      </c>
      <c r="F693" s="120">
        <f t="shared" si="200"/>
        <v>3</v>
      </c>
      <c r="G693" s="121" t="str">
        <f t="shared" si="201"/>
        <v>Daniel (Ferret)</v>
      </c>
      <c r="H693" s="122">
        <f>IF($D693="",0,IFERROR(LOOKUP(2,1/(($D$3:D692=$D693)*($A$3:A692&lt;$A693)),$N$3:N692),'Guide &amp; Settings'!$C$41))</f>
        <v>1038.2877399096215</v>
      </c>
      <c r="I693" s="123">
        <f t="shared" si="202"/>
        <v>0.35820895522388063</v>
      </c>
      <c r="J693" s="124">
        <f>IF($D693="",0,IF($F693&lt;2,0,IF($E693="Win",('Guide &amp; Settings'!$C$42/(($F693-1)*COUNTIFS($A$4:$A$1510,$A693,$E$4:$E$1510,"Win")))*SUMIFS($X$4:$X$1510,$A$4:$A$1510,$A693,$E$4:$E$1510,"Loss"),-('Guide &amp; Settings'!$C$42/($F693-1))*$X693)))</f>
        <v>16.827336962692943</v>
      </c>
      <c r="K693" s="124">
        <f>IF($D693="",0,'Guide &amp; Settings'!$C$43*(IF($E693="Win",1,0)-$I693))</f>
        <v>7.7014925373134329</v>
      </c>
      <c r="L693" s="125">
        <f>IF($D693="",0,'Guide &amp; Settings'!$C$44*IF($F693&gt;=3,$F693,0))</f>
        <v>3</v>
      </c>
      <c r="M693" s="124">
        <f t="shared" si="203"/>
        <v>27.528829500006374</v>
      </c>
      <c r="N693" s="122">
        <f t="shared" si="204"/>
        <v>1065.8165694096278</v>
      </c>
      <c r="O693" s="121" t="str">
        <f t="shared" si="205"/>
        <v>OK</v>
      </c>
      <c r="P693">
        <f t="shared" si="206"/>
        <v>1038.2877399096215</v>
      </c>
      <c r="Q693">
        <f t="shared" si="207"/>
        <v>0.5</v>
      </c>
      <c r="R693">
        <f t="shared" si="208"/>
        <v>0.5</v>
      </c>
      <c r="S693">
        <f t="shared" si="209"/>
        <v>1.3958333333333333</v>
      </c>
      <c r="T693" s="89">
        <f t="shared" si="210"/>
        <v>22</v>
      </c>
      <c r="U693" s="126">
        <f>IF($D693="",0,IFERROR(LOOKUP(2,1/(($D$3:D692=$D693)*($C$3:C692=$C693)*($A$3:A692&lt;$A693)),$AB$3:AB692),1000))</f>
        <v>1041.539099227964</v>
      </c>
      <c r="V693" s="126">
        <f t="shared" si="211"/>
        <v>1040.9369956504931</v>
      </c>
      <c r="W693">
        <f t="shared" si="212"/>
        <v>1040.9369956504931</v>
      </c>
      <c r="X693">
        <f t="shared" si="213"/>
        <v>0.5</v>
      </c>
      <c r="Y693">
        <f t="shared" si="214"/>
        <v>1041.539099227964</v>
      </c>
      <c r="Z693">
        <f t="shared" si="215"/>
        <v>0.5</v>
      </c>
      <c r="AA693">
        <f>IF($D693="",0,IF($F693&lt;2,0,IF($E693="Win",('Guide &amp; Settings'!$C$42/(($F693-1)*COUNTIFS($A$4:$A$1510,$A693,$E$4:$E$1510,"Win")))*SUMIFS($Z$4:$Z$1510,$A$4:$A$1510,$A693,$E$4:$E$1510,"Loss"),-('Guide &amp; Settings'!$C$42/($F693-1))*$Z693)))</f>
        <v>13.892539279568027</v>
      </c>
      <c r="AB693" s="126">
        <f t="shared" si="216"/>
        <v>1055.4316385075319</v>
      </c>
      <c r="AC693" s="126">
        <f>IF($D693="","",IF($AD693=0,0,IF(COUNTIFS($D$4:$D693,$D693,$B$4:$B693,$B693)&gt;1,0,IF($B693&lt;'Guide &amp; Settings'!$C$50,0,IF(($B693-$AD693)/7-'Guide &amp; Settings'!$C$48&gt;=0,(INT(($B693-$AD693)/7-'Guide &amp; Settings'!$C$48)+1)*'Guide &amp; Settings'!$C$49,0)))))</f>
        <v>0</v>
      </c>
      <c r="AD693" s="142">
        <f t="shared" si="217"/>
        <v>46285</v>
      </c>
      <c r="AE693">
        <f t="shared" si="218"/>
        <v>1</v>
      </c>
      <c r="AF693">
        <f t="shared" si="219"/>
        <v>0</v>
      </c>
    </row>
    <row r="694" spans="1:32" x14ac:dyDescent="0.2">
      <c r="A694" s="117">
        <v>292</v>
      </c>
      <c r="B694" s="118">
        <v>46287</v>
      </c>
      <c r="C694" s="119" t="s">
        <v>50</v>
      </c>
      <c r="D694" s="119" t="s">
        <v>15</v>
      </c>
      <c r="E694" s="117" t="s">
        <v>371</v>
      </c>
      <c r="F694" s="120">
        <f t="shared" si="200"/>
        <v>3</v>
      </c>
      <c r="G694" s="121" t="str">
        <f t="shared" si="201"/>
        <v>Daniel (Ferret)</v>
      </c>
      <c r="H694" s="122">
        <f>IF($D694="",0,IFERROR(LOOKUP(2,1/(($D$3:D693=$D694)*($A$3:A693&lt;$A694)),$N$3:N693),'Guide &amp; Settings'!$C$41))</f>
        <v>1256.5152369639034</v>
      </c>
      <c r="I694" s="123">
        <f t="shared" si="202"/>
        <v>0.23880597014925373</v>
      </c>
      <c r="J694" s="124">
        <f>IF($D694="",0,IF($F694&lt;2,0,IF($E694="Win",('Guide &amp; Settings'!$C$42/(($F694-1)*COUNTIFS($A$4:$A$1510,$A694,$E$4:$E$1510,"Win")))*SUMIFS($X$4:$X$1510,$A$4:$A$1510,$A694,$E$4:$E$1510,"Loss"),-('Guide &amp; Settings'!$C$42/($F694-1))*$X694)))</f>
        <v>-8.5590437757905367</v>
      </c>
      <c r="K694" s="124">
        <f>IF($D694="",0,'Guide &amp; Settings'!$C$43*(IF($E694="Win",1,0)-$I694))</f>
        <v>-2.8656716417910446</v>
      </c>
      <c r="L694" s="125">
        <f>IF($D694="",0,'Guide &amp; Settings'!$C$44*IF($F694&gt;=3,$F694,0))</f>
        <v>3</v>
      </c>
      <c r="M694" s="124">
        <f t="shared" si="203"/>
        <v>-8.4247154175815808</v>
      </c>
      <c r="N694" s="122">
        <f t="shared" si="204"/>
        <v>1248.0905215463217</v>
      </c>
      <c r="O694" s="121" t="str">
        <f t="shared" si="205"/>
        <v>OK</v>
      </c>
      <c r="P694">
        <f t="shared" si="206"/>
        <v>1038.2877399096215</v>
      </c>
      <c r="Q694">
        <f t="shared" si="207"/>
        <v>0.77837444887269358</v>
      </c>
      <c r="R694">
        <f t="shared" si="208"/>
        <v>0.33333333333333331</v>
      </c>
      <c r="S694">
        <f t="shared" si="209"/>
        <v>1.3958333333333333</v>
      </c>
      <c r="T694" s="89">
        <f t="shared" si="210"/>
        <v>10</v>
      </c>
      <c r="U694" s="126">
        <f>IF($D694="",0,IFERROR(LOOKUP(2,1/(($D$3:D693=$D694)*($C$3:C693=$C694)*($A$3:A693&lt;$A694)),$AB$3:AB693),1000))</f>
        <v>969.62577382801044</v>
      </c>
      <c r="V694" s="126">
        <f t="shared" si="211"/>
        <v>1065.2555948733082</v>
      </c>
      <c r="W694">
        <f t="shared" si="212"/>
        <v>1040.9369956504931</v>
      </c>
      <c r="X694">
        <f t="shared" si="213"/>
        <v>0.53494023598690854</v>
      </c>
      <c r="Y694">
        <f t="shared" si="214"/>
        <v>1041.539099227964</v>
      </c>
      <c r="Z694">
        <f t="shared" si="215"/>
        <v>0.39796144062556821</v>
      </c>
      <c r="AA694">
        <f>IF($D694="",0,IF($F694&lt;2,0,IF($E694="Win",('Guide &amp; Settings'!$C$42/(($F694-1)*COUNTIFS($A$4:$A$1510,$A694,$E$4:$E$1510,"Win")))*SUMIFS($Z$4:$Z$1510,$A$4:$A$1510,$A694,$E$4:$E$1510,"Loss"),-('Guide &amp; Settings'!$C$42/($F694-1))*$Z694)))</f>
        <v>-6.3673830500090913</v>
      </c>
      <c r="AB694" s="126">
        <f t="shared" si="216"/>
        <v>963.2583907780014</v>
      </c>
      <c r="AC694" s="126">
        <f>IF($D694="","",IF($AD694=0,0,IF(COUNTIFS($D$4:$D694,$D694,$B$4:$B694,$B694)&gt;1,0,IF($B694&lt;'Guide &amp; Settings'!$C$50,0,IF(($B694-$AD694)/7-'Guide &amp; Settings'!$C$48&gt;=0,(INT(($B694-$AD694)/7-'Guide &amp; Settings'!$C$48)+1)*'Guide &amp; Settings'!$C$49,0)))))</f>
        <v>0</v>
      </c>
      <c r="AD694" s="142">
        <f t="shared" si="217"/>
        <v>46256</v>
      </c>
      <c r="AE694">
        <f t="shared" si="218"/>
        <v>1</v>
      </c>
      <c r="AF694">
        <f t="shared" si="219"/>
        <v>0</v>
      </c>
    </row>
    <row r="695" spans="1:32" x14ac:dyDescent="0.2">
      <c r="A695" s="117">
        <v>293</v>
      </c>
      <c r="B695" s="118">
        <v>46287</v>
      </c>
      <c r="C695" s="119" t="s">
        <v>50</v>
      </c>
      <c r="D695" s="119" t="s">
        <v>20</v>
      </c>
      <c r="E695" s="117" t="s">
        <v>371</v>
      </c>
      <c r="F695" s="120">
        <f t="shared" si="200"/>
        <v>3</v>
      </c>
      <c r="G695" s="121" t="str">
        <f t="shared" si="201"/>
        <v>Daniel (Ferret)</v>
      </c>
      <c r="H695" s="122">
        <f>IF($D695="",0,IFERROR(LOOKUP(2,1/(($D$3:D694=$D695)*($A$3:A694&lt;$A695)),$N$3:N694),'Guide &amp; Settings'!$C$41))</f>
        <v>1232.6924667492156</v>
      </c>
      <c r="I695" s="123">
        <f t="shared" si="202"/>
        <v>0.39722957832552452</v>
      </c>
      <c r="J695" s="124">
        <f>IF($D695="",0,IF($F695&lt;2,0,IF($E695="Win",('Guide &amp; Settings'!$C$42/(($F695-1)*COUNTIFS($A$4:$A$1510,$A695,$E$4:$E$1510,"Win")))*SUMIFS($X$4:$X$1510,$A$4:$A$1510,$A695,$E$4:$E$1510,"Loss"),-('Guide &amp; Settings'!$C$42/($F695-1))*$X695)))</f>
        <v>-7.6903002442108077</v>
      </c>
      <c r="K695" s="124">
        <f>IF($D695="",0,'Guide &amp; Settings'!$C$43*(IF($E695="Win",1,0)-$I695))</f>
        <v>-4.7667549399062938</v>
      </c>
      <c r="L695" s="125">
        <f>IF($D695="",0,'Guide &amp; Settings'!$C$44*IF($F695&gt;=3,$F695,0))</f>
        <v>3</v>
      </c>
      <c r="M695" s="124">
        <f t="shared" si="203"/>
        <v>-9.4570551841171024</v>
      </c>
      <c r="N695" s="122">
        <f t="shared" si="204"/>
        <v>1223.2354115650985</v>
      </c>
      <c r="O695" s="121" t="str">
        <f t="shared" si="205"/>
        <v>OK</v>
      </c>
      <c r="P695">
        <f t="shared" si="206"/>
        <v>1065.8165694096278</v>
      </c>
      <c r="Q695">
        <f t="shared" si="207"/>
        <v>0.723244898250752</v>
      </c>
      <c r="R695">
        <f t="shared" si="208"/>
        <v>0.54545454545454541</v>
      </c>
      <c r="S695">
        <f t="shared" si="209"/>
        <v>1.3731468531468531</v>
      </c>
      <c r="T695" s="89">
        <f t="shared" si="210"/>
        <v>31</v>
      </c>
      <c r="U695" s="126">
        <f>IF($D695="",0,IFERROR(LOOKUP(2,1/(($D$3:D694=$D695)*($C$3:C694=$C695)*($A$3:A694&lt;$A695)),$AB$3:AB694),1000))</f>
        <v>1013.3674709145943</v>
      </c>
      <c r="V695" s="126">
        <f t="shared" si="211"/>
        <v>1043.829275891625</v>
      </c>
      <c r="W695">
        <f t="shared" si="212"/>
        <v>1057.2860904543347</v>
      </c>
      <c r="X695">
        <f t="shared" si="213"/>
        <v>0.48064376526317548</v>
      </c>
      <c r="Y695">
        <f t="shared" si="214"/>
        <v>1055.4316385075319</v>
      </c>
      <c r="Z695">
        <f t="shared" si="215"/>
        <v>0.4397588486274378</v>
      </c>
      <c r="AA695">
        <f>IF($D695="",0,IF($F695&lt;2,0,IF($E695="Win",('Guide &amp; Settings'!$C$42/(($F695-1)*COUNTIFS($A$4:$A$1510,$A695,$E$4:$E$1510,"Win")))*SUMIFS($Z$4:$Z$1510,$A$4:$A$1510,$A695,$E$4:$E$1510,"Loss"),-('Guide &amp; Settings'!$C$42/($F695-1))*$Z695)))</f>
        <v>-7.0361415780390049</v>
      </c>
      <c r="AB695" s="126">
        <f t="shared" si="216"/>
        <v>1006.3313293365553</v>
      </c>
      <c r="AC695" s="126">
        <f>IF($D695="","",IF($AD695=0,0,IF(COUNTIFS($D$4:$D695,$D695,$B$4:$B695,$B695)&gt;1,0,IF($B695&lt;'Guide &amp; Settings'!$C$50,0,IF(($B695-$AD695)/7-'Guide &amp; Settings'!$C$48&gt;=0,(INT(($B695-$AD695)/7-'Guide &amp; Settings'!$C$48)+1)*'Guide &amp; Settings'!$C$49,0)))))</f>
        <v>0</v>
      </c>
      <c r="AD695" s="142">
        <f t="shared" si="217"/>
        <v>46285</v>
      </c>
      <c r="AE695">
        <f t="shared" si="218"/>
        <v>1</v>
      </c>
      <c r="AF695">
        <f t="shared" si="219"/>
        <v>0</v>
      </c>
    </row>
    <row r="696" spans="1:32" x14ac:dyDescent="0.2">
      <c r="A696" s="117">
        <v>293</v>
      </c>
      <c r="B696" s="118">
        <v>46287</v>
      </c>
      <c r="C696" s="119" t="s">
        <v>50</v>
      </c>
      <c r="D696" s="119" t="s">
        <v>22</v>
      </c>
      <c r="E696" s="117" t="s">
        <v>370</v>
      </c>
      <c r="F696" s="120">
        <f t="shared" si="200"/>
        <v>3</v>
      </c>
      <c r="G696" s="121" t="str">
        <f t="shared" si="201"/>
        <v>Daniel (Ferret)</v>
      </c>
      <c r="H696" s="122">
        <f>IF($D696="",0,IFERROR(LOOKUP(2,1/(($D$3:D695=$D696)*($A$3:A695&lt;$A696)),$N$3:N695),'Guide &amp; Settings'!$C$41))</f>
        <v>1065.8165694096278</v>
      </c>
      <c r="I696" s="123">
        <f t="shared" si="202"/>
        <v>0.37869219800366677</v>
      </c>
      <c r="J696" s="124">
        <f>IF($D696="",0,IF($F696&lt;2,0,IF($E696="Win",('Guide &amp; Settings'!$C$42/(($F696-1)*COUNTIFS($A$4:$A$1510,$A696,$E$4:$E$1510,"Win")))*SUMIFS($X$4:$X$1510,$A$4:$A$1510,$A696,$E$4:$E$1510,"Loss"),-('Guide &amp; Settings'!$C$42/($F696-1))*$X696)))</f>
        <v>15.574772412207931</v>
      </c>
      <c r="K696" s="124">
        <f>IF($D696="",0,'Guide &amp; Settings'!$C$43*(IF($E696="Win",1,0)-$I696))</f>
        <v>7.4556936239559981</v>
      </c>
      <c r="L696" s="125">
        <f>IF($D696="",0,'Guide &amp; Settings'!$C$44*IF($F696&gt;=3,$F696,0))</f>
        <v>3</v>
      </c>
      <c r="M696" s="124">
        <f t="shared" si="203"/>
        <v>26.030466036163929</v>
      </c>
      <c r="N696" s="122">
        <f t="shared" si="204"/>
        <v>1091.8470354457918</v>
      </c>
      <c r="O696" s="121" t="str">
        <f t="shared" si="205"/>
        <v>OK</v>
      </c>
      <c r="P696">
        <f t="shared" si="206"/>
        <v>1065.8165694096278</v>
      </c>
      <c r="Q696">
        <f t="shared" si="207"/>
        <v>0.5</v>
      </c>
      <c r="R696">
        <f t="shared" si="208"/>
        <v>0.52</v>
      </c>
      <c r="S696">
        <f t="shared" si="209"/>
        <v>1.3731468531468531</v>
      </c>
      <c r="T696" s="89">
        <f t="shared" si="210"/>
        <v>23</v>
      </c>
      <c r="U696" s="126">
        <f>IF($D696="",0,IFERROR(LOOKUP(2,1/(($D$3:D695=$D696)*($C$3:C695=$C696)*($A$3:A695&lt;$A696)),$AB$3:AB695),1000))</f>
        <v>1055.4316385075319</v>
      </c>
      <c r="V696" s="126">
        <f t="shared" si="211"/>
        <v>1057.2860904543347</v>
      </c>
      <c r="W696">
        <f t="shared" si="212"/>
        <v>1057.2860904543347</v>
      </c>
      <c r="X696">
        <f t="shared" si="213"/>
        <v>0.5</v>
      </c>
      <c r="Y696">
        <f t="shared" si="214"/>
        <v>1055.4316385075319</v>
      </c>
      <c r="Z696">
        <f t="shared" si="215"/>
        <v>0.5</v>
      </c>
      <c r="AA696">
        <f>IF($D696="",0,IF($F696&lt;2,0,IF($E696="Win",('Guide &amp; Settings'!$C$42/(($F696-1)*COUNTIFS($A$4:$A$1510,$A696,$E$4:$E$1510,"Win")))*SUMIFS($Z$4:$Z$1510,$A$4:$A$1510,$A696,$E$4:$E$1510,"Loss"),-('Guide &amp; Settings'!$C$42/($F696-1))*$Z696)))</f>
        <v>12.962203264226684</v>
      </c>
      <c r="AB696" s="126">
        <f t="shared" si="216"/>
        <v>1068.3938417717586</v>
      </c>
      <c r="AC696" s="126">
        <f>IF($D696="","",IF($AD696=0,0,IF(COUNTIFS($D$4:$D696,$D696,$B$4:$B696,$B696)&gt;1,0,IF($B696&lt;'Guide &amp; Settings'!$C$50,0,IF(($B696-$AD696)/7-'Guide &amp; Settings'!$C$48&gt;=0,(INT(($B696-$AD696)/7-'Guide &amp; Settings'!$C$48)+1)*'Guide &amp; Settings'!$C$49,0)))))</f>
        <v>0</v>
      </c>
      <c r="AD696" s="142">
        <f t="shared" si="217"/>
        <v>46285</v>
      </c>
      <c r="AE696">
        <f t="shared" si="218"/>
        <v>1</v>
      </c>
      <c r="AF696">
        <f t="shared" si="219"/>
        <v>0</v>
      </c>
    </row>
    <row r="697" spans="1:32" x14ac:dyDescent="0.2">
      <c r="A697" s="117">
        <v>293</v>
      </c>
      <c r="B697" s="118">
        <v>46287</v>
      </c>
      <c r="C697" s="119" t="s">
        <v>50</v>
      </c>
      <c r="D697" s="119" t="s">
        <v>15</v>
      </c>
      <c r="E697" s="117" t="s">
        <v>371</v>
      </c>
      <c r="F697" s="120">
        <f t="shared" si="200"/>
        <v>3</v>
      </c>
      <c r="G697" s="121" t="str">
        <f t="shared" si="201"/>
        <v>Daniel (Ferret)</v>
      </c>
      <c r="H697" s="122">
        <f>IF($D697="",0,IFERROR(LOOKUP(2,1/(($D$3:D696=$D697)*($A$3:A696&lt;$A697)),$N$3:N696),'Guide &amp; Settings'!$C$41))</f>
        <v>1248.0905215463217</v>
      </c>
      <c r="I697" s="123">
        <f t="shared" si="202"/>
        <v>0.22407822367080873</v>
      </c>
      <c r="J697" s="124">
        <f>IF($D697="",0,IF($F697&lt;2,0,IF($E697="Win",('Guide &amp; Settings'!$C$42/(($F697-1)*COUNTIFS($A$4:$A$1510,$A697,$E$4:$E$1510,"Win")))*SUMIFS($X$4:$X$1510,$A$4:$A$1510,$A697,$E$4:$E$1510,"Loss"),-('Guide &amp; Settings'!$C$42/($F697-1))*$X697)))</f>
        <v>-7.8844721679971226</v>
      </c>
      <c r="K697" s="124">
        <f>IF($D697="",0,'Guide &amp; Settings'!$C$43*(IF($E697="Win",1,0)-$I697))</f>
        <v>-2.6889386840497047</v>
      </c>
      <c r="L697" s="125">
        <f>IF($D697="",0,'Guide &amp; Settings'!$C$44*IF($F697&gt;=3,$F697,0))</f>
        <v>3</v>
      </c>
      <c r="M697" s="124">
        <f t="shared" si="203"/>
        <v>-7.5734108520468268</v>
      </c>
      <c r="N697" s="122">
        <f t="shared" si="204"/>
        <v>1240.5171106942748</v>
      </c>
      <c r="O697" s="121" t="str">
        <f t="shared" si="205"/>
        <v>OK</v>
      </c>
      <c r="P697">
        <f t="shared" si="206"/>
        <v>1065.8165694096278</v>
      </c>
      <c r="Q697">
        <f t="shared" si="207"/>
        <v>0.74063146971624749</v>
      </c>
      <c r="R697">
        <f t="shared" si="208"/>
        <v>0.30769230769230771</v>
      </c>
      <c r="S697">
        <f t="shared" si="209"/>
        <v>1.3731468531468531</v>
      </c>
      <c r="T697" s="89">
        <f t="shared" si="210"/>
        <v>11</v>
      </c>
      <c r="U697" s="126">
        <f>IF($D697="",0,IFERROR(LOOKUP(2,1/(($D$3:D696=$D697)*($C$3:C696=$C697)*($A$3:A696&lt;$A697)),$AB$3:AB696),1000))</f>
        <v>963.2583907780014</v>
      </c>
      <c r="V697" s="126">
        <f t="shared" si="211"/>
        <v>1052.2684316431014</v>
      </c>
      <c r="W697">
        <f t="shared" si="212"/>
        <v>1057.2860904543347</v>
      </c>
      <c r="X697">
        <f t="shared" si="213"/>
        <v>0.49277951049982016</v>
      </c>
      <c r="Y697">
        <f t="shared" si="214"/>
        <v>1055.4316385075319</v>
      </c>
      <c r="Z697">
        <f t="shared" si="215"/>
        <v>0.37037885538672993</v>
      </c>
      <c r="AA697">
        <f>IF($D697="",0,IF($F697&lt;2,0,IF($E697="Win",('Guide &amp; Settings'!$C$42/(($F697-1)*COUNTIFS($A$4:$A$1510,$A697,$E$4:$E$1510,"Win")))*SUMIFS($Z$4:$Z$1510,$A$4:$A$1510,$A697,$E$4:$E$1510,"Loss"),-('Guide &amp; Settings'!$C$42/($F697-1))*$Z697)))</f>
        <v>-5.9260616861876789</v>
      </c>
      <c r="AB697" s="126">
        <f t="shared" si="216"/>
        <v>957.33232909181368</v>
      </c>
      <c r="AC697" s="126">
        <f>IF($D697="","",IF($AD697=0,0,IF(COUNTIFS($D$4:$D697,$D697,$B$4:$B697,$B697)&gt;1,0,IF($B697&lt;'Guide &amp; Settings'!$C$50,0,IF(($B697-$AD697)/7-'Guide &amp; Settings'!$C$48&gt;=0,(INT(($B697-$AD697)/7-'Guide &amp; Settings'!$C$48)+1)*'Guide &amp; Settings'!$C$49,0)))))</f>
        <v>0</v>
      </c>
      <c r="AD697" s="142">
        <f t="shared" si="217"/>
        <v>46256</v>
      </c>
      <c r="AE697">
        <f t="shared" si="218"/>
        <v>1</v>
      </c>
      <c r="AF697">
        <f t="shared" si="219"/>
        <v>0</v>
      </c>
    </row>
    <row r="698" spans="1:32" x14ac:dyDescent="0.2">
      <c r="A698" s="117">
        <v>294</v>
      </c>
      <c r="B698" s="118">
        <v>46287</v>
      </c>
      <c r="C698" s="119" t="s">
        <v>50</v>
      </c>
      <c r="D698" s="119" t="s">
        <v>20</v>
      </c>
      <c r="E698" s="117" t="s">
        <v>370</v>
      </c>
      <c r="F698" s="120">
        <f t="shared" si="200"/>
        <v>3</v>
      </c>
      <c r="G698" s="121" t="str">
        <f t="shared" si="201"/>
        <v>Shawn</v>
      </c>
      <c r="H698" s="122">
        <f>IF($D698="",0,IFERROR(LOOKUP(2,1/(($D$3:D697=$D698)*($A$3:A697&lt;$A698)),$N$3:N697),'Guide &amp; Settings'!$C$41))</f>
        <v>1223.2354115650985</v>
      </c>
      <c r="I698" s="123">
        <f t="shared" si="202"/>
        <v>0.39111747851002865</v>
      </c>
      <c r="J698" s="124">
        <f>IF($D698="",0,IF($F698&lt;2,0,IF($E698="Win",('Guide &amp; Settings'!$C$42/(($F698-1)*COUNTIFS($A$4:$A$1510,$A698,$E$4:$E$1510,"Win")))*SUMIFS($X$4:$X$1510,$A$4:$A$1510,$A698,$E$4:$E$1510,"Loss"),-('Guide &amp; Settings'!$C$42/($F698-1))*$X698)))</f>
        <v>16.958722686901687</v>
      </c>
      <c r="K698" s="124">
        <f>IF($D698="",0,'Guide &amp; Settings'!$C$43*(IF($E698="Win",1,0)-$I698))</f>
        <v>7.3065902578796562</v>
      </c>
      <c r="L698" s="125">
        <f>IF($D698="",0,'Guide &amp; Settings'!$C$44*IF($F698&gt;=3,$F698,0))</f>
        <v>3</v>
      </c>
      <c r="M698" s="124">
        <f t="shared" si="203"/>
        <v>27.265312944781343</v>
      </c>
      <c r="N698" s="122">
        <f t="shared" si="204"/>
        <v>1250.5007245098798</v>
      </c>
      <c r="O698" s="121" t="str">
        <f t="shared" si="205"/>
        <v>OK</v>
      </c>
      <c r="P698">
        <f t="shared" si="206"/>
        <v>1223.2354115650985</v>
      </c>
      <c r="Q698">
        <f t="shared" si="207"/>
        <v>0.5</v>
      </c>
      <c r="R698">
        <f t="shared" si="208"/>
        <v>0.52941176470588236</v>
      </c>
      <c r="S698">
        <f t="shared" si="209"/>
        <v>1.3535875888817066</v>
      </c>
      <c r="T698" s="89">
        <f t="shared" si="210"/>
        <v>32</v>
      </c>
      <c r="U698" s="126">
        <f>IF($D698="",0,IFERROR(LOOKUP(2,1/(($D$3:D697=$D698)*($C$3:C697=$C698)*($A$3:A697&lt;$A698)),$AB$3:AB697),1000))</f>
        <v>1006.3313293365553</v>
      </c>
      <c r="V698" s="126">
        <f t="shared" si="211"/>
        <v>1035.642691799872</v>
      </c>
      <c r="W698">
        <f t="shared" si="212"/>
        <v>1035.642691799872</v>
      </c>
      <c r="X698">
        <f t="shared" si="213"/>
        <v>0.5</v>
      </c>
      <c r="Y698">
        <f t="shared" si="214"/>
        <v>1006.3313293365553</v>
      </c>
      <c r="Z698">
        <f t="shared" si="215"/>
        <v>0.5</v>
      </c>
      <c r="AA698">
        <f>IF($D698="",0,IF($F698&lt;2,0,IF($E698="Win",('Guide &amp; Settings'!$C$42/(($F698-1)*COUNTIFS($A$4:$A$1510,$A698,$E$4:$E$1510,"Win")))*SUMIFS($Z$4:$Z$1510,$A$4:$A$1510,$A698,$E$4:$E$1510,"Loss"),-('Guide &amp; Settings'!$C$42/($F698-1))*$Z698)))</f>
        <v>16.293211417268303</v>
      </c>
      <c r="AB698" s="126">
        <f t="shared" si="216"/>
        <v>1022.6245407538236</v>
      </c>
      <c r="AC698" s="126">
        <f>IF($D698="","",IF($AD698=0,0,IF(COUNTIFS($D$4:$D698,$D698,$B$4:$B698,$B698)&gt;1,0,IF($B698&lt;'Guide &amp; Settings'!$C$50,0,IF(($B698-$AD698)/7-'Guide &amp; Settings'!$C$48&gt;=0,(INT(($B698-$AD698)/7-'Guide &amp; Settings'!$C$48)+1)*'Guide &amp; Settings'!$C$49,0)))))</f>
        <v>0</v>
      </c>
      <c r="AD698" s="142">
        <f t="shared" si="217"/>
        <v>46285</v>
      </c>
      <c r="AE698">
        <f t="shared" si="218"/>
        <v>1</v>
      </c>
      <c r="AF698">
        <f t="shared" si="219"/>
        <v>0</v>
      </c>
    </row>
    <row r="699" spans="1:32" x14ac:dyDescent="0.2">
      <c r="A699" s="117">
        <v>294</v>
      </c>
      <c r="B699" s="118">
        <v>46287</v>
      </c>
      <c r="C699" s="119" t="s">
        <v>50</v>
      </c>
      <c r="D699" s="119" t="s">
        <v>22</v>
      </c>
      <c r="E699" s="117" t="s">
        <v>371</v>
      </c>
      <c r="F699" s="120">
        <f t="shared" si="200"/>
        <v>3</v>
      </c>
      <c r="G699" s="121" t="str">
        <f t="shared" si="201"/>
        <v>Shawn</v>
      </c>
      <c r="H699" s="122">
        <f>IF($D699="",0,IFERROR(LOOKUP(2,1/(($D$3:D698=$D699)*($A$3:A698&lt;$A699)),$N$3:N698),'Guide &amp; Settings'!$C$41))</f>
        <v>1091.8470354457918</v>
      </c>
      <c r="I699" s="123">
        <f t="shared" si="202"/>
        <v>0.39780324737344791</v>
      </c>
      <c r="J699" s="124">
        <f>IF($D699="",0,IF($F699&lt;2,0,IF($E699="Win",('Guide &amp; Settings'!$C$42/(($F699-1)*COUNTIFS($A$4:$A$1510,$A699,$E$4:$E$1510,"Win")))*SUMIFS($X$4:$X$1510,$A$4:$A$1510,$A699,$E$4:$E$1510,"Loss"),-('Guide &amp; Settings'!$C$42/($F699-1))*$X699)))</f>
        <v>-8.8440784012102149</v>
      </c>
      <c r="K699" s="124">
        <f>IF($D699="",0,'Guide &amp; Settings'!$C$43*(IF($E699="Win",1,0)-$I699))</f>
        <v>-4.7736389684813751</v>
      </c>
      <c r="L699" s="125">
        <f>IF($D699="",0,'Guide &amp; Settings'!$C$44*IF($F699&gt;=3,$F699,0))</f>
        <v>3</v>
      </c>
      <c r="M699" s="124">
        <f t="shared" si="203"/>
        <v>-10.61771736969159</v>
      </c>
      <c r="N699" s="122">
        <f t="shared" si="204"/>
        <v>1081.2293180761003</v>
      </c>
      <c r="O699" s="121" t="str">
        <f t="shared" si="205"/>
        <v>OK</v>
      </c>
      <c r="P699">
        <f t="shared" si="206"/>
        <v>1223.2354115650985</v>
      </c>
      <c r="Q699">
        <f t="shared" si="207"/>
        <v>0.31944309473496346</v>
      </c>
      <c r="R699">
        <f t="shared" si="208"/>
        <v>0.53846153846153844</v>
      </c>
      <c r="S699">
        <f t="shared" si="209"/>
        <v>1.3535875888817066</v>
      </c>
      <c r="T699" s="89">
        <f t="shared" si="210"/>
        <v>24</v>
      </c>
      <c r="U699" s="126">
        <f>IF($D699="",0,IFERROR(LOOKUP(2,1/(($D$3:D698=$D699)*($C$3:C698=$C699)*($A$3:A698&lt;$A699)),$AB$3:AB698),1000))</f>
        <v>1068.3938417717586</v>
      </c>
      <c r="V699" s="126">
        <f t="shared" si="211"/>
        <v>1072.4374958534886</v>
      </c>
      <c r="W699">
        <f t="shared" si="212"/>
        <v>1035.642691799872</v>
      </c>
      <c r="X699">
        <f t="shared" si="213"/>
        <v>0.55275490007563843</v>
      </c>
      <c r="Y699">
        <f t="shared" si="214"/>
        <v>1006.3313293365553</v>
      </c>
      <c r="Z699">
        <f t="shared" si="215"/>
        <v>0.5883771266415575</v>
      </c>
      <c r="AA699">
        <f>IF($D699="",0,IF($F699&lt;2,0,IF($E699="Win",('Guide &amp; Settings'!$C$42/(($F699-1)*COUNTIFS($A$4:$A$1510,$A699,$E$4:$E$1510,"Win")))*SUMIFS($Z$4:$Z$1510,$A$4:$A$1510,$A699,$E$4:$E$1510,"Loss"),-('Guide &amp; Settings'!$C$42/($F699-1))*$Z699)))</f>
        <v>-9.41403402626492</v>
      </c>
      <c r="AB699" s="126">
        <f t="shared" si="216"/>
        <v>1058.9798077454936</v>
      </c>
      <c r="AC699" s="126">
        <f>IF($D699="","",IF($AD699=0,0,IF(COUNTIFS($D$4:$D699,$D699,$B$4:$B699,$B699)&gt;1,0,IF($B699&lt;'Guide &amp; Settings'!$C$50,0,IF(($B699-$AD699)/7-'Guide &amp; Settings'!$C$48&gt;=0,(INT(($B699-$AD699)/7-'Guide &amp; Settings'!$C$48)+1)*'Guide &amp; Settings'!$C$49,0)))))</f>
        <v>0</v>
      </c>
      <c r="AD699" s="142">
        <f t="shared" si="217"/>
        <v>46285</v>
      </c>
      <c r="AE699">
        <f t="shared" si="218"/>
        <v>1</v>
      </c>
      <c r="AF699">
        <f t="shared" si="219"/>
        <v>0</v>
      </c>
    </row>
    <row r="700" spans="1:32" x14ac:dyDescent="0.2">
      <c r="A700" s="117">
        <v>294</v>
      </c>
      <c r="B700" s="118">
        <v>46287</v>
      </c>
      <c r="C700" s="119" t="s">
        <v>50</v>
      </c>
      <c r="D700" s="119" t="s">
        <v>15</v>
      </c>
      <c r="E700" s="117" t="s">
        <v>371</v>
      </c>
      <c r="F700" s="120">
        <f t="shared" si="200"/>
        <v>3</v>
      </c>
      <c r="G700" s="121" t="str">
        <f t="shared" si="201"/>
        <v>Shawn</v>
      </c>
      <c r="H700" s="122">
        <f>IF($D700="",0,IFERROR(LOOKUP(2,1/(($D$3:D699=$D700)*($A$3:A699&lt;$A700)),$N$3:N699),'Guide &amp; Settings'!$C$41))</f>
        <v>1240.5171106942748</v>
      </c>
      <c r="I700" s="123">
        <f t="shared" si="202"/>
        <v>0.21107927411652339</v>
      </c>
      <c r="J700" s="124">
        <f>IF($D700="",0,IF($F700&lt;2,0,IF($E700="Win",('Guide &amp; Settings'!$C$42/(($F700-1)*COUNTIFS($A$4:$A$1510,$A700,$E$4:$E$1510,"Win")))*SUMIFS($X$4:$X$1510,$A$4:$A$1510,$A700,$E$4:$E$1510,"Loss"),-('Guide &amp; Settings'!$C$42/($F700-1))*$X700)))</f>
        <v>-8.1146442856914742</v>
      </c>
      <c r="K700" s="124">
        <f>IF($D700="",0,'Guide &amp; Settings'!$C$43*(IF($E700="Win",1,0)-$I700))</f>
        <v>-2.5329512893982806</v>
      </c>
      <c r="L700" s="125">
        <f>IF($D700="",0,'Guide &amp; Settings'!$C$44*IF($F700&gt;=3,$F700,0))</f>
        <v>3</v>
      </c>
      <c r="M700" s="124">
        <f t="shared" si="203"/>
        <v>-7.6475955750897544</v>
      </c>
      <c r="N700" s="122">
        <f t="shared" si="204"/>
        <v>1232.8695151191851</v>
      </c>
      <c r="O700" s="121" t="str">
        <f t="shared" si="205"/>
        <v>OK</v>
      </c>
      <c r="P700">
        <f t="shared" si="206"/>
        <v>1223.2354115650985</v>
      </c>
      <c r="Q700">
        <f t="shared" si="207"/>
        <v>0.52484987360463975</v>
      </c>
      <c r="R700">
        <f t="shared" si="208"/>
        <v>0.2857142857142857</v>
      </c>
      <c r="S700">
        <f t="shared" si="209"/>
        <v>1.3535875888817066</v>
      </c>
      <c r="T700" s="89">
        <f t="shared" si="210"/>
        <v>12</v>
      </c>
      <c r="U700" s="126">
        <f>IF($D700="",0,IFERROR(LOOKUP(2,1/(($D$3:D699=$D700)*($C$3:C699=$C700)*($A$3:A699&lt;$A700)),$AB$3:AB699),1000))</f>
        <v>957.33232909181368</v>
      </c>
      <c r="V700" s="126">
        <f t="shared" si="211"/>
        <v>1040.6219707395965</v>
      </c>
      <c r="W700">
        <f t="shared" si="212"/>
        <v>1035.642691799872</v>
      </c>
      <c r="X700">
        <f t="shared" si="213"/>
        <v>0.50716526785571714</v>
      </c>
      <c r="Y700">
        <f t="shared" si="214"/>
        <v>1006.3313293365553</v>
      </c>
      <c r="Z700">
        <f t="shared" si="215"/>
        <v>0.42994858693771154</v>
      </c>
      <c r="AA700">
        <f>IF($D700="",0,IF($F700&lt;2,0,IF($E700="Win",('Guide &amp; Settings'!$C$42/(($F700-1)*COUNTIFS($A$4:$A$1510,$A700,$E$4:$E$1510,"Win")))*SUMIFS($Z$4:$Z$1510,$A$4:$A$1510,$A700,$E$4:$E$1510,"Loss"),-('Guide &amp; Settings'!$C$42/($F700-1))*$Z700)))</f>
        <v>-6.8791773910033847</v>
      </c>
      <c r="AB700" s="126">
        <f t="shared" si="216"/>
        <v>950.45315170081028</v>
      </c>
      <c r="AC700" s="126">
        <f>IF($D700="","",IF($AD700=0,0,IF(COUNTIFS($D$4:$D700,$D700,$B$4:$B700,$B700)&gt;1,0,IF($B700&lt;'Guide &amp; Settings'!$C$50,0,IF(($B700-$AD700)/7-'Guide &amp; Settings'!$C$48&gt;=0,(INT(($B700-$AD700)/7-'Guide &amp; Settings'!$C$48)+1)*'Guide &amp; Settings'!$C$49,0)))))</f>
        <v>0</v>
      </c>
      <c r="AD700" s="142">
        <f t="shared" si="217"/>
        <v>46256</v>
      </c>
      <c r="AE700">
        <f t="shared" si="218"/>
        <v>1</v>
      </c>
      <c r="AF700">
        <f t="shared" si="219"/>
        <v>0</v>
      </c>
    </row>
    <row r="701" spans="1:32" x14ac:dyDescent="0.2">
      <c r="A701" s="117">
        <v>295</v>
      </c>
      <c r="B701" s="118">
        <v>46287</v>
      </c>
      <c r="C701" s="119" t="s">
        <v>50</v>
      </c>
      <c r="D701" s="119" t="s">
        <v>20</v>
      </c>
      <c r="E701" s="117" t="s">
        <v>371</v>
      </c>
      <c r="F701" s="120">
        <f t="shared" si="200"/>
        <v>2</v>
      </c>
      <c r="G701" s="121" t="str">
        <f t="shared" si="201"/>
        <v>Daniel (Ferret)</v>
      </c>
      <c r="H701" s="122">
        <f>IF($D701="",0,IFERROR(LOOKUP(2,1/(($D$3:D700=$D701)*($A$3:A700&lt;$A701)),$N$3:N700),'Guide &amp; Settings'!$C$41))</f>
        <v>1250.5007245098798</v>
      </c>
      <c r="I701" s="123">
        <f t="shared" si="202"/>
        <v>0.51146560319042866</v>
      </c>
      <c r="J701" s="124">
        <f>IF($D701="",0,IF($F701&lt;2,0,IF($E701="Win",('Guide &amp; Settings'!$C$42/(($F701-1)*COUNTIFS($A$4:$A$1510,$A701,$E$4:$E$1510,"Win")))*SUMIFS($X$4:$X$1510,$A$4:$A$1510,$A701,$E$4:$E$1510,"Loss"),-('Guide &amp; Settings'!$C$42/($F701-1))*$X701)))</f>
        <v>-15.535937772858658</v>
      </c>
      <c r="K701" s="124">
        <f>IF($D701="",0,'Guide &amp; Settings'!$C$43*(IF($E701="Win",1,0)-$I701))</f>
        <v>-6.1375872382851444</v>
      </c>
      <c r="L701" s="125">
        <f>IF($D701="",0,'Guide &amp; Settings'!$C$44*IF($F701&gt;=3,$F701,0))</f>
        <v>0</v>
      </c>
      <c r="M701" s="124">
        <f t="shared" si="203"/>
        <v>-21.673525011143802</v>
      </c>
      <c r="N701" s="122">
        <f t="shared" si="204"/>
        <v>1228.827199498736</v>
      </c>
      <c r="O701" s="121" t="str">
        <f t="shared" si="205"/>
        <v>OK</v>
      </c>
      <c r="P701">
        <f t="shared" si="206"/>
        <v>1081.2293180761003</v>
      </c>
      <c r="Q701">
        <f t="shared" si="207"/>
        <v>0.72599654554678883</v>
      </c>
      <c r="R701">
        <f t="shared" si="208"/>
        <v>0.54285714285714282</v>
      </c>
      <c r="S701">
        <f t="shared" si="209"/>
        <v>1.0613756613756613</v>
      </c>
      <c r="T701" s="89">
        <f t="shared" si="210"/>
        <v>33</v>
      </c>
      <c r="U701" s="126">
        <f>IF($D701="",0,IFERROR(LOOKUP(2,1/(($D$3:D700=$D701)*($C$3:C700=$C701)*($A$3:A700&lt;$A701)),$AB$3:AB700),1000))</f>
        <v>1022.6245407538236</v>
      </c>
      <c r="V701" s="126">
        <f t="shared" si="211"/>
        <v>1052.6082491427783</v>
      </c>
      <c r="W701">
        <f t="shared" si="212"/>
        <v>1062.6880594672614</v>
      </c>
      <c r="X701">
        <f t="shared" si="213"/>
        <v>0.48549805540183305</v>
      </c>
      <c r="Y701">
        <f t="shared" si="214"/>
        <v>1058.9798077454936</v>
      </c>
      <c r="Z701">
        <f t="shared" si="215"/>
        <v>0.4478706860841285</v>
      </c>
      <c r="AA701">
        <f>IF($D701="",0,IF($F701&lt;2,0,IF($E701="Win",('Guide &amp; Settings'!$C$42/(($F701-1)*COUNTIFS($A$4:$A$1510,$A701,$E$4:$E$1510,"Win")))*SUMIFS($Z$4:$Z$1510,$A$4:$A$1510,$A701,$E$4:$E$1510,"Loss"),-('Guide &amp; Settings'!$C$42/($F701-1))*$Z701)))</f>
        <v>-14.331861954692112</v>
      </c>
      <c r="AB701" s="126">
        <f t="shared" si="216"/>
        <v>1008.2926787991314</v>
      </c>
      <c r="AC701" s="126">
        <f>IF($D701="","",IF($AD701=0,0,IF(COUNTIFS($D$4:$D701,$D701,$B$4:$B701,$B701)&gt;1,0,IF($B701&lt;'Guide &amp; Settings'!$C$50,0,IF(($B701-$AD701)/7-'Guide &amp; Settings'!$C$48&gt;=0,(INT(($B701-$AD701)/7-'Guide &amp; Settings'!$C$48)+1)*'Guide &amp; Settings'!$C$49,0)))))</f>
        <v>0</v>
      </c>
      <c r="AD701" s="142">
        <f t="shared" si="217"/>
        <v>46285</v>
      </c>
      <c r="AE701">
        <f t="shared" si="218"/>
        <v>1</v>
      </c>
      <c r="AF701">
        <f t="shared" si="219"/>
        <v>0</v>
      </c>
    </row>
    <row r="702" spans="1:32" x14ac:dyDescent="0.2">
      <c r="A702" s="117">
        <v>295</v>
      </c>
      <c r="B702" s="118">
        <v>46287</v>
      </c>
      <c r="C702" s="119" t="s">
        <v>50</v>
      </c>
      <c r="D702" s="119" t="s">
        <v>22</v>
      </c>
      <c r="E702" s="117" t="s">
        <v>370</v>
      </c>
      <c r="F702" s="120">
        <f t="shared" si="200"/>
        <v>2</v>
      </c>
      <c r="G702" s="121" t="str">
        <f t="shared" si="201"/>
        <v>Daniel (Ferret)</v>
      </c>
      <c r="H702" s="122">
        <f>IF($D702="",0,IFERROR(LOOKUP(2,1/(($D$3:D701=$D702)*($A$3:A701&lt;$A702)),$N$3:N701),'Guide &amp; Settings'!$C$41))</f>
        <v>1081.2293180761003</v>
      </c>
      <c r="I702" s="123">
        <f t="shared" si="202"/>
        <v>0.48853439680957128</v>
      </c>
      <c r="J702" s="124">
        <f>IF($D702="",0,IF($F702&lt;2,0,IF($E702="Win",('Guide &amp; Settings'!$C$42/(($F702-1)*COUNTIFS($A$4:$A$1510,$A702,$E$4:$E$1510,"Win")))*SUMIFS($X$4:$X$1510,$A$4:$A$1510,$A702,$E$4:$E$1510,"Loss"),-('Guide &amp; Settings'!$C$42/($F702-1))*$X702)))</f>
        <v>15.535937772858658</v>
      </c>
      <c r="K702" s="124">
        <f>IF($D702="",0,'Guide &amp; Settings'!$C$43*(IF($E702="Win",1,0)-$I702))</f>
        <v>6.1375872382851453</v>
      </c>
      <c r="L702" s="125">
        <f>IF($D702="",0,'Guide &amp; Settings'!$C$44*IF($F702&gt;=3,$F702,0))</f>
        <v>0</v>
      </c>
      <c r="M702" s="124">
        <f t="shared" si="203"/>
        <v>21.673525011143802</v>
      </c>
      <c r="N702" s="122">
        <f t="shared" si="204"/>
        <v>1102.902843087244</v>
      </c>
      <c r="O702" s="121" t="str">
        <f t="shared" si="205"/>
        <v>OK</v>
      </c>
      <c r="P702">
        <f t="shared" si="206"/>
        <v>1081.2293180761003</v>
      </c>
      <c r="Q702">
        <f t="shared" si="207"/>
        <v>0.5</v>
      </c>
      <c r="R702">
        <f t="shared" si="208"/>
        <v>0.51851851851851849</v>
      </c>
      <c r="S702">
        <f t="shared" si="209"/>
        <v>1.0613756613756613</v>
      </c>
      <c r="T702" s="89">
        <f t="shared" si="210"/>
        <v>25</v>
      </c>
      <c r="U702" s="126">
        <f>IF($D702="",0,IFERROR(LOOKUP(2,1/(($D$3:D701=$D702)*($C$3:C701=$C702)*($A$3:A701&lt;$A702)),$AB$3:AB701),1000))</f>
        <v>1058.9798077454936</v>
      </c>
      <c r="V702" s="126">
        <f t="shared" si="211"/>
        <v>1062.6880594672614</v>
      </c>
      <c r="W702">
        <f t="shared" si="212"/>
        <v>1062.6880594672614</v>
      </c>
      <c r="X702">
        <f t="shared" si="213"/>
        <v>0.5</v>
      </c>
      <c r="Y702">
        <f t="shared" si="214"/>
        <v>1058.9798077454936</v>
      </c>
      <c r="Z702">
        <f t="shared" si="215"/>
        <v>0.5</v>
      </c>
      <c r="AA702">
        <f>IF($D702="",0,IF($F702&lt;2,0,IF($E702="Win",('Guide &amp; Settings'!$C$42/(($F702-1)*COUNTIFS($A$4:$A$1510,$A702,$E$4:$E$1510,"Win")))*SUMIFS($Z$4:$Z$1510,$A$4:$A$1510,$A702,$E$4:$E$1510,"Loss"),-('Guide &amp; Settings'!$C$42/($F702-1))*$Z702)))</f>
        <v>14.331861954692112</v>
      </c>
      <c r="AB702" s="126">
        <f t="shared" si="216"/>
        <v>1073.3116697001858</v>
      </c>
      <c r="AC702" s="126">
        <f>IF($D702="","",IF($AD702=0,0,IF(COUNTIFS($D$4:$D702,$D702,$B$4:$B702,$B702)&gt;1,0,IF($B702&lt;'Guide &amp; Settings'!$C$50,0,IF(($B702-$AD702)/7-'Guide &amp; Settings'!$C$48&gt;=0,(INT(($B702-$AD702)/7-'Guide &amp; Settings'!$C$48)+1)*'Guide &amp; Settings'!$C$49,0)))))</f>
        <v>0</v>
      </c>
      <c r="AD702" s="142">
        <f t="shared" si="217"/>
        <v>46285</v>
      </c>
      <c r="AE702">
        <f t="shared" si="218"/>
        <v>1</v>
      </c>
      <c r="AF702">
        <f t="shared" si="219"/>
        <v>0</v>
      </c>
    </row>
    <row r="703" spans="1:32" x14ac:dyDescent="0.2">
      <c r="A703" s="117">
        <v>296</v>
      </c>
      <c r="B703" s="118">
        <v>46287</v>
      </c>
      <c r="C703" s="119" t="s">
        <v>50</v>
      </c>
      <c r="D703" s="119" t="s">
        <v>20</v>
      </c>
      <c r="E703" s="117" t="s">
        <v>371</v>
      </c>
      <c r="F703" s="120">
        <f t="shared" si="200"/>
        <v>2</v>
      </c>
      <c r="G703" s="121" t="str">
        <f t="shared" si="201"/>
        <v>Daniel (Ferret)</v>
      </c>
      <c r="H703" s="122">
        <f>IF($D703="",0,IFERROR(LOOKUP(2,1/(($D$3:D702=$D703)*($A$3:A702&lt;$A703)),$N$3:N702),'Guide &amp; Settings'!$C$41))</f>
        <v>1228.827199498736</v>
      </c>
      <c r="I703" s="123">
        <f t="shared" si="202"/>
        <v>0.4962686567164179</v>
      </c>
      <c r="J703" s="124">
        <f>IF($D703="",0,IF($F703&lt;2,0,IF($E703="Win",('Guide &amp; Settings'!$C$42/(($F703-1)*COUNTIFS($A$4:$A$1510,$A703,$E$4:$E$1510,"Win")))*SUMIFS($X$4:$X$1510,$A$4:$A$1510,$A703,$E$4:$E$1510,"Loss"),-('Guide &amp; Settings'!$C$42/($F703-1))*$X703)))</f>
        <v>-14.097069937622958</v>
      </c>
      <c r="K703" s="124">
        <f>IF($D703="",0,'Guide &amp; Settings'!$C$43*(IF($E703="Win",1,0)-$I703))</f>
        <v>-5.955223880597015</v>
      </c>
      <c r="L703" s="125">
        <f>IF($D703="",0,'Guide &amp; Settings'!$C$44*IF($F703&gt;=3,$F703,0))</f>
        <v>0</v>
      </c>
      <c r="M703" s="124">
        <f t="shared" si="203"/>
        <v>-20.052293818219972</v>
      </c>
      <c r="N703" s="122">
        <f t="shared" si="204"/>
        <v>1208.774905680516</v>
      </c>
      <c r="O703" s="121" t="str">
        <f t="shared" si="205"/>
        <v>OK</v>
      </c>
      <c r="P703">
        <f t="shared" si="206"/>
        <v>1102.902843087244</v>
      </c>
      <c r="Q703">
        <f t="shared" si="207"/>
        <v>0.6736804702455762</v>
      </c>
      <c r="R703">
        <f t="shared" si="208"/>
        <v>0.52777777777777779</v>
      </c>
      <c r="S703">
        <f t="shared" si="209"/>
        <v>1.0634920634920635</v>
      </c>
      <c r="T703" s="89">
        <f t="shared" si="210"/>
        <v>34</v>
      </c>
      <c r="U703" s="126">
        <f>IF($D703="",0,IFERROR(LOOKUP(2,1/(($D$3:D702=$D703)*($C$3:C702=$C703)*($A$3:A702&lt;$A703)),$AB$3:AB702),1000))</f>
        <v>1008.2926787991314</v>
      </c>
      <c r="V703" s="126">
        <f t="shared" si="211"/>
        <v>1036.5663352990807</v>
      </c>
      <c r="W703">
        <f t="shared" si="212"/>
        <v>1078.0844396013242</v>
      </c>
      <c r="X703">
        <f t="shared" si="213"/>
        <v>0.44053343555071744</v>
      </c>
      <c r="Y703">
        <f t="shared" si="214"/>
        <v>1073.3116697001858</v>
      </c>
      <c r="Z703">
        <f t="shared" si="215"/>
        <v>0.40750737426892092</v>
      </c>
      <c r="AA703">
        <f>IF($D703="",0,IF($F703&lt;2,0,IF($E703="Win",('Guide &amp; Settings'!$C$42/(($F703-1)*COUNTIFS($A$4:$A$1510,$A703,$E$4:$E$1510,"Win")))*SUMIFS($Z$4:$Z$1510,$A$4:$A$1510,$A703,$E$4:$E$1510,"Loss"),-('Guide &amp; Settings'!$C$42/($F703-1))*$Z703)))</f>
        <v>-13.040235976605469</v>
      </c>
      <c r="AB703" s="126">
        <f t="shared" si="216"/>
        <v>995.25244282252595</v>
      </c>
      <c r="AC703" s="126">
        <f>IF($D703="","",IF($AD703=0,0,IF(COUNTIFS($D$4:$D703,$D703,$B$4:$B703,$B703)&gt;1,0,IF($B703&lt;'Guide &amp; Settings'!$C$50,0,IF(($B703-$AD703)/7-'Guide &amp; Settings'!$C$48&gt;=0,(INT(($B703-$AD703)/7-'Guide &amp; Settings'!$C$48)+1)*'Guide &amp; Settings'!$C$49,0)))))</f>
        <v>0</v>
      </c>
      <c r="AD703" s="142">
        <f t="shared" si="217"/>
        <v>46285</v>
      </c>
      <c r="AE703">
        <f t="shared" si="218"/>
        <v>1</v>
      </c>
      <c r="AF703">
        <f t="shared" si="219"/>
        <v>0</v>
      </c>
    </row>
    <row r="704" spans="1:32" x14ac:dyDescent="0.2">
      <c r="A704" s="117">
        <v>296</v>
      </c>
      <c r="B704" s="118">
        <v>46287</v>
      </c>
      <c r="C704" s="119" t="s">
        <v>50</v>
      </c>
      <c r="D704" s="119" t="s">
        <v>22</v>
      </c>
      <c r="E704" s="117" t="s">
        <v>370</v>
      </c>
      <c r="F704" s="120">
        <f t="shared" si="200"/>
        <v>2</v>
      </c>
      <c r="G704" s="121" t="str">
        <f t="shared" si="201"/>
        <v>Daniel (Ferret)</v>
      </c>
      <c r="H704" s="122">
        <f>IF($D704="",0,IFERROR(LOOKUP(2,1/(($D$3:D703=$D704)*($A$3:A703&lt;$A704)),$N$3:N703),'Guide &amp; Settings'!$C$41))</f>
        <v>1102.902843087244</v>
      </c>
      <c r="I704" s="123">
        <f t="shared" si="202"/>
        <v>0.50373134328358204</v>
      </c>
      <c r="J704" s="124">
        <f>IF($D704="",0,IF($F704&lt;2,0,IF($E704="Win",('Guide &amp; Settings'!$C$42/(($F704-1)*COUNTIFS($A$4:$A$1510,$A704,$E$4:$E$1510,"Win")))*SUMIFS($X$4:$X$1510,$A$4:$A$1510,$A704,$E$4:$E$1510,"Loss"),-('Guide &amp; Settings'!$C$42/($F704-1))*$X704)))</f>
        <v>14.097069937622958</v>
      </c>
      <c r="K704" s="124">
        <f>IF($D704="",0,'Guide &amp; Settings'!$C$43*(IF($E704="Win",1,0)-$I704))</f>
        <v>5.9552238805970159</v>
      </c>
      <c r="L704" s="125">
        <f>IF($D704="",0,'Guide &amp; Settings'!$C$44*IF($F704&gt;=3,$F704,0))</f>
        <v>0</v>
      </c>
      <c r="M704" s="124">
        <f t="shared" si="203"/>
        <v>20.052293818219972</v>
      </c>
      <c r="N704" s="122">
        <f t="shared" si="204"/>
        <v>1122.9551369054641</v>
      </c>
      <c r="O704" s="121" t="str">
        <f t="shared" si="205"/>
        <v>OK</v>
      </c>
      <c r="P704">
        <f t="shared" si="206"/>
        <v>1102.902843087244</v>
      </c>
      <c r="Q704">
        <f t="shared" si="207"/>
        <v>0.5</v>
      </c>
      <c r="R704">
        <f t="shared" si="208"/>
        <v>0.5357142857142857</v>
      </c>
      <c r="S704">
        <f t="shared" si="209"/>
        <v>1.0634920634920635</v>
      </c>
      <c r="T704" s="89">
        <f t="shared" si="210"/>
        <v>26</v>
      </c>
      <c r="U704" s="126">
        <f>IF($D704="",0,IFERROR(LOOKUP(2,1/(($D$3:D703=$D704)*($C$3:C703=$C704)*($A$3:A703&lt;$A704)),$AB$3:AB703),1000))</f>
        <v>1073.3116697001858</v>
      </c>
      <c r="V704" s="126">
        <f t="shared" si="211"/>
        <v>1078.0844396013242</v>
      </c>
      <c r="W704">
        <f t="shared" si="212"/>
        <v>1078.0844396013242</v>
      </c>
      <c r="X704">
        <f t="shared" si="213"/>
        <v>0.5</v>
      </c>
      <c r="Y704">
        <f t="shared" si="214"/>
        <v>1073.3116697001858</v>
      </c>
      <c r="Z704">
        <f t="shared" si="215"/>
        <v>0.5</v>
      </c>
      <c r="AA704">
        <f>IF($D704="",0,IF($F704&lt;2,0,IF($E704="Win",('Guide &amp; Settings'!$C$42/(($F704-1)*COUNTIFS($A$4:$A$1510,$A704,$E$4:$E$1510,"Win")))*SUMIFS($Z$4:$Z$1510,$A$4:$A$1510,$A704,$E$4:$E$1510,"Loss"),-('Guide &amp; Settings'!$C$42/($F704-1))*$Z704)))</f>
        <v>13.040235976605469</v>
      </c>
      <c r="AB704" s="126">
        <f t="shared" si="216"/>
        <v>1086.3519056767914</v>
      </c>
      <c r="AC704" s="126">
        <f>IF($D704="","",IF($AD704=0,0,IF(COUNTIFS($D$4:$D704,$D704,$B$4:$B704,$B704)&gt;1,0,IF($B704&lt;'Guide &amp; Settings'!$C$50,0,IF(($B704-$AD704)/7-'Guide &amp; Settings'!$C$48&gt;=0,(INT(($B704-$AD704)/7-'Guide &amp; Settings'!$C$48)+1)*'Guide &amp; Settings'!$C$49,0)))))</f>
        <v>0</v>
      </c>
      <c r="AD704" s="142">
        <f t="shared" si="217"/>
        <v>46285</v>
      </c>
      <c r="AE704">
        <f t="shared" si="218"/>
        <v>1</v>
      </c>
      <c r="AF704">
        <f t="shared" si="219"/>
        <v>0</v>
      </c>
    </row>
    <row r="705" spans="1:32" x14ac:dyDescent="0.2">
      <c r="A705" s="117">
        <v>297</v>
      </c>
      <c r="B705" s="118">
        <v>46289</v>
      </c>
      <c r="C705" s="119" t="s">
        <v>50</v>
      </c>
      <c r="D705" s="119" t="s">
        <v>20</v>
      </c>
      <c r="E705" s="117" t="s">
        <v>371</v>
      </c>
      <c r="F705" s="120">
        <f t="shared" si="200"/>
        <v>2</v>
      </c>
      <c r="G705" s="121" t="str">
        <f t="shared" si="201"/>
        <v>Daniel (Ferret)</v>
      </c>
      <c r="H705" s="122">
        <f>IF($D705="",0,IFERROR(LOOKUP(2,1/(($D$3:D704=$D705)*($A$3:A704&lt;$A705)),$N$3:N704),'Guide &amp; Settings'!$C$41))</f>
        <v>1208.774905680516</v>
      </c>
      <c r="I705" s="123">
        <f t="shared" si="202"/>
        <v>0.48206474190726162</v>
      </c>
      <c r="J705" s="124">
        <f>IF($D705="",0,IF($F705&lt;2,0,IF($E705="Win",('Guide &amp; Settings'!$C$42/(($F705-1)*COUNTIFS($A$4:$A$1510,$A705,$E$4:$E$1510,"Win")))*SUMIFS($X$4:$X$1510,$A$4:$A$1510,$A705,$E$4:$E$1510,"Loss"),-('Guide &amp; Settings'!$C$42/($F705-1))*$X705)))</f>
        <v>-12.813623124203657</v>
      </c>
      <c r="K705" s="124">
        <f>IF($D705="",0,'Guide &amp; Settings'!$C$43*(IF($E705="Win",1,0)-$I705))</f>
        <v>-5.7847769028871392</v>
      </c>
      <c r="L705" s="125">
        <f>IF($D705="",0,'Guide &amp; Settings'!$C$44*IF($F705&gt;=3,$F705,0))</f>
        <v>0</v>
      </c>
      <c r="M705" s="124">
        <f t="shared" si="203"/>
        <v>-18.598400027090797</v>
      </c>
      <c r="N705" s="122">
        <f t="shared" si="204"/>
        <v>1190.1765056534252</v>
      </c>
      <c r="O705" s="121" t="str">
        <f t="shared" si="205"/>
        <v>OK</v>
      </c>
      <c r="P705">
        <f t="shared" si="206"/>
        <v>1122.9551369054641</v>
      </c>
      <c r="Q705">
        <f t="shared" si="207"/>
        <v>0.62105258338343672</v>
      </c>
      <c r="R705">
        <f t="shared" si="208"/>
        <v>0.51351351351351349</v>
      </c>
      <c r="S705">
        <f t="shared" si="209"/>
        <v>1.0652376514445479</v>
      </c>
      <c r="T705" s="89">
        <f t="shared" si="210"/>
        <v>35</v>
      </c>
      <c r="U705" s="126">
        <f>IF($D705="",0,IFERROR(LOOKUP(2,1/(($D$3:D704=$D705)*($C$3:C704=$C705)*($A$3:A704&lt;$A705)),$AB$3:AB704),1000))</f>
        <v>995.25244282252595</v>
      </c>
      <c r="V705" s="126">
        <f t="shared" si="211"/>
        <v>1021.9427506797747</v>
      </c>
      <c r="W705">
        <f t="shared" si="212"/>
        <v>1092.0711605562715</v>
      </c>
      <c r="X705">
        <f t="shared" si="213"/>
        <v>0.40042572263136428</v>
      </c>
      <c r="Y705">
        <f t="shared" si="214"/>
        <v>1086.3519056767914</v>
      </c>
      <c r="Z705">
        <f t="shared" si="215"/>
        <v>0.3718214529299057</v>
      </c>
      <c r="AA705">
        <f>IF($D705="",0,IF($F705&lt;2,0,IF($E705="Win",('Guide &amp; Settings'!$C$42/(($F705-1)*COUNTIFS($A$4:$A$1510,$A705,$E$4:$E$1510,"Win")))*SUMIFS($Z$4:$Z$1510,$A$4:$A$1510,$A705,$E$4:$E$1510,"Loss"),-('Guide &amp; Settings'!$C$42/($F705-1))*$Z705)))</f>
        <v>-11.898286493756983</v>
      </c>
      <c r="AB705" s="126">
        <f t="shared" si="216"/>
        <v>983.35415632876902</v>
      </c>
      <c r="AC705" s="126">
        <f>IF($D705="","",IF($AD705=0,0,IF(COUNTIFS($D$4:$D705,$D705,$B$4:$B705,$B705)&gt;1,0,IF($B705&lt;'Guide &amp; Settings'!$C$50,0,IF(($B705-$AD705)/7-'Guide &amp; Settings'!$C$48&gt;=0,(INT(($B705-$AD705)/7-'Guide &amp; Settings'!$C$48)+1)*'Guide &amp; Settings'!$C$49,0)))))</f>
        <v>0</v>
      </c>
      <c r="AD705" s="142">
        <f t="shared" si="217"/>
        <v>46287</v>
      </c>
      <c r="AE705">
        <f t="shared" si="218"/>
        <v>1</v>
      </c>
      <c r="AF705">
        <f t="shared" si="219"/>
        <v>0</v>
      </c>
    </row>
    <row r="706" spans="1:32" x14ac:dyDescent="0.2">
      <c r="A706" s="117">
        <v>297</v>
      </c>
      <c r="B706" s="118">
        <v>46289</v>
      </c>
      <c r="C706" s="119" t="s">
        <v>50</v>
      </c>
      <c r="D706" s="119" t="s">
        <v>22</v>
      </c>
      <c r="E706" s="117" t="s">
        <v>370</v>
      </c>
      <c r="F706" s="120">
        <f t="shared" si="200"/>
        <v>2</v>
      </c>
      <c r="G706" s="121" t="str">
        <f t="shared" si="201"/>
        <v>Daniel (Ferret)</v>
      </c>
      <c r="H706" s="122">
        <f>IF($D706="",0,IFERROR(LOOKUP(2,1/(($D$3:D705=$D706)*($A$3:A705&lt;$A706)),$N$3:N705),'Guide &amp; Settings'!$C$41))</f>
        <v>1122.9551369054641</v>
      </c>
      <c r="I706" s="123">
        <f t="shared" si="202"/>
        <v>0.51793525809273844</v>
      </c>
      <c r="J706" s="124">
        <f>IF($D706="",0,IF($F706&lt;2,0,IF($E706="Win",('Guide &amp; Settings'!$C$42/(($F706-1)*COUNTIFS($A$4:$A$1510,$A706,$E$4:$E$1510,"Win")))*SUMIFS($X$4:$X$1510,$A$4:$A$1510,$A706,$E$4:$E$1510,"Loss"),-('Guide &amp; Settings'!$C$42/($F706-1))*$X706)))</f>
        <v>12.813623124203657</v>
      </c>
      <c r="K706" s="124">
        <f>IF($D706="",0,'Guide &amp; Settings'!$C$43*(IF($E706="Win",1,0)-$I706))</f>
        <v>5.7847769028871383</v>
      </c>
      <c r="L706" s="125">
        <f>IF($D706="",0,'Guide &amp; Settings'!$C$44*IF($F706&gt;=3,$F706,0))</f>
        <v>0</v>
      </c>
      <c r="M706" s="124">
        <f t="shared" si="203"/>
        <v>18.598400027090797</v>
      </c>
      <c r="N706" s="122">
        <f t="shared" si="204"/>
        <v>1141.5535369325548</v>
      </c>
      <c r="O706" s="121" t="str">
        <f t="shared" si="205"/>
        <v>OK</v>
      </c>
      <c r="P706">
        <f t="shared" si="206"/>
        <v>1122.9551369054641</v>
      </c>
      <c r="Q706">
        <f t="shared" si="207"/>
        <v>0.5</v>
      </c>
      <c r="R706">
        <f t="shared" si="208"/>
        <v>0.55172413793103448</v>
      </c>
      <c r="S706">
        <f t="shared" si="209"/>
        <v>1.0652376514445479</v>
      </c>
      <c r="T706" s="89">
        <f t="shared" si="210"/>
        <v>27</v>
      </c>
      <c r="U706" s="126">
        <f>IF($D706="",0,IFERROR(LOOKUP(2,1/(($D$3:D705=$D706)*($C$3:C705=$C706)*($A$3:A705&lt;$A706)),$AB$3:AB705),1000))</f>
        <v>1086.3519056767914</v>
      </c>
      <c r="V706" s="126">
        <f t="shared" si="211"/>
        <v>1092.0711605562715</v>
      </c>
      <c r="W706">
        <f t="shared" si="212"/>
        <v>1092.0711605562715</v>
      </c>
      <c r="X706">
        <f t="shared" si="213"/>
        <v>0.5</v>
      </c>
      <c r="Y706">
        <f t="shared" si="214"/>
        <v>1086.3519056767914</v>
      </c>
      <c r="Z706">
        <f t="shared" si="215"/>
        <v>0.5</v>
      </c>
      <c r="AA706">
        <f>IF($D706="",0,IF($F706&lt;2,0,IF($E706="Win",('Guide &amp; Settings'!$C$42/(($F706-1)*COUNTIFS($A$4:$A$1510,$A706,$E$4:$E$1510,"Win")))*SUMIFS($Z$4:$Z$1510,$A$4:$A$1510,$A706,$E$4:$E$1510,"Loss"),-('Guide &amp; Settings'!$C$42/($F706-1))*$Z706)))</f>
        <v>11.898286493756983</v>
      </c>
      <c r="AB706" s="126">
        <f t="shared" si="216"/>
        <v>1098.2501921705484</v>
      </c>
      <c r="AC706" s="126">
        <f>IF($D706="","",IF($AD706=0,0,IF(COUNTIFS($D$4:$D706,$D706,$B$4:$B706,$B706)&gt;1,0,IF($B706&lt;'Guide &amp; Settings'!$C$50,0,IF(($B706-$AD706)/7-'Guide &amp; Settings'!$C$48&gt;=0,(INT(($B706-$AD706)/7-'Guide &amp; Settings'!$C$48)+1)*'Guide &amp; Settings'!$C$49,0)))))</f>
        <v>0</v>
      </c>
      <c r="AD706" s="142">
        <f t="shared" si="217"/>
        <v>46287</v>
      </c>
      <c r="AE706">
        <f t="shared" si="218"/>
        <v>1</v>
      </c>
      <c r="AF706">
        <f t="shared" si="219"/>
        <v>0</v>
      </c>
    </row>
    <row r="707" spans="1:32" x14ac:dyDescent="0.2">
      <c r="A707" s="117">
        <v>298</v>
      </c>
      <c r="B707" s="118">
        <v>46289</v>
      </c>
      <c r="C707" s="119" t="s">
        <v>50</v>
      </c>
      <c r="D707" s="119" t="s">
        <v>20</v>
      </c>
      <c r="E707" s="117" t="s">
        <v>371</v>
      </c>
      <c r="F707" s="120">
        <f t="shared" si="200"/>
        <v>2</v>
      </c>
      <c r="G707" s="121" t="str">
        <f t="shared" si="201"/>
        <v>Daniel (Ferret)</v>
      </c>
      <c r="H707" s="122">
        <f>IF($D707="",0,IFERROR(LOOKUP(2,1/(($D$3:D706=$D707)*($A$3:A706&lt;$A707)),$N$3:N706),'Guide &amp; Settings'!$C$41))</f>
        <v>1190.1765056534252</v>
      </c>
      <c r="I707" s="123">
        <f t="shared" si="202"/>
        <v>0.46875</v>
      </c>
      <c r="J707" s="124">
        <f>IF($D707="",0,IF($F707&lt;2,0,IF($E707="Win",('Guide &amp; Settings'!$C$42/(($F707-1)*COUNTIFS($A$4:$A$1510,$A707,$E$4:$E$1510,"Win")))*SUMIFS($X$4:$X$1510,$A$4:$A$1510,$A707,$E$4:$E$1510,"Loss"),-('Guide &amp; Settings'!$C$42/($F707-1))*$X707)))</f>
        <v>-11.678182697838462</v>
      </c>
      <c r="K707" s="124">
        <f>IF($D707="",0,'Guide &amp; Settings'!$C$43*(IF($E707="Win",1,0)-$I707))</f>
        <v>-5.625</v>
      </c>
      <c r="L707" s="125">
        <f>IF($D707="",0,'Guide &amp; Settings'!$C$44*IF($F707&gt;=3,$F707,0))</f>
        <v>0</v>
      </c>
      <c r="M707" s="124">
        <f t="shared" si="203"/>
        <v>-17.303182697838462</v>
      </c>
      <c r="N707" s="122">
        <f t="shared" si="204"/>
        <v>1172.8733229555867</v>
      </c>
      <c r="O707" s="121" t="str">
        <f t="shared" si="205"/>
        <v>OK</v>
      </c>
      <c r="P707">
        <f t="shared" si="206"/>
        <v>1141.5535369325548</v>
      </c>
      <c r="Q707">
        <f t="shared" si="207"/>
        <v>0.5695208021297602</v>
      </c>
      <c r="R707">
        <f t="shared" si="208"/>
        <v>0.5</v>
      </c>
      <c r="S707">
        <f t="shared" si="209"/>
        <v>1.0666666666666667</v>
      </c>
      <c r="T707" s="89">
        <f t="shared" si="210"/>
        <v>36</v>
      </c>
      <c r="U707" s="126">
        <f>IF($D707="",0,IFERROR(LOOKUP(2,1/(($D$3:D706=$D707)*($C$3:C706=$C707)*($A$3:A706&lt;$A707)),$AB$3:AB706),1000))</f>
        <v>983.35415632876902</v>
      </c>
      <c r="V707" s="126">
        <f t="shared" si="211"/>
        <v>1008.5763940512882</v>
      </c>
      <c r="W707">
        <f t="shared" si="212"/>
        <v>1104.8113050132768</v>
      </c>
      <c r="X707">
        <f t="shared" si="213"/>
        <v>0.36494320930745194</v>
      </c>
      <c r="Y707">
        <f t="shared" si="214"/>
        <v>1098.2501921705484</v>
      </c>
      <c r="Z707">
        <f t="shared" si="215"/>
        <v>0.34042637029053863</v>
      </c>
      <c r="AA707">
        <f>IF($D707="",0,IF($F707&lt;2,0,IF($E707="Win",('Guide &amp; Settings'!$C$42/(($F707-1)*COUNTIFS($A$4:$A$1510,$A707,$E$4:$E$1510,"Win")))*SUMIFS($Z$4:$Z$1510,$A$4:$A$1510,$A707,$E$4:$E$1510,"Loss"),-('Guide &amp; Settings'!$C$42/($F707-1))*$Z707)))</f>
        <v>-10.893643849297236</v>
      </c>
      <c r="AB707" s="126">
        <f t="shared" si="216"/>
        <v>972.46051247947173</v>
      </c>
      <c r="AC707" s="126">
        <f>IF($D707="","",IF($AD707=0,0,IF(COUNTIFS($D$4:$D707,$D707,$B$4:$B707,$B707)&gt;1,0,IF($B707&lt;'Guide &amp; Settings'!$C$50,0,IF(($B707-$AD707)/7-'Guide &amp; Settings'!$C$48&gt;=0,(INT(($B707-$AD707)/7-'Guide &amp; Settings'!$C$48)+1)*'Guide &amp; Settings'!$C$49,0)))))</f>
        <v>0</v>
      </c>
      <c r="AD707" s="142">
        <f t="shared" si="217"/>
        <v>46287</v>
      </c>
      <c r="AE707">
        <f t="shared" si="218"/>
        <v>1</v>
      </c>
      <c r="AF707">
        <f t="shared" si="219"/>
        <v>0</v>
      </c>
    </row>
    <row r="708" spans="1:32" x14ac:dyDescent="0.2">
      <c r="A708" s="117">
        <v>298</v>
      </c>
      <c r="B708" s="118">
        <v>46289</v>
      </c>
      <c r="C708" s="119" t="s">
        <v>50</v>
      </c>
      <c r="D708" s="119" t="s">
        <v>22</v>
      </c>
      <c r="E708" s="117" t="s">
        <v>370</v>
      </c>
      <c r="F708" s="120">
        <f t="shared" ref="F708:F771" si="220">IF($D708="",0,COUNTIF($A$4:$A$1510,$A708))</f>
        <v>2</v>
      </c>
      <c r="G708" s="121" t="str">
        <f t="shared" ref="G708:G771" si="221">IF($D708="","",IFERROR(LOOKUP(2,1/(($A$4:$A$1510=$A708)*($E$4:$E$1510="Win")),$D$4:$D$1510),"(no winner)"))</f>
        <v>Daniel (Ferret)</v>
      </c>
      <c r="H708" s="122">
        <f>IF($D708="",0,IFERROR(LOOKUP(2,1/(($D$3:D707=$D708)*($A$3:A707&lt;$A708)),$N$3:N707),'Guide &amp; Settings'!$C$41))</f>
        <v>1141.5535369325548</v>
      </c>
      <c r="I708" s="123">
        <f t="shared" ref="I708:I771" si="222">IF($D708="",0,IF($S708=0,0,$R708/$S708))</f>
        <v>0.53125</v>
      </c>
      <c r="J708" s="124">
        <f>IF($D708="",0,IF($F708&lt;2,0,IF($E708="Win",('Guide &amp; Settings'!$C$42/(($F708-1)*COUNTIFS($A$4:$A$1510,$A708,$E$4:$E$1510,"Win")))*SUMIFS($X$4:$X$1510,$A$4:$A$1510,$A708,$E$4:$E$1510,"Loss"),-('Guide &amp; Settings'!$C$42/($F708-1))*$X708)))</f>
        <v>11.678182697838462</v>
      </c>
      <c r="K708" s="124">
        <f>IF($D708="",0,'Guide &amp; Settings'!$C$43*(IF($E708="Win",1,0)-$I708))</f>
        <v>5.625</v>
      </c>
      <c r="L708" s="125">
        <f>IF($D708="",0,'Guide &amp; Settings'!$C$44*IF($F708&gt;=3,$F708,0))</f>
        <v>0</v>
      </c>
      <c r="M708" s="124">
        <f t="shared" ref="M708:M771" si="223">IF($D708="",0,$J708+$K708+$L708)</f>
        <v>17.303182697838462</v>
      </c>
      <c r="N708" s="122">
        <f t="shared" ref="N708:N771" si="224">IF($D708="",0,$H708+$M708)</f>
        <v>1158.8567196303934</v>
      </c>
      <c r="O708" s="121" t="str">
        <f t="shared" ref="O708:O771" si="225">IF($D708="","",IF($AE708=0,"need a winner",IF($F708-$AE708=0,"need a loser",IF(MOD($AF708,2)=1,"duplicate player",IF(MOD(INT($AF708/2),2)=1,"mixed sports",IF($AF708&gt;=4,"mixed dates",IF($AE708&gt;1,IF($F708&gt;=4,"OK (team)","check winners"),"OK")))))))</f>
        <v>OK</v>
      </c>
      <c r="P708">
        <f t="shared" ref="P708:P771" si="226">IF($D708="",0,IFERROR(SUMIFS($H$4:$H$1510,$A$4:$A$1510,$A708,$E$4:$E$1510,"Win")/COUNTIFS($A$4:$A$1510,$A708,$E$4:$E$1510,"Win"),0))</f>
        <v>1141.5535369325548</v>
      </c>
      <c r="Q708">
        <f t="shared" ref="Q708:Q771" si="227">IF($D708="",0,1/(1+10^(($P708-$H708)/400)))</f>
        <v>0.5</v>
      </c>
      <c r="R708">
        <f t="shared" ref="R708:R771" si="228">IF($D708="",0,(COUNTIFS($D$4:$D$1510,$D708,$C$4:$C$1510,$C708,$E$4:$E$1510,"Win",$A$4:$A$1510,"&lt;"&amp;$A708)+1)/(COUNTIFS($D$4:$D$1510,$D708,$C$4:$C$1510,$C708,$A$4:$A$1510,"&lt;"&amp;$A708)+2))</f>
        <v>0.56666666666666665</v>
      </c>
      <c r="S708">
        <f t="shared" ref="S708:S771" si="229">IF($D708="",0,SUMIFS($R$4:$R$1510,$A$4:$A$1510,$A708))</f>
        <v>1.0666666666666667</v>
      </c>
      <c r="T708" s="89">
        <f t="shared" ref="T708:T771" si="230">IF($D708="",0,COUNTIFS($D$4:$D$1510,$D708,$C$4:$C$1510,$C708,$A$4:$A$1510,"&lt;"&amp;$A708))</f>
        <v>28</v>
      </c>
      <c r="U708" s="126">
        <f>IF($D708="",0,IFERROR(LOOKUP(2,1/(($D$3:D707=$D708)*($C$3:C707=$C708)*($A$3:A707&lt;$A708)),$AB$3:AB707),1000))</f>
        <v>1098.2501921705484</v>
      </c>
      <c r="V708" s="126">
        <f t="shared" ref="V708:V771" si="231">IF($D708="",0,$U708*($T708/($T708+5))+$H708*(1-$T708/($T708+5)))</f>
        <v>1104.8113050132768</v>
      </c>
      <c r="W708">
        <f t="shared" ref="W708:W771" si="232">IF($D708="",0,IFERROR(SUMIFS($V$4:$V$1510,$A$4:$A$1510,$A708,$E$4:$E$1510,"Win")/COUNTIFS($A$4:$A$1510,$A708,$E$4:$E$1510,"Win"),0))</f>
        <v>1104.8113050132768</v>
      </c>
      <c r="X708">
        <f t="shared" ref="X708:X771" si="233">IF($D708="",0,1/(1+10^(($W708-$V708)/400)))</f>
        <v>0.5</v>
      </c>
      <c r="Y708">
        <f t="shared" ref="Y708:Y771" si="234">IF($D708="",0,IFERROR(SUMIFS($U$4:$U$1510,$A$4:$A$1510,$A708,$E$4:$E$1510,"Win")/COUNTIFS($A$4:$A$1510,$A708,$E$4:$E$1510,"Win"),0))</f>
        <v>1098.2501921705484</v>
      </c>
      <c r="Z708">
        <f t="shared" ref="Z708:Z771" si="235">IF($D708="",0,1/(1+10^(($Y708-$U708)/400)))</f>
        <v>0.5</v>
      </c>
      <c r="AA708">
        <f>IF($D708="",0,IF($F708&lt;2,0,IF($E708="Win",('Guide &amp; Settings'!$C$42/(($F708-1)*COUNTIFS($A$4:$A$1510,$A708,$E$4:$E$1510,"Win")))*SUMIFS($Z$4:$Z$1510,$A$4:$A$1510,$A708,$E$4:$E$1510,"Loss"),-('Guide &amp; Settings'!$C$42/($F708-1))*$Z708)))</f>
        <v>10.893643849297236</v>
      </c>
      <c r="AB708" s="126">
        <f t="shared" ref="AB708:AB771" si="236">IF($D708="",0,$U708+$AA708)</f>
        <v>1109.1438360198456</v>
      </c>
      <c r="AC708" s="126">
        <f>IF($D708="","",IF($AD708=0,0,IF(COUNTIFS($D$4:$D708,$D708,$B$4:$B708,$B708)&gt;1,0,IF($B708&lt;'Guide &amp; Settings'!$C$50,0,IF(($B708-$AD708)/7-'Guide &amp; Settings'!$C$48&gt;=0,(INT(($B708-$AD708)/7-'Guide &amp; Settings'!$C$48)+1)*'Guide &amp; Settings'!$C$49,0)))))</f>
        <v>0</v>
      </c>
      <c r="AD708" s="142">
        <f t="shared" ref="AD708:AD771" si="237">IF($D708="",0,SUMPRODUCT(MAX(($D$4:$D$1510=$D708)*($B$4:$B$1510&lt;$B708)*$B$4:$B$1510)))</f>
        <v>46287</v>
      </c>
      <c r="AE708">
        <f t="shared" ref="AE708:AE771" si="238">IF($D708="",0,COUNTIFS($A$4:$A$1510,$A708,$E$4:$E$1510,"Win"))</f>
        <v>1</v>
      </c>
      <c r="AF708">
        <f t="shared" ref="AF708:AF771" si="239">IF($D708="",0,(COUNTIFS($A$4:$A$1510,$A708,$D$4:$D$1510,$D708)&gt;1)*1+(COUNTIFS($A$4:$A$1510,$A708,$C$4:$C$1510,"&lt;&gt;"&amp;$C708)&gt;0)*2+(COUNTIFS($A$4:$A$1510,$A708,$B$4:$B$1510,"&lt;&gt;"&amp;$B708)&gt;0)*4)</f>
        <v>0</v>
      </c>
    </row>
    <row r="709" spans="1:32" x14ac:dyDescent="0.2">
      <c r="A709" s="117">
        <v>299</v>
      </c>
      <c r="B709" s="118">
        <v>46289</v>
      </c>
      <c r="C709" s="119" t="s">
        <v>50</v>
      </c>
      <c r="D709" s="119" t="s">
        <v>20</v>
      </c>
      <c r="E709" s="117" t="s">
        <v>371</v>
      </c>
      <c r="F709" s="120">
        <f t="shared" si="220"/>
        <v>2</v>
      </c>
      <c r="G709" s="121" t="str">
        <f t="shared" si="221"/>
        <v>Daniel (Ferret)</v>
      </c>
      <c r="H709" s="122">
        <f>IF($D709="",0,IFERROR(LOOKUP(2,1/(($D$3:D708=$D709)*($A$3:A708&lt;$A709)),$N$3:N708),'Guide &amp; Settings'!$C$41))</f>
        <v>1172.8733229555867</v>
      </c>
      <c r="I709" s="123">
        <f t="shared" si="222"/>
        <v>0.45623547637490319</v>
      </c>
      <c r="J709" s="124">
        <f>IF($D709="",0,IF($F709&lt;2,0,IF($E709="Win",('Guide &amp; Settings'!$C$42/(($F709-1)*COUNTIFS($A$4:$A$1510,$A709,$E$4:$E$1510,"Win")))*SUMIFS($X$4:$X$1510,$A$4:$A$1510,$A709,$E$4:$E$1510,"Loss"),-('Guide &amp; Settings'!$C$42/($F709-1))*$X709)))</f>
        <v>-10.677993250046457</v>
      </c>
      <c r="K709" s="124">
        <f>IF($D709="",0,'Guide &amp; Settings'!$C$43*(IF($E709="Win",1,0)-$I709))</f>
        <v>-5.4748257164988381</v>
      </c>
      <c r="L709" s="125">
        <f>IF($D709="",0,'Guide &amp; Settings'!$C$44*IF($F709&gt;=3,$F709,0))</f>
        <v>0</v>
      </c>
      <c r="M709" s="124">
        <f t="shared" si="223"/>
        <v>-16.152818966545297</v>
      </c>
      <c r="N709" s="122">
        <f t="shared" si="224"/>
        <v>1156.7205039890414</v>
      </c>
      <c r="O709" s="121" t="str">
        <f t="shared" si="225"/>
        <v>OK</v>
      </c>
      <c r="P709">
        <f t="shared" si="226"/>
        <v>1158.8567196303934</v>
      </c>
      <c r="Q709">
        <f t="shared" si="227"/>
        <v>0.52016057734051235</v>
      </c>
      <c r="R709">
        <f t="shared" si="228"/>
        <v>0.48717948717948717</v>
      </c>
      <c r="S709">
        <f t="shared" si="229"/>
        <v>1.0678246484698097</v>
      </c>
      <c r="T709" s="89">
        <f t="shared" si="230"/>
        <v>37</v>
      </c>
      <c r="U709" s="126">
        <f>IF($D709="",0,IFERROR(LOOKUP(2,1/(($D$3:D708=$D709)*($C$3:C708=$C709)*($A$3:A708&lt;$A709)),$AB$3:AB708),1000))</f>
        <v>972.46051247947173</v>
      </c>
      <c r="V709" s="126">
        <f t="shared" si="231"/>
        <v>996.31918039329491</v>
      </c>
      <c r="W709">
        <f t="shared" si="232"/>
        <v>1116.4545541978673</v>
      </c>
      <c r="X709">
        <f t="shared" si="233"/>
        <v>0.33368728906395179</v>
      </c>
      <c r="Y709">
        <f t="shared" si="234"/>
        <v>1109.1438360198456</v>
      </c>
      <c r="Z709">
        <f t="shared" si="235"/>
        <v>0.31285350591647748</v>
      </c>
      <c r="AA709">
        <f>IF($D709="",0,IF($F709&lt;2,0,IF($E709="Win",('Guide &amp; Settings'!$C$42/(($F709-1)*COUNTIFS($A$4:$A$1510,$A709,$E$4:$E$1510,"Win")))*SUMIFS($Z$4:$Z$1510,$A$4:$A$1510,$A709,$E$4:$E$1510,"Loss"),-('Guide &amp; Settings'!$C$42/($F709-1))*$Z709)))</f>
        <v>-10.011312189327279</v>
      </c>
      <c r="AB709" s="126">
        <f t="shared" si="236"/>
        <v>962.4492002901444</v>
      </c>
      <c r="AC709" s="126">
        <f>IF($D709="","",IF($AD709=0,0,IF(COUNTIFS($D$4:$D709,$D709,$B$4:$B709,$B709)&gt;1,0,IF($B709&lt;'Guide &amp; Settings'!$C$50,0,IF(($B709-$AD709)/7-'Guide &amp; Settings'!$C$48&gt;=0,(INT(($B709-$AD709)/7-'Guide &amp; Settings'!$C$48)+1)*'Guide &amp; Settings'!$C$49,0)))))</f>
        <v>0</v>
      </c>
      <c r="AD709" s="142">
        <f t="shared" si="237"/>
        <v>46287</v>
      </c>
      <c r="AE709">
        <f t="shared" si="238"/>
        <v>1</v>
      </c>
      <c r="AF709">
        <f t="shared" si="239"/>
        <v>0</v>
      </c>
    </row>
    <row r="710" spans="1:32" x14ac:dyDescent="0.2">
      <c r="A710" s="117">
        <v>299</v>
      </c>
      <c r="B710" s="118">
        <v>46289</v>
      </c>
      <c r="C710" s="119" t="s">
        <v>50</v>
      </c>
      <c r="D710" s="119" t="s">
        <v>22</v>
      </c>
      <c r="E710" s="117" t="s">
        <v>370</v>
      </c>
      <c r="F710" s="120">
        <f t="shared" si="220"/>
        <v>2</v>
      </c>
      <c r="G710" s="121" t="str">
        <f t="shared" si="221"/>
        <v>Daniel (Ferret)</v>
      </c>
      <c r="H710" s="122">
        <f>IF($D710="",0,IFERROR(LOOKUP(2,1/(($D$3:D709=$D710)*($A$3:A709&lt;$A710)),$N$3:N709),'Guide &amp; Settings'!$C$41))</f>
        <v>1158.8567196303934</v>
      </c>
      <c r="I710" s="123">
        <f t="shared" si="222"/>
        <v>0.54376452362509686</v>
      </c>
      <c r="J710" s="124">
        <f>IF($D710="",0,IF($F710&lt;2,0,IF($E710="Win",('Guide &amp; Settings'!$C$42/(($F710-1)*COUNTIFS($A$4:$A$1510,$A710,$E$4:$E$1510,"Win")))*SUMIFS($X$4:$X$1510,$A$4:$A$1510,$A710,$E$4:$E$1510,"Loss"),-('Guide &amp; Settings'!$C$42/($F710-1))*$X710)))</f>
        <v>10.677993250046457</v>
      </c>
      <c r="K710" s="124">
        <f>IF($D710="",0,'Guide &amp; Settings'!$C$43*(IF($E710="Win",1,0)-$I710))</f>
        <v>5.4748257164988381</v>
      </c>
      <c r="L710" s="125">
        <f>IF($D710="",0,'Guide &amp; Settings'!$C$44*IF($F710&gt;=3,$F710,0))</f>
        <v>0</v>
      </c>
      <c r="M710" s="124">
        <f t="shared" si="223"/>
        <v>16.152818966545297</v>
      </c>
      <c r="N710" s="122">
        <f t="shared" si="224"/>
        <v>1175.0095385969387</v>
      </c>
      <c r="O710" s="121" t="str">
        <f t="shared" si="225"/>
        <v>OK</v>
      </c>
      <c r="P710">
        <f t="shared" si="226"/>
        <v>1158.8567196303934</v>
      </c>
      <c r="Q710">
        <f t="shared" si="227"/>
        <v>0.5</v>
      </c>
      <c r="R710">
        <f t="shared" si="228"/>
        <v>0.58064516129032262</v>
      </c>
      <c r="S710">
        <f t="shared" si="229"/>
        <v>1.0678246484698097</v>
      </c>
      <c r="T710" s="89">
        <f t="shared" si="230"/>
        <v>29</v>
      </c>
      <c r="U710" s="126">
        <f>IF($D710="",0,IFERROR(LOOKUP(2,1/(($D$3:D709=$D710)*($C$3:C709=$C710)*($A$3:A709&lt;$A710)),$AB$3:AB709),1000))</f>
        <v>1109.1438360198456</v>
      </c>
      <c r="V710" s="126">
        <f t="shared" si="231"/>
        <v>1116.4545541978673</v>
      </c>
      <c r="W710">
        <f t="shared" si="232"/>
        <v>1116.4545541978673</v>
      </c>
      <c r="X710">
        <f t="shared" si="233"/>
        <v>0.5</v>
      </c>
      <c r="Y710">
        <f t="shared" si="234"/>
        <v>1109.1438360198456</v>
      </c>
      <c r="Z710">
        <f t="shared" si="235"/>
        <v>0.5</v>
      </c>
      <c r="AA710">
        <f>IF($D710="",0,IF($F710&lt;2,0,IF($E710="Win",('Guide &amp; Settings'!$C$42/(($F710-1)*COUNTIFS($A$4:$A$1510,$A710,$E$4:$E$1510,"Win")))*SUMIFS($Z$4:$Z$1510,$A$4:$A$1510,$A710,$E$4:$E$1510,"Loss"),-('Guide &amp; Settings'!$C$42/($F710-1))*$Z710)))</f>
        <v>10.011312189327279</v>
      </c>
      <c r="AB710" s="126">
        <f t="shared" si="236"/>
        <v>1119.1551482091729</v>
      </c>
      <c r="AC710" s="126">
        <f>IF($D710="","",IF($AD710=0,0,IF(COUNTIFS($D$4:$D710,$D710,$B$4:$B710,$B710)&gt;1,0,IF($B710&lt;'Guide &amp; Settings'!$C$50,0,IF(($B710-$AD710)/7-'Guide &amp; Settings'!$C$48&gt;=0,(INT(($B710-$AD710)/7-'Guide &amp; Settings'!$C$48)+1)*'Guide &amp; Settings'!$C$49,0)))))</f>
        <v>0</v>
      </c>
      <c r="AD710" s="142">
        <f t="shared" si="237"/>
        <v>46287</v>
      </c>
      <c r="AE710">
        <f t="shared" si="238"/>
        <v>1</v>
      </c>
      <c r="AF710">
        <f t="shared" si="239"/>
        <v>0</v>
      </c>
    </row>
    <row r="711" spans="1:32" x14ac:dyDescent="0.2">
      <c r="A711" s="117">
        <v>300</v>
      </c>
      <c r="B711" s="118">
        <v>46290</v>
      </c>
      <c r="C711" s="119" t="s">
        <v>50</v>
      </c>
      <c r="D711" s="119" t="s">
        <v>22</v>
      </c>
      <c r="E711" s="117" t="s">
        <v>370</v>
      </c>
      <c r="F711" s="120">
        <f t="shared" si="220"/>
        <v>2</v>
      </c>
      <c r="G711" s="121" t="str">
        <f t="shared" si="221"/>
        <v>Daniel (Ferret)</v>
      </c>
      <c r="H711" s="122">
        <f>IF($D711="",0,IFERROR(LOOKUP(2,1/(($D$3:D710=$D711)*($A$3:A710&lt;$A711)),$N$3:N710),'Guide &amp; Settings'!$C$41))</f>
        <v>1175.0095385969387</v>
      </c>
      <c r="I711" s="123">
        <f t="shared" si="222"/>
        <v>0.69007263922518169</v>
      </c>
      <c r="J711" s="124">
        <f>IF($D711="",0,IF($F711&lt;2,0,IF($E711="Win",('Guide &amp; Settings'!$C$42/(($F711-1)*COUNTIFS($A$4:$A$1510,$A711,$E$4:$E$1510,"Win")))*SUMIFS($X$4:$X$1510,$A$4:$A$1510,$A711,$E$4:$E$1510,"Loss"),-('Guide &amp; Settings'!$C$42/($F711-1))*$X711)))</f>
        <v>11.593047926662692</v>
      </c>
      <c r="K711" s="124">
        <f>IF($D711="",0,'Guide &amp; Settings'!$C$43*(IF($E711="Win",1,0)-$I711))</f>
        <v>3.7191283292978197</v>
      </c>
      <c r="L711" s="125">
        <f>IF($D711="",0,'Guide &amp; Settings'!$C$44*IF($F711&gt;=3,$F711,0))</f>
        <v>0</v>
      </c>
      <c r="M711" s="124">
        <f t="shared" si="223"/>
        <v>15.312176255960512</v>
      </c>
      <c r="N711" s="122">
        <f t="shared" si="224"/>
        <v>1190.3217148528993</v>
      </c>
      <c r="O711" s="121" t="str">
        <f t="shared" si="225"/>
        <v>OK</v>
      </c>
      <c r="P711">
        <f t="shared" si="226"/>
        <v>1175.0095385969387</v>
      </c>
      <c r="Q711">
        <f t="shared" si="227"/>
        <v>0.5</v>
      </c>
      <c r="R711">
        <f t="shared" si="228"/>
        <v>0.59375</v>
      </c>
      <c r="S711">
        <f t="shared" si="229"/>
        <v>0.86041666666666661</v>
      </c>
      <c r="T711" s="89">
        <f t="shared" si="230"/>
        <v>30</v>
      </c>
      <c r="U711" s="126">
        <f>IF($D711="",0,IFERROR(LOOKUP(2,1/(($D$3:D710=$D711)*($C$3:C710=$C711)*($A$3:A710&lt;$A711)),$AB$3:AB710),1000))</f>
        <v>1119.1551482091729</v>
      </c>
      <c r="V711" s="126">
        <f t="shared" si="231"/>
        <v>1127.1343468359967</v>
      </c>
      <c r="W711">
        <f t="shared" si="232"/>
        <v>1127.1343468359967</v>
      </c>
      <c r="X711">
        <f t="shared" si="233"/>
        <v>0.5</v>
      </c>
      <c r="Y711">
        <f t="shared" si="234"/>
        <v>1119.1551482091729</v>
      </c>
      <c r="Z711">
        <f t="shared" si="235"/>
        <v>0.5</v>
      </c>
      <c r="AA711">
        <f>IF($D711="",0,IF($F711&lt;2,0,IF($E711="Win",('Guide &amp; Settings'!$C$42/(($F711-1)*COUNTIFS($A$4:$A$1510,$A711,$E$4:$E$1510,"Win")))*SUMIFS($Z$4:$Z$1510,$A$4:$A$1510,$A711,$E$4:$E$1510,"Loss"),-('Guide &amp; Settings'!$C$42/($F711-1))*$Z711)))</f>
        <v>8.7889911313999161</v>
      </c>
      <c r="AB711" s="126">
        <f t="shared" si="236"/>
        <v>1127.9441393405727</v>
      </c>
      <c r="AC711" s="126">
        <f>IF($D711="","",IF($AD711=0,0,IF(COUNTIFS($D$4:$D711,$D711,$B$4:$B711,$B711)&gt;1,0,IF($B711&lt;'Guide &amp; Settings'!$C$50,0,IF(($B711-$AD711)/7-'Guide &amp; Settings'!$C$48&gt;=0,(INT(($B711-$AD711)/7-'Guide &amp; Settings'!$C$48)+1)*'Guide &amp; Settings'!$C$49,0)))))</f>
        <v>0</v>
      </c>
      <c r="AD711" s="142">
        <f t="shared" si="237"/>
        <v>46289</v>
      </c>
      <c r="AE711">
        <f t="shared" si="238"/>
        <v>1</v>
      </c>
      <c r="AF711">
        <f t="shared" si="239"/>
        <v>0</v>
      </c>
    </row>
    <row r="712" spans="1:32" x14ac:dyDescent="0.2">
      <c r="A712" s="117">
        <v>300</v>
      </c>
      <c r="B712" s="118">
        <v>46290</v>
      </c>
      <c r="C712" s="119" t="s">
        <v>50</v>
      </c>
      <c r="D712" s="119" t="s">
        <v>15</v>
      </c>
      <c r="E712" s="117" t="s">
        <v>371</v>
      </c>
      <c r="F712" s="120">
        <f t="shared" si="220"/>
        <v>2</v>
      </c>
      <c r="G712" s="121" t="str">
        <f t="shared" si="221"/>
        <v>Daniel (Ferret)</v>
      </c>
      <c r="H712" s="122">
        <f>IF($D712="",0,IFERROR(LOOKUP(2,1/(($D$3:D711=$D712)*($A$3:A711&lt;$A712)),$N$3:N711),'Guide &amp; Settings'!$C$41))</f>
        <v>1232.8695151191851</v>
      </c>
      <c r="I712" s="123">
        <f t="shared" si="222"/>
        <v>0.30992736077481842</v>
      </c>
      <c r="J712" s="124">
        <f>IF($D712="",0,IF($F712&lt;2,0,IF($E712="Win",('Guide &amp; Settings'!$C$42/(($F712-1)*COUNTIFS($A$4:$A$1510,$A712,$E$4:$E$1510,"Win")))*SUMIFS($X$4:$X$1510,$A$4:$A$1510,$A712,$E$4:$E$1510,"Loss"),-('Guide &amp; Settings'!$C$42/($F712-1))*$X712)))</f>
        <v>-11.593047926662692</v>
      </c>
      <c r="K712" s="124">
        <f>IF($D712="",0,'Guide &amp; Settings'!$C$43*(IF($E712="Win",1,0)-$I712))</f>
        <v>-3.719128329297821</v>
      </c>
      <c r="L712" s="125">
        <f>IF($D712="",0,'Guide &amp; Settings'!$C$44*IF($F712&gt;=3,$F712,0))</f>
        <v>0</v>
      </c>
      <c r="M712" s="124">
        <f t="shared" si="223"/>
        <v>-15.312176255960512</v>
      </c>
      <c r="N712" s="122">
        <f t="shared" si="224"/>
        <v>1217.5573388632245</v>
      </c>
      <c r="O712" s="121" t="str">
        <f t="shared" si="225"/>
        <v>OK</v>
      </c>
      <c r="P712">
        <f t="shared" si="226"/>
        <v>1175.0095385969387</v>
      </c>
      <c r="Q712">
        <f t="shared" si="227"/>
        <v>0.58250587491791872</v>
      </c>
      <c r="R712">
        <f t="shared" si="228"/>
        <v>0.26666666666666666</v>
      </c>
      <c r="S712">
        <f t="shared" si="229"/>
        <v>0.86041666666666661</v>
      </c>
      <c r="T712" s="89">
        <f t="shared" si="230"/>
        <v>13</v>
      </c>
      <c r="U712" s="126">
        <f>IF($D712="",0,IFERROR(LOOKUP(2,1/(($D$3:D711=$D712)*($C$3:C711=$C712)*($A$3:A711&lt;$A712)),$AB$3:AB711),1000))</f>
        <v>950.45315170081028</v>
      </c>
      <c r="V712" s="126">
        <f t="shared" si="231"/>
        <v>1028.9021415392476</v>
      </c>
      <c r="W712">
        <f t="shared" si="232"/>
        <v>1127.1343468359967</v>
      </c>
      <c r="X712">
        <f t="shared" si="233"/>
        <v>0.36228274770820912</v>
      </c>
      <c r="Y712">
        <f t="shared" si="234"/>
        <v>1119.1551482091729</v>
      </c>
      <c r="Z712">
        <f t="shared" si="235"/>
        <v>0.27465597285624738</v>
      </c>
      <c r="AA712">
        <f>IF($D712="",0,IF($F712&lt;2,0,IF($E712="Win",('Guide &amp; Settings'!$C$42/(($F712-1)*COUNTIFS($A$4:$A$1510,$A712,$E$4:$E$1510,"Win")))*SUMIFS($Z$4:$Z$1510,$A$4:$A$1510,$A712,$E$4:$E$1510,"Loss"),-('Guide &amp; Settings'!$C$42/($F712-1))*$Z712)))</f>
        <v>-8.7889911313999161</v>
      </c>
      <c r="AB712" s="126">
        <f t="shared" si="236"/>
        <v>941.66416056941034</v>
      </c>
      <c r="AC712" s="126">
        <f>IF($D712="","",IF($AD712=0,0,IF(COUNTIFS($D$4:$D712,$D712,$B$4:$B712,$B712)&gt;1,0,IF($B712&lt;'Guide &amp; Settings'!$C$50,0,IF(($B712-$AD712)/7-'Guide &amp; Settings'!$C$48&gt;=0,(INT(($B712-$AD712)/7-'Guide &amp; Settings'!$C$48)+1)*'Guide &amp; Settings'!$C$49,0)))))</f>
        <v>0</v>
      </c>
      <c r="AD712" s="142">
        <f t="shared" si="237"/>
        <v>46287</v>
      </c>
      <c r="AE712">
        <f t="shared" si="238"/>
        <v>1</v>
      </c>
      <c r="AF712">
        <f t="shared" si="239"/>
        <v>0</v>
      </c>
    </row>
    <row r="713" spans="1:32" x14ac:dyDescent="0.2">
      <c r="A713" s="117">
        <v>301</v>
      </c>
      <c r="B713" s="118">
        <v>46290</v>
      </c>
      <c r="C713" s="119" t="s">
        <v>37</v>
      </c>
      <c r="D713" s="119" t="s">
        <v>22</v>
      </c>
      <c r="E713" s="117" t="s">
        <v>370</v>
      </c>
      <c r="F713" s="120">
        <f t="shared" si="220"/>
        <v>2</v>
      </c>
      <c r="G713" s="121" t="str">
        <f t="shared" si="221"/>
        <v>Daniel (Ferret)</v>
      </c>
      <c r="H713" s="122">
        <f>IF($D713="",0,IFERROR(LOOKUP(2,1/(($D$3:D712=$D713)*($A$3:A712&lt;$A713)),$N$3:N712),'Guide &amp; Settings'!$C$41))</f>
        <v>1190.3217148528993</v>
      </c>
      <c r="I713" s="123">
        <f t="shared" si="222"/>
        <v>0.39393939393939398</v>
      </c>
      <c r="J713" s="124">
        <f>IF($D713="",0,IF($F713&lt;2,0,IF($E713="Win",('Guide &amp; Settings'!$C$42/(($F713-1)*COUNTIFS($A$4:$A$1510,$A713,$E$4:$E$1510,"Win")))*SUMIFS($X$4:$X$1510,$A$4:$A$1510,$A713,$E$4:$E$1510,"Loss"),-('Guide &amp; Settings'!$C$42/($F713-1))*$X713)))</f>
        <v>18.720603005005113</v>
      </c>
      <c r="K713" s="124">
        <f>IF($D713="",0,'Guide &amp; Settings'!$C$43*(IF($E713="Win",1,0)-$I713))</f>
        <v>7.2727272727272716</v>
      </c>
      <c r="L713" s="125">
        <f>IF($D713="",0,'Guide &amp; Settings'!$C$44*IF($F713&gt;=3,$F713,0))</f>
        <v>0</v>
      </c>
      <c r="M713" s="124">
        <f t="shared" si="223"/>
        <v>25.993330277732383</v>
      </c>
      <c r="N713" s="122">
        <f t="shared" si="224"/>
        <v>1216.3150451306317</v>
      </c>
      <c r="O713" s="121" t="str">
        <f t="shared" si="225"/>
        <v>OK</v>
      </c>
      <c r="P713">
        <f t="shared" si="226"/>
        <v>1190.3217148528993</v>
      </c>
      <c r="Q713">
        <f t="shared" si="227"/>
        <v>0.5</v>
      </c>
      <c r="R713">
        <f t="shared" si="228"/>
        <v>0.4</v>
      </c>
      <c r="S713">
        <f t="shared" si="229"/>
        <v>1.0153846153846153</v>
      </c>
      <c r="T713" s="89">
        <f t="shared" si="230"/>
        <v>8</v>
      </c>
      <c r="U713" s="126">
        <f>IF($D713="",0,IFERROR(LOOKUP(2,1/(($D$3:D712=$D713)*($C$3:C712=$C713)*($A$3:A712&lt;$A713)),$AB$3:AB712),1000))</f>
        <v>962.9291503873319</v>
      </c>
      <c r="V713" s="126">
        <f t="shared" si="231"/>
        <v>1050.3878290279347</v>
      </c>
      <c r="W713">
        <f t="shared" si="232"/>
        <v>1050.3878290279347</v>
      </c>
      <c r="X713">
        <f t="shared" si="233"/>
        <v>0.5</v>
      </c>
      <c r="Y713">
        <f t="shared" si="234"/>
        <v>962.9291503873319</v>
      </c>
      <c r="Z713">
        <f t="shared" si="235"/>
        <v>0.5</v>
      </c>
      <c r="AA713">
        <f>IF($D713="",0,IF($F713&lt;2,0,IF($E713="Win",('Guide &amp; Settings'!$C$42/(($F713-1)*COUNTIFS($A$4:$A$1510,$A713,$E$4:$E$1510,"Win")))*SUMIFS($Z$4:$Z$1510,$A$4:$A$1510,$A713,$E$4:$E$1510,"Loss"),-('Guide &amp; Settings'!$C$42/($F713-1))*$Z713)))</f>
        <v>19.79408352168409</v>
      </c>
      <c r="AB713" s="126">
        <f t="shared" si="236"/>
        <v>982.72323390901602</v>
      </c>
      <c r="AC713" s="126">
        <f>IF($D713="","",IF($AD713=0,0,IF(COUNTIFS($D$4:$D713,$D713,$B$4:$B713,$B713)&gt;1,0,IF($B713&lt;'Guide &amp; Settings'!$C$50,0,IF(($B713-$AD713)/7-'Guide &amp; Settings'!$C$48&gt;=0,(INT(($B713-$AD713)/7-'Guide &amp; Settings'!$C$48)+1)*'Guide &amp; Settings'!$C$49,0)))))</f>
        <v>0</v>
      </c>
      <c r="AD713" s="142">
        <f t="shared" si="237"/>
        <v>46289</v>
      </c>
      <c r="AE713">
        <f t="shared" si="238"/>
        <v>1</v>
      </c>
      <c r="AF713">
        <f t="shared" si="239"/>
        <v>0</v>
      </c>
    </row>
    <row r="714" spans="1:32" x14ac:dyDescent="0.2">
      <c r="A714" s="117">
        <v>301</v>
      </c>
      <c r="B714" s="118">
        <v>46290</v>
      </c>
      <c r="C714" s="119" t="s">
        <v>37</v>
      </c>
      <c r="D714" s="119" t="s">
        <v>23</v>
      </c>
      <c r="E714" s="117" t="s">
        <v>371</v>
      </c>
      <c r="F714" s="120">
        <f t="shared" si="220"/>
        <v>2</v>
      </c>
      <c r="G714" s="121" t="str">
        <f t="shared" si="221"/>
        <v>Daniel (Ferret)</v>
      </c>
      <c r="H714" s="122">
        <f>IF($D714="",0,IFERROR(LOOKUP(2,1/(($D$3:D713=$D714)*($A$3:A713&lt;$A714)),$N$3:N713),'Guide &amp; Settings'!$C$41))</f>
        <v>1248.9288111472574</v>
      </c>
      <c r="I714" s="123">
        <f t="shared" si="222"/>
        <v>0.60606060606060608</v>
      </c>
      <c r="J714" s="124">
        <f>IF($D714="",0,IF($F714&lt;2,0,IF($E714="Win",('Guide &amp; Settings'!$C$42/(($F714-1)*COUNTIFS($A$4:$A$1510,$A714,$E$4:$E$1510,"Win")))*SUMIFS($X$4:$X$1510,$A$4:$A$1510,$A714,$E$4:$E$1510,"Loss"),-('Guide &amp; Settings'!$C$42/($F714-1))*$X714)))</f>
        <v>-18.720603005005113</v>
      </c>
      <c r="K714" s="124">
        <f>IF($D714="",0,'Guide &amp; Settings'!$C$43*(IF($E714="Win",1,0)-$I714))</f>
        <v>-7.2727272727272734</v>
      </c>
      <c r="L714" s="125">
        <f>IF($D714="",0,'Guide &amp; Settings'!$C$44*IF($F714&gt;=3,$F714,0))</f>
        <v>0</v>
      </c>
      <c r="M714" s="124">
        <f t="shared" si="223"/>
        <v>-25.993330277732387</v>
      </c>
      <c r="N714" s="122">
        <f t="shared" si="224"/>
        <v>1222.935480869525</v>
      </c>
      <c r="O714" s="121" t="str">
        <f t="shared" si="225"/>
        <v>OK</v>
      </c>
      <c r="P714">
        <f t="shared" si="226"/>
        <v>1190.3217148528993</v>
      </c>
      <c r="Q714">
        <f t="shared" si="227"/>
        <v>0.58355141782322995</v>
      </c>
      <c r="R714">
        <f t="shared" si="228"/>
        <v>0.61538461538461542</v>
      </c>
      <c r="S714">
        <f t="shared" si="229"/>
        <v>1.0153846153846153</v>
      </c>
      <c r="T714" s="89">
        <f t="shared" si="230"/>
        <v>11</v>
      </c>
      <c r="U714" s="126">
        <f>IF($D714="",0,IFERROR(LOOKUP(2,1/(($D$3:D713=$D714)*($C$3:C713=$C714)*($A$3:A713&lt;$A714)),$AB$3:AB713),1000))</f>
        <v>1046.915152217651</v>
      </c>
      <c r="V714" s="126">
        <f t="shared" si="231"/>
        <v>1110.0444206331531</v>
      </c>
      <c r="W714">
        <f t="shared" si="232"/>
        <v>1050.3878290279347</v>
      </c>
      <c r="X714">
        <f t="shared" si="233"/>
        <v>0.58501884390640979</v>
      </c>
      <c r="Y714">
        <f t="shared" si="234"/>
        <v>962.9291503873319</v>
      </c>
      <c r="Z714">
        <f t="shared" si="235"/>
        <v>0.61856511005262782</v>
      </c>
      <c r="AA714">
        <f>IF($D714="",0,IF($F714&lt;2,0,IF($E714="Win",('Guide &amp; Settings'!$C$42/(($F714-1)*COUNTIFS($A$4:$A$1510,$A714,$E$4:$E$1510,"Win")))*SUMIFS($Z$4:$Z$1510,$A$4:$A$1510,$A714,$E$4:$E$1510,"Loss"),-('Guide &amp; Settings'!$C$42/($F714-1))*$Z714)))</f>
        <v>-19.79408352168409</v>
      </c>
      <c r="AB714" s="126">
        <f t="shared" si="236"/>
        <v>1027.1210686959669</v>
      </c>
      <c r="AC714" s="126">
        <f>IF($D714="","",IF($AD714=0,0,IF(COUNTIFS($D$4:$D714,$D714,$B$4:$B714,$B714)&gt;1,0,IF($B714&lt;'Guide &amp; Settings'!$C$50,0,IF(($B714-$AD714)/7-'Guide &amp; Settings'!$C$48&gt;=0,(INT(($B714-$AD714)/7-'Guide &amp; Settings'!$C$48)+1)*'Guide &amp; Settings'!$C$49,0)))))</f>
        <v>10</v>
      </c>
      <c r="AD714" s="142">
        <f t="shared" si="237"/>
        <v>46256</v>
      </c>
      <c r="AE714">
        <f t="shared" si="238"/>
        <v>1</v>
      </c>
      <c r="AF714">
        <f t="shared" si="239"/>
        <v>0</v>
      </c>
    </row>
    <row r="715" spans="1:32" x14ac:dyDescent="0.2">
      <c r="A715" s="117">
        <v>302</v>
      </c>
      <c r="B715" s="118">
        <v>46290</v>
      </c>
      <c r="C715" s="119" t="s">
        <v>37</v>
      </c>
      <c r="D715" s="119" t="s">
        <v>23</v>
      </c>
      <c r="E715" s="117" t="s">
        <v>370</v>
      </c>
      <c r="F715" s="120">
        <f t="shared" si="220"/>
        <v>2</v>
      </c>
      <c r="G715" s="121" t="str">
        <f t="shared" si="221"/>
        <v>Dean B</v>
      </c>
      <c r="H715" s="122">
        <f>IF($D715="",0,IFERROR(LOOKUP(2,1/(($D$3:D714=$D715)*($A$3:A714&lt;$A715)),$N$3:N714),'Guide &amp; Settings'!$C$41))</f>
        <v>1222.935480869525</v>
      </c>
      <c r="I715" s="123">
        <f t="shared" si="222"/>
        <v>0.55696202531645567</v>
      </c>
      <c r="J715" s="124">
        <f>IF($D715="",0,IF($F715&lt;2,0,IF($E715="Win",('Guide &amp; Settings'!$C$42/(($F715-1)*COUNTIFS($A$4:$A$1510,$A715,$E$4:$E$1510,"Win")))*SUMIFS($X$4:$X$1510,$A$4:$A$1510,$A715,$E$4:$E$1510,"Loss"),-('Guide &amp; Settings'!$C$42/($F715-1))*$X715)))</f>
        <v>15.145878436893158</v>
      </c>
      <c r="K715" s="124">
        <f>IF($D715="",0,'Guide &amp; Settings'!$C$43*(IF($E715="Win",1,0)-$I715))</f>
        <v>5.3164556962025316</v>
      </c>
      <c r="L715" s="125">
        <f>IF($D715="",0,'Guide &amp; Settings'!$C$44*IF($F715&gt;=3,$F715,0))</f>
        <v>0</v>
      </c>
      <c r="M715" s="124">
        <f t="shared" si="223"/>
        <v>20.462334133095688</v>
      </c>
      <c r="N715" s="122">
        <f t="shared" si="224"/>
        <v>1243.3978150026207</v>
      </c>
      <c r="O715" s="121" t="str">
        <f t="shared" si="225"/>
        <v>OK</v>
      </c>
      <c r="P715">
        <f t="shared" si="226"/>
        <v>1222.935480869525</v>
      </c>
      <c r="Q715">
        <f t="shared" si="227"/>
        <v>0.5</v>
      </c>
      <c r="R715">
        <f t="shared" si="228"/>
        <v>0.5714285714285714</v>
      </c>
      <c r="S715">
        <f t="shared" si="229"/>
        <v>1.025974025974026</v>
      </c>
      <c r="T715" s="89">
        <f t="shared" si="230"/>
        <v>12</v>
      </c>
      <c r="U715" s="126">
        <f>IF($D715="",0,IFERROR(LOOKUP(2,1/(($D$3:D714=$D715)*($C$3:C714=$C715)*($A$3:A714&lt;$A715)),$AB$3:AB714),1000))</f>
        <v>1027.1210686959669</v>
      </c>
      <c r="V715" s="126">
        <f t="shared" si="231"/>
        <v>1084.7135428646604</v>
      </c>
      <c r="W715">
        <f t="shared" si="232"/>
        <v>1084.7135428646604</v>
      </c>
      <c r="X715">
        <f t="shared" si="233"/>
        <v>0.5</v>
      </c>
      <c r="Y715">
        <f t="shared" si="234"/>
        <v>1027.1210686959669</v>
      </c>
      <c r="Z715">
        <f t="shared" si="235"/>
        <v>0.5</v>
      </c>
      <c r="AA715">
        <f>IF($D715="",0,IF($F715&lt;2,0,IF($E715="Win",('Guide &amp; Settings'!$C$42/(($F715-1)*COUNTIFS($A$4:$A$1510,$A715,$E$4:$E$1510,"Win")))*SUMIFS($Z$4:$Z$1510,$A$4:$A$1510,$A715,$E$4:$E$1510,"Loss"),-('Guide &amp; Settings'!$C$42/($F715-1))*$Z715)))</f>
        <v>13.966461062624001</v>
      </c>
      <c r="AB715" s="126">
        <f t="shared" si="236"/>
        <v>1041.0875297585908</v>
      </c>
      <c r="AC715" s="126">
        <f>IF($D715="","",IF($AD715=0,0,IF(COUNTIFS($D$4:$D715,$D715,$B$4:$B715,$B715)&gt;1,0,IF($B715&lt;'Guide &amp; Settings'!$C$50,0,IF(($B715-$AD715)/7-'Guide &amp; Settings'!$C$48&gt;=0,(INT(($B715-$AD715)/7-'Guide &amp; Settings'!$C$48)+1)*'Guide &amp; Settings'!$C$49,0)))))</f>
        <v>0</v>
      </c>
      <c r="AD715" s="142">
        <f t="shared" si="237"/>
        <v>46256</v>
      </c>
      <c r="AE715">
        <f t="shared" si="238"/>
        <v>1</v>
      </c>
      <c r="AF715">
        <f t="shared" si="239"/>
        <v>0</v>
      </c>
    </row>
    <row r="716" spans="1:32" x14ac:dyDescent="0.2">
      <c r="A716" s="117">
        <v>302</v>
      </c>
      <c r="B716" s="118">
        <v>46290</v>
      </c>
      <c r="C716" s="119" t="s">
        <v>37</v>
      </c>
      <c r="D716" s="119" t="s">
        <v>22</v>
      </c>
      <c r="E716" s="117" t="s">
        <v>371</v>
      </c>
      <c r="F716" s="120">
        <f t="shared" si="220"/>
        <v>2</v>
      </c>
      <c r="G716" s="121" t="str">
        <f t="shared" si="221"/>
        <v>Dean B</v>
      </c>
      <c r="H716" s="122">
        <f>IF($D716="",0,IFERROR(LOOKUP(2,1/(($D$3:D715=$D716)*($A$3:A715&lt;$A716)),$N$3:N715),'Guide &amp; Settings'!$C$41))</f>
        <v>1216.3150451306317</v>
      </c>
      <c r="I716" s="123">
        <f t="shared" si="222"/>
        <v>0.44303797468354428</v>
      </c>
      <c r="J716" s="124">
        <f>IF($D716="",0,IF($F716&lt;2,0,IF($E716="Win",('Guide &amp; Settings'!$C$42/(($F716-1)*COUNTIFS($A$4:$A$1510,$A716,$E$4:$E$1510,"Win")))*SUMIFS($X$4:$X$1510,$A$4:$A$1510,$A716,$E$4:$E$1510,"Loss"),-('Guide &amp; Settings'!$C$42/($F716-1))*$X716)))</f>
        <v>-15.145878436893158</v>
      </c>
      <c r="K716" s="124">
        <f>IF($D716="",0,'Guide &amp; Settings'!$C$43*(IF($E716="Win",1,0)-$I716))</f>
        <v>-5.3164556962025316</v>
      </c>
      <c r="L716" s="125">
        <f>IF($D716="",0,'Guide &amp; Settings'!$C$44*IF($F716&gt;=3,$F716,0))</f>
        <v>0</v>
      </c>
      <c r="M716" s="124">
        <f t="shared" si="223"/>
        <v>-20.462334133095688</v>
      </c>
      <c r="N716" s="122">
        <f t="shared" si="224"/>
        <v>1195.852710997536</v>
      </c>
      <c r="O716" s="121" t="str">
        <f t="shared" si="225"/>
        <v>OK</v>
      </c>
      <c r="P716">
        <f t="shared" si="226"/>
        <v>1222.935480869525</v>
      </c>
      <c r="Q716">
        <f t="shared" si="227"/>
        <v>0.49047358008100578</v>
      </c>
      <c r="R716">
        <f t="shared" si="228"/>
        <v>0.45454545454545453</v>
      </c>
      <c r="S716">
        <f t="shared" si="229"/>
        <v>1.025974025974026</v>
      </c>
      <c r="T716" s="89">
        <f t="shared" si="230"/>
        <v>9</v>
      </c>
      <c r="U716" s="126">
        <f>IF($D716="",0,IFERROR(LOOKUP(2,1/(($D$3:D715=$D716)*($C$3:C715=$C716)*($A$3:A715&lt;$A716)),$AB$3:AB715),1000))</f>
        <v>982.72323390901602</v>
      </c>
      <c r="V716" s="126">
        <f t="shared" si="231"/>
        <v>1066.1488807738788</v>
      </c>
      <c r="W716">
        <f t="shared" si="232"/>
        <v>1084.7135428646604</v>
      </c>
      <c r="X716">
        <f t="shared" si="233"/>
        <v>0.47330870115291118</v>
      </c>
      <c r="Y716">
        <f t="shared" si="234"/>
        <v>1027.1210686959669</v>
      </c>
      <c r="Z716">
        <f t="shared" si="235"/>
        <v>0.43645190820700003</v>
      </c>
      <c r="AA716">
        <f>IF($D716="",0,IF($F716&lt;2,0,IF($E716="Win",('Guide &amp; Settings'!$C$42/(($F716-1)*COUNTIFS($A$4:$A$1510,$A716,$E$4:$E$1510,"Win")))*SUMIFS($Z$4:$Z$1510,$A$4:$A$1510,$A716,$E$4:$E$1510,"Loss"),-('Guide &amp; Settings'!$C$42/($F716-1))*$Z716)))</f>
        <v>-13.966461062624001</v>
      </c>
      <c r="AB716" s="126">
        <f t="shared" si="236"/>
        <v>968.75677284639198</v>
      </c>
      <c r="AC716" s="126">
        <f>IF($D716="","",IF($AD716=0,0,IF(COUNTIFS($D$4:$D716,$D716,$B$4:$B716,$B716)&gt;1,0,IF($B716&lt;'Guide &amp; Settings'!$C$50,0,IF(($B716-$AD716)/7-'Guide &amp; Settings'!$C$48&gt;=0,(INT(($B716-$AD716)/7-'Guide &amp; Settings'!$C$48)+1)*'Guide &amp; Settings'!$C$49,0)))))</f>
        <v>0</v>
      </c>
      <c r="AD716" s="142">
        <f t="shared" si="237"/>
        <v>46289</v>
      </c>
      <c r="AE716">
        <f t="shared" si="238"/>
        <v>1</v>
      </c>
      <c r="AF716">
        <f t="shared" si="239"/>
        <v>0</v>
      </c>
    </row>
    <row r="717" spans="1:32" x14ac:dyDescent="0.2">
      <c r="A717" s="117">
        <v>303</v>
      </c>
      <c r="B717" s="118">
        <v>46290</v>
      </c>
      <c r="C717" s="119" t="s">
        <v>37</v>
      </c>
      <c r="D717" s="119" t="s">
        <v>22</v>
      </c>
      <c r="E717" s="117" t="s">
        <v>370</v>
      </c>
      <c r="F717" s="120">
        <f t="shared" si="220"/>
        <v>2</v>
      </c>
      <c r="G717" s="121" t="str">
        <f t="shared" si="221"/>
        <v>Daniel (Ferret)</v>
      </c>
      <c r="H717" s="122">
        <f>IF($D717="",0,IFERROR(LOOKUP(2,1/(($D$3:D716=$D717)*($A$3:A716&lt;$A717)),$N$3:N716),'Guide &amp; Settings'!$C$41))</f>
        <v>1195.852710997536</v>
      </c>
      <c r="I717" s="123">
        <f t="shared" si="222"/>
        <v>0.40983606557377056</v>
      </c>
      <c r="J717" s="124">
        <f>IF($D717="",0,IF($F717&lt;2,0,IF($E717="Win",('Guide &amp; Settings'!$C$42/(($F717-1)*COUNTIFS($A$4:$A$1510,$A717,$E$4:$E$1510,"Win")))*SUMIFS($X$4:$X$1510,$A$4:$A$1510,$A717,$E$4:$E$1510,"Loss"),-('Guide &amp; Settings'!$C$42/($F717-1))*$X717)))</f>
        <v>18.414306062557849</v>
      </c>
      <c r="K717" s="124">
        <f>IF($D717="",0,'Guide &amp; Settings'!$C$43*(IF($E717="Win",1,0)-$I717))</f>
        <v>7.081967213114754</v>
      </c>
      <c r="L717" s="125">
        <f>IF($D717="",0,'Guide &amp; Settings'!$C$44*IF($F717&gt;=3,$F717,0))</f>
        <v>0</v>
      </c>
      <c r="M717" s="124">
        <f t="shared" si="223"/>
        <v>25.496273275672603</v>
      </c>
      <c r="N717" s="122">
        <f t="shared" si="224"/>
        <v>1221.3489842732085</v>
      </c>
      <c r="O717" s="121" t="str">
        <f t="shared" si="225"/>
        <v>OK</v>
      </c>
      <c r="P717">
        <f t="shared" si="226"/>
        <v>1195.852710997536</v>
      </c>
      <c r="Q717">
        <f t="shared" si="227"/>
        <v>0.5</v>
      </c>
      <c r="R717">
        <f t="shared" si="228"/>
        <v>0.41666666666666669</v>
      </c>
      <c r="S717">
        <f t="shared" si="229"/>
        <v>1.0166666666666666</v>
      </c>
      <c r="T717" s="89">
        <f t="shared" si="230"/>
        <v>10</v>
      </c>
      <c r="U717" s="126">
        <f>IF($D717="",0,IFERROR(LOOKUP(2,1/(($D$3:D716=$D717)*($C$3:C716=$C717)*($A$3:A716&lt;$A717)),$AB$3:AB716),1000))</f>
        <v>968.75677284639198</v>
      </c>
      <c r="V717" s="126">
        <f t="shared" si="231"/>
        <v>1044.4554188967734</v>
      </c>
      <c r="W717">
        <f t="shared" si="232"/>
        <v>1044.4554188967734</v>
      </c>
      <c r="X717">
        <f t="shared" si="233"/>
        <v>0.5</v>
      </c>
      <c r="Y717">
        <f t="shared" si="234"/>
        <v>968.75677284639198</v>
      </c>
      <c r="Z717">
        <f t="shared" si="235"/>
        <v>0.5</v>
      </c>
      <c r="AA717">
        <f>IF($D717="",0,IF($F717&lt;2,0,IF($E717="Win",('Guide &amp; Settings'!$C$42/(($F717-1)*COUNTIFS($A$4:$A$1510,$A717,$E$4:$E$1510,"Win")))*SUMIFS($Z$4:$Z$1510,$A$4:$A$1510,$A717,$E$4:$E$1510,"Loss"),-('Guide &amp; Settings'!$C$42/($F717-1))*$Z717)))</f>
        <v>19.283652199363168</v>
      </c>
      <c r="AB717" s="126">
        <f t="shared" si="236"/>
        <v>988.04042504575511</v>
      </c>
      <c r="AC717" s="126">
        <f>IF($D717="","",IF($AD717=0,0,IF(COUNTIFS($D$4:$D717,$D717,$B$4:$B717,$B717)&gt;1,0,IF($B717&lt;'Guide &amp; Settings'!$C$50,0,IF(($B717-$AD717)/7-'Guide &amp; Settings'!$C$48&gt;=0,(INT(($B717-$AD717)/7-'Guide &amp; Settings'!$C$48)+1)*'Guide &amp; Settings'!$C$49,0)))))</f>
        <v>0</v>
      </c>
      <c r="AD717" s="142">
        <f t="shared" si="237"/>
        <v>46289</v>
      </c>
      <c r="AE717">
        <f t="shared" si="238"/>
        <v>1</v>
      </c>
      <c r="AF717">
        <f t="shared" si="239"/>
        <v>0</v>
      </c>
    </row>
    <row r="718" spans="1:32" x14ac:dyDescent="0.2">
      <c r="A718" s="117">
        <v>303</v>
      </c>
      <c r="B718" s="118">
        <v>46290</v>
      </c>
      <c r="C718" s="119" t="s">
        <v>37</v>
      </c>
      <c r="D718" s="119" t="s">
        <v>23</v>
      </c>
      <c r="E718" s="117" t="s">
        <v>371</v>
      </c>
      <c r="F718" s="120">
        <f t="shared" si="220"/>
        <v>2</v>
      </c>
      <c r="G718" s="121" t="str">
        <f t="shared" si="221"/>
        <v>Daniel (Ferret)</v>
      </c>
      <c r="H718" s="122">
        <f>IF($D718="",0,IFERROR(LOOKUP(2,1/(($D$3:D717=$D718)*($A$3:A717&lt;$A718)),$N$3:N717),'Guide &amp; Settings'!$C$41))</f>
        <v>1243.3978150026207</v>
      </c>
      <c r="I718" s="123">
        <f t="shared" si="222"/>
        <v>0.5901639344262295</v>
      </c>
      <c r="J718" s="124">
        <f>IF($D718="",0,IF($F718&lt;2,0,IF($E718="Win",('Guide &amp; Settings'!$C$42/(($F718-1)*COUNTIFS($A$4:$A$1510,$A718,$E$4:$E$1510,"Win")))*SUMIFS($X$4:$X$1510,$A$4:$A$1510,$A718,$E$4:$E$1510,"Loss"),-('Guide &amp; Settings'!$C$42/($F718-1))*$X718)))</f>
        <v>-18.414306062557849</v>
      </c>
      <c r="K718" s="124">
        <f>IF($D718="",0,'Guide &amp; Settings'!$C$43*(IF($E718="Win",1,0)-$I718))</f>
        <v>-7.081967213114754</v>
      </c>
      <c r="L718" s="125">
        <f>IF($D718="",0,'Guide &amp; Settings'!$C$44*IF($F718&gt;=3,$F718,0))</f>
        <v>0</v>
      </c>
      <c r="M718" s="124">
        <f t="shared" si="223"/>
        <v>-25.496273275672603</v>
      </c>
      <c r="N718" s="122">
        <f t="shared" si="224"/>
        <v>1217.9015417269482</v>
      </c>
      <c r="O718" s="121" t="str">
        <f t="shared" si="225"/>
        <v>OK</v>
      </c>
      <c r="P718">
        <f t="shared" si="226"/>
        <v>1195.852710997536</v>
      </c>
      <c r="Q718">
        <f t="shared" si="227"/>
        <v>0.56799896668219585</v>
      </c>
      <c r="R718">
        <f t="shared" si="228"/>
        <v>0.6</v>
      </c>
      <c r="S718">
        <f t="shared" si="229"/>
        <v>1.0166666666666666</v>
      </c>
      <c r="T718" s="89">
        <f t="shared" si="230"/>
        <v>13</v>
      </c>
      <c r="U718" s="126">
        <f>IF($D718="",0,IFERROR(LOOKUP(2,1/(($D$3:D717=$D718)*($C$3:C717=$C718)*($A$3:A717&lt;$A718)),$AB$3:AB717),1000))</f>
        <v>1041.0875297585908</v>
      </c>
      <c r="V718" s="126">
        <f t="shared" si="231"/>
        <v>1097.2848312152657</v>
      </c>
      <c r="W718">
        <f t="shared" si="232"/>
        <v>1044.4554188967734</v>
      </c>
      <c r="X718">
        <f t="shared" si="233"/>
        <v>0.57544706445493277</v>
      </c>
      <c r="Y718">
        <f t="shared" si="234"/>
        <v>968.75677284639198</v>
      </c>
      <c r="Z718">
        <f t="shared" si="235"/>
        <v>0.60261413123009899</v>
      </c>
      <c r="AA718">
        <f>IF($D718="",0,IF($F718&lt;2,0,IF($E718="Win",('Guide &amp; Settings'!$C$42/(($F718-1)*COUNTIFS($A$4:$A$1510,$A718,$E$4:$E$1510,"Win")))*SUMIFS($Z$4:$Z$1510,$A$4:$A$1510,$A718,$E$4:$E$1510,"Loss"),-('Guide &amp; Settings'!$C$42/($F718-1))*$Z718)))</f>
        <v>-19.283652199363168</v>
      </c>
      <c r="AB718" s="126">
        <f t="shared" si="236"/>
        <v>1021.8038775592277</v>
      </c>
      <c r="AC718" s="126">
        <f>IF($D718="","",IF($AD718=0,0,IF(COUNTIFS($D$4:$D718,$D718,$B$4:$B718,$B718)&gt;1,0,IF($B718&lt;'Guide &amp; Settings'!$C$50,0,IF(($B718-$AD718)/7-'Guide &amp; Settings'!$C$48&gt;=0,(INT(($B718-$AD718)/7-'Guide &amp; Settings'!$C$48)+1)*'Guide &amp; Settings'!$C$49,0)))))</f>
        <v>0</v>
      </c>
      <c r="AD718" s="142">
        <f t="shared" si="237"/>
        <v>46256</v>
      </c>
      <c r="AE718">
        <f t="shared" si="238"/>
        <v>1</v>
      </c>
      <c r="AF718">
        <f t="shared" si="239"/>
        <v>0</v>
      </c>
    </row>
    <row r="719" spans="1:32" x14ac:dyDescent="0.2">
      <c r="A719" s="117">
        <v>304</v>
      </c>
      <c r="B719" s="118">
        <v>46291</v>
      </c>
      <c r="C719" s="119" t="s">
        <v>35</v>
      </c>
      <c r="D719" s="119" t="s">
        <v>25</v>
      </c>
      <c r="E719" s="117" t="s">
        <v>370</v>
      </c>
      <c r="F719" s="120">
        <f t="shared" si="220"/>
        <v>2</v>
      </c>
      <c r="G719" s="121" t="str">
        <f t="shared" si="221"/>
        <v>Oscar</v>
      </c>
      <c r="H719" s="122">
        <f>IF($D719="",0,IFERROR(LOOKUP(2,1/(($D$3:D718=$D719)*($A$3:A718&lt;$A719)),$N$3:N718),'Guide &amp; Settings'!$C$41))</f>
        <v>944.39454678356583</v>
      </c>
      <c r="I719" s="123">
        <f t="shared" si="222"/>
        <v>0.49230769230769234</v>
      </c>
      <c r="J719" s="124">
        <f>IF($D719="",0,IF($F719&lt;2,0,IF($E719="Win",('Guide &amp; Settings'!$C$42/(($F719-1)*COUNTIFS($A$4:$A$1510,$A719,$E$4:$E$1510,"Win")))*SUMIFS($X$4:$X$1510,$A$4:$A$1510,$A719,$E$4:$E$1510,"Loss"),-('Guide &amp; Settings'!$C$42/($F719-1))*$X719)))</f>
        <v>17.774468880312611</v>
      </c>
      <c r="K719" s="124">
        <f>IF($D719="",0,'Guide &amp; Settings'!$C$43*(IF($E719="Win",1,0)-$I719))</f>
        <v>6.092307692307692</v>
      </c>
      <c r="L719" s="125">
        <f>IF($D719="",0,'Guide &amp; Settings'!$C$44*IF($F719&gt;=3,$F719,0))</f>
        <v>0</v>
      </c>
      <c r="M719" s="124">
        <f t="shared" si="223"/>
        <v>23.866776572620303</v>
      </c>
      <c r="N719" s="122">
        <f t="shared" si="224"/>
        <v>968.26132335618615</v>
      </c>
      <c r="O719" s="121" t="str">
        <f t="shared" si="225"/>
        <v>OK</v>
      </c>
      <c r="P719">
        <f t="shared" si="226"/>
        <v>944.39454678356583</v>
      </c>
      <c r="Q719">
        <f t="shared" si="227"/>
        <v>0.5</v>
      </c>
      <c r="R719">
        <f t="shared" si="228"/>
        <v>0.44444444444444442</v>
      </c>
      <c r="S719">
        <f t="shared" si="229"/>
        <v>0.90277777777777768</v>
      </c>
      <c r="T719" s="89">
        <f t="shared" si="230"/>
        <v>7</v>
      </c>
      <c r="U719" s="126">
        <f>IF($D719="",0,IFERROR(LOOKUP(2,1/(($D$3:D718=$D719)*($C$3:C718=$C719)*($A$3:A718&lt;$A719)),$AB$3:AB718),1000))</f>
        <v>991.24131700741486</v>
      </c>
      <c r="V719" s="126">
        <f t="shared" si="231"/>
        <v>971.72182941414439</v>
      </c>
      <c r="W719">
        <f t="shared" si="232"/>
        <v>971.72182941414439</v>
      </c>
      <c r="X719">
        <f t="shared" si="233"/>
        <v>0.5</v>
      </c>
      <c r="Y719">
        <f t="shared" si="234"/>
        <v>991.24131700741486</v>
      </c>
      <c r="Z719">
        <f t="shared" si="235"/>
        <v>0.5</v>
      </c>
      <c r="AA719">
        <f>IF($D719="",0,IF($F719&lt;2,0,IF($E719="Win",('Guide &amp; Settings'!$C$42/(($F719-1)*COUNTIFS($A$4:$A$1510,$A719,$E$4:$E$1510,"Win")))*SUMIFS($Z$4:$Z$1510,$A$4:$A$1510,$A719,$E$4:$E$1510,"Loss"),-('Guide &amp; Settings'!$C$42/($F719-1))*$Z719)))</f>
        <v>15.351950608983211</v>
      </c>
      <c r="AB719" s="126">
        <f t="shared" si="236"/>
        <v>1006.5932676163981</v>
      </c>
      <c r="AC719" s="126">
        <f>IF($D719="","",IF($AD719=0,0,IF(COUNTIFS($D$4:$D719,$D719,$B$4:$B719,$B719)&gt;1,0,IF($B719&lt;'Guide &amp; Settings'!$C$50,0,IF(($B719-$AD719)/7-'Guide &amp; Settings'!$C$48&gt;=0,(INT(($B719-$AD719)/7-'Guide &amp; Settings'!$C$48)+1)*'Guide &amp; Settings'!$C$49,0)))))</f>
        <v>0</v>
      </c>
      <c r="AD719" s="142">
        <f t="shared" si="237"/>
        <v>46271</v>
      </c>
      <c r="AE719">
        <f t="shared" si="238"/>
        <v>1</v>
      </c>
      <c r="AF719">
        <f t="shared" si="239"/>
        <v>0</v>
      </c>
    </row>
    <row r="720" spans="1:32" x14ac:dyDescent="0.2">
      <c r="A720" s="117">
        <v>304</v>
      </c>
      <c r="B720" s="118">
        <v>46291</v>
      </c>
      <c r="C720" s="119" t="s">
        <v>35</v>
      </c>
      <c r="D720" s="119" t="s">
        <v>20</v>
      </c>
      <c r="E720" s="117" t="s">
        <v>371</v>
      </c>
      <c r="F720" s="120">
        <f t="shared" si="220"/>
        <v>2</v>
      </c>
      <c r="G720" s="121" t="str">
        <f t="shared" si="221"/>
        <v>Oscar</v>
      </c>
      <c r="H720" s="122">
        <f>IF($D720="",0,IFERROR(LOOKUP(2,1/(($D$3:D719=$D720)*($A$3:A719&lt;$A720)),$N$3:N719),'Guide &amp; Settings'!$C$41))</f>
        <v>1156.7205039890414</v>
      </c>
      <c r="I720" s="123">
        <f t="shared" si="222"/>
        <v>0.50769230769230778</v>
      </c>
      <c r="J720" s="124">
        <f>IF($D720="",0,IF($F720&lt;2,0,IF($E720="Win",('Guide &amp; Settings'!$C$42/(($F720-1)*COUNTIFS($A$4:$A$1510,$A720,$E$4:$E$1510,"Win")))*SUMIFS($X$4:$X$1510,$A$4:$A$1510,$A720,$E$4:$E$1510,"Loss"),-('Guide &amp; Settings'!$C$42/($F720-1))*$X720)))</f>
        <v>-17.774468880312611</v>
      </c>
      <c r="K720" s="124">
        <f>IF($D720="",0,'Guide &amp; Settings'!$C$43*(IF($E720="Win",1,0)-$I720))</f>
        <v>-6.0923076923076938</v>
      </c>
      <c r="L720" s="125">
        <f>IF($D720="",0,'Guide &amp; Settings'!$C$44*IF($F720&gt;=3,$F720,0))</f>
        <v>0</v>
      </c>
      <c r="M720" s="124">
        <f t="shared" si="223"/>
        <v>-23.866776572620303</v>
      </c>
      <c r="N720" s="122">
        <f t="shared" si="224"/>
        <v>1132.8537274164212</v>
      </c>
      <c r="O720" s="121" t="str">
        <f t="shared" si="225"/>
        <v>OK</v>
      </c>
      <c r="P720">
        <f t="shared" si="226"/>
        <v>944.39454678356583</v>
      </c>
      <c r="Q720">
        <f t="shared" si="227"/>
        <v>0.77245864298307987</v>
      </c>
      <c r="R720">
        <f t="shared" si="228"/>
        <v>0.45833333333333331</v>
      </c>
      <c r="S720">
        <f t="shared" si="229"/>
        <v>0.90277777777777768</v>
      </c>
      <c r="T720" s="89">
        <f t="shared" si="230"/>
        <v>22</v>
      </c>
      <c r="U720" s="126">
        <f>IF($D720="",0,IFERROR(LOOKUP(2,1/(($D$3:D719=$D720)*($C$3:C719=$C720)*($A$3:A719&lt;$A720)),$AB$3:AB719),1000))</f>
        <v>977.16140054243726</v>
      </c>
      <c r="V720" s="126">
        <f t="shared" si="231"/>
        <v>1010.4130863658825</v>
      </c>
      <c r="W720">
        <f t="shared" si="232"/>
        <v>971.72182941414439</v>
      </c>
      <c r="X720">
        <f t="shared" si="233"/>
        <v>0.55545215250976909</v>
      </c>
      <c r="Y720">
        <f t="shared" si="234"/>
        <v>991.24131700741486</v>
      </c>
      <c r="Z720">
        <f t="shared" si="235"/>
        <v>0.47974845653072534</v>
      </c>
      <c r="AA720">
        <f>IF($D720="",0,IF($F720&lt;2,0,IF($E720="Win",('Guide &amp; Settings'!$C$42/(($F720-1)*COUNTIFS($A$4:$A$1510,$A720,$E$4:$E$1510,"Win")))*SUMIFS($Z$4:$Z$1510,$A$4:$A$1510,$A720,$E$4:$E$1510,"Loss"),-('Guide &amp; Settings'!$C$42/($F720-1))*$Z720)))</f>
        <v>-15.351950608983211</v>
      </c>
      <c r="AB720" s="126">
        <f t="shared" si="236"/>
        <v>961.80944993345406</v>
      </c>
      <c r="AC720" s="126">
        <f>IF($D720="","",IF($AD720=0,0,IF(COUNTIFS($D$4:$D720,$D720,$B$4:$B720,$B720)&gt;1,0,IF($B720&lt;'Guide &amp; Settings'!$C$50,0,IF(($B720-$AD720)/7-'Guide &amp; Settings'!$C$48&gt;=0,(INT(($B720-$AD720)/7-'Guide &amp; Settings'!$C$48)+1)*'Guide &amp; Settings'!$C$49,0)))))</f>
        <v>0</v>
      </c>
      <c r="AD720" s="142">
        <f t="shared" si="237"/>
        <v>46289</v>
      </c>
      <c r="AE720">
        <f t="shared" si="238"/>
        <v>1</v>
      </c>
      <c r="AF720">
        <f t="shared" si="239"/>
        <v>0</v>
      </c>
    </row>
    <row r="721" spans="1:32" x14ac:dyDescent="0.2">
      <c r="A721" s="117">
        <v>305</v>
      </c>
      <c r="B721" s="118">
        <v>46292</v>
      </c>
      <c r="C721" s="119" t="s">
        <v>45</v>
      </c>
      <c r="D721" s="119" t="s">
        <v>19</v>
      </c>
      <c r="E721" s="117" t="s">
        <v>370</v>
      </c>
      <c r="F721" s="120">
        <f t="shared" si="220"/>
        <v>2</v>
      </c>
      <c r="G721" s="121" t="str">
        <f t="shared" si="221"/>
        <v>Josh</v>
      </c>
      <c r="H721" s="122">
        <f>IF($D721="",0,IFERROR(LOOKUP(2,1/(($D$3:D720=$D721)*($A$3:A720&lt;$A721)),$N$3:N720),'Guide &amp; Settings'!$C$41))</f>
        <v>1192.3121492095624</v>
      </c>
      <c r="I721" s="123">
        <f t="shared" si="222"/>
        <v>0.55555555555555558</v>
      </c>
      <c r="J721" s="124">
        <f>IF($D721="",0,IF($F721&lt;2,0,IF($E721="Win",('Guide &amp; Settings'!$C$42/(($F721-1)*COUNTIFS($A$4:$A$1510,$A721,$E$4:$E$1510,"Win")))*SUMIFS($X$4:$X$1510,$A$4:$A$1510,$A721,$E$4:$E$1510,"Loss"),-('Guide &amp; Settings'!$C$42/($F721-1))*$X721)))</f>
        <v>16.410300291575602</v>
      </c>
      <c r="K721" s="124">
        <f>IF($D721="",0,'Guide &amp; Settings'!$C$43*(IF($E721="Win",1,0)-$I721))</f>
        <v>5.333333333333333</v>
      </c>
      <c r="L721" s="125">
        <f>IF($D721="",0,'Guide &amp; Settings'!$C$44*IF($F721&gt;=3,$F721,0))</f>
        <v>0</v>
      </c>
      <c r="M721" s="124">
        <f t="shared" si="223"/>
        <v>21.743633624908934</v>
      </c>
      <c r="N721" s="122">
        <f t="shared" si="224"/>
        <v>1214.0557828344713</v>
      </c>
      <c r="O721" s="121" t="str">
        <f t="shared" si="225"/>
        <v>OK</v>
      </c>
      <c r="P721">
        <f t="shared" si="226"/>
        <v>1192.3121492095624</v>
      </c>
      <c r="Q721">
        <f t="shared" si="227"/>
        <v>0.5</v>
      </c>
      <c r="R721">
        <f t="shared" si="228"/>
        <v>0.7142857142857143</v>
      </c>
      <c r="S721">
        <f t="shared" si="229"/>
        <v>1.2857142857142856</v>
      </c>
      <c r="T721" s="89">
        <f t="shared" si="230"/>
        <v>5</v>
      </c>
      <c r="U721" s="126">
        <f>IF($D721="",0,IFERROR(LOOKUP(2,1/(($D$3:D720=$D721)*($C$3:C720=$C721)*($A$3:A720&lt;$A721)),$AB$3:AB720),1000))</f>
        <v>1025.9268866328202</v>
      </c>
      <c r="V721" s="126">
        <f t="shared" si="231"/>
        <v>1109.1195179211913</v>
      </c>
      <c r="W721">
        <f t="shared" si="232"/>
        <v>1109.1195179211913</v>
      </c>
      <c r="X721">
        <f t="shared" si="233"/>
        <v>0.5</v>
      </c>
      <c r="Y721">
        <f t="shared" si="234"/>
        <v>1025.9268866328202</v>
      </c>
      <c r="Z721">
        <f t="shared" si="235"/>
        <v>0.5</v>
      </c>
      <c r="AA721">
        <f>IF($D721="",0,IF($F721&lt;2,0,IF($E721="Win",('Guide &amp; Settings'!$C$42/(($F721-1)*COUNTIFS($A$4:$A$1510,$A721,$E$4:$E$1510,"Win")))*SUMIFS($Z$4:$Z$1510,$A$4:$A$1510,$A721,$E$4:$E$1510,"Loss"),-('Guide &amp; Settings'!$C$42/($F721-1))*$Z721)))</f>
        <v>15.483764107456754</v>
      </c>
      <c r="AB721" s="126">
        <f t="shared" si="236"/>
        <v>1041.4106507402771</v>
      </c>
      <c r="AC721" s="126">
        <f>IF($D721="","",IF($AD721=0,0,IF(COUNTIFS($D$4:$D721,$D721,$B$4:$B721,$B721)&gt;1,0,IF($B721&lt;'Guide &amp; Settings'!$C$50,0,IF(($B721-$AD721)/7-'Guide &amp; Settings'!$C$48&gt;=0,(INT(($B721-$AD721)/7-'Guide &amp; Settings'!$C$48)+1)*'Guide &amp; Settings'!$C$49,0)))))</f>
        <v>0</v>
      </c>
      <c r="AD721" s="142">
        <f t="shared" si="237"/>
        <v>46272</v>
      </c>
      <c r="AE721">
        <f t="shared" si="238"/>
        <v>1</v>
      </c>
      <c r="AF721">
        <f t="shared" si="239"/>
        <v>0</v>
      </c>
    </row>
    <row r="722" spans="1:32" x14ac:dyDescent="0.2">
      <c r="A722" s="117">
        <v>305</v>
      </c>
      <c r="B722" s="118">
        <v>46292</v>
      </c>
      <c r="C722" s="119" t="s">
        <v>45</v>
      </c>
      <c r="D722" s="119" t="s">
        <v>22</v>
      </c>
      <c r="E722" s="117" t="s">
        <v>371</v>
      </c>
      <c r="F722" s="120">
        <f t="shared" si="220"/>
        <v>2</v>
      </c>
      <c r="G722" s="121" t="str">
        <f t="shared" si="221"/>
        <v>Josh</v>
      </c>
      <c r="H722" s="122">
        <f>IF($D722="",0,IFERROR(LOOKUP(2,1/(($D$3:D721=$D722)*($A$3:A721&lt;$A722)),$N$3:N721),'Guide &amp; Settings'!$C$41))</f>
        <v>1221.3489842732085</v>
      </c>
      <c r="I722" s="123">
        <f t="shared" si="222"/>
        <v>0.44444444444444448</v>
      </c>
      <c r="J722" s="124">
        <f>IF($D722="",0,IF($F722&lt;2,0,IF($E722="Win",('Guide &amp; Settings'!$C$42/(($F722-1)*COUNTIFS($A$4:$A$1510,$A722,$E$4:$E$1510,"Win")))*SUMIFS($X$4:$X$1510,$A$4:$A$1510,$A722,$E$4:$E$1510,"Loss"),-('Guide &amp; Settings'!$C$42/($F722-1))*$X722)))</f>
        <v>-16.410300291575602</v>
      </c>
      <c r="K722" s="124">
        <f>IF($D722="",0,'Guide &amp; Settings'!$C$43*(IF($E722="Win",1,0)-$I722))</f>
        <v>-5.3333333333333339</v>
      </c>
      <c r="L722" s="125">
        <f>IF($D722="",0,'Guide &amp; Settings'!$C$44*IF($F722&gt;=3,$F722,0))</f>
        <v>0</v>
      </c>
      <c r="M722" s="124">
        <f t="shared" si="223"/>
        <v>-21.743633624908938</v>
      </c>
      <c r="N722" s="122">
        <f t="shared" si="224"/>
        <v>1199.6053506482997</v>
      </c>
      <c r="O722" s="121" t="str">
        <f t="shared" si="225"/>
        <v>OK</v>
      </c>
      <c r="P722">
        <f t="shared" si="226"/>
        <v>1192.3121492095624</v>
      </c>
      <c r="Q722">
        <f t="shared" si="227"/>
        <v>0.54169034455476672</v>
      </c>
      <c r="R722">
        <f t="shared" si="228"/>
        <v>0.5714285714285714</v>
      </c>
      <c r="S722">
        <f t="shared" si="229"/>
        <v>1.2857142857142856</v>
      </c>
      <c r="T722" s="89">
        <f t="shared" si="230"/>
        <v>5</v>
      </c>
      <c r="U722" s="126">
        <f>IF($D722="",0,IFERROR(LOOKUP(2,1/(($D$3:D721=$D722)*($C$3:C721=$C722)*($A$3:A721&lt;$A722)),$AB$3:AB721),1000))</f>
        <v>1014.7130743334857</v>
      </c>
      <c r="V722" s="126">
        <f t="shared" si="231"/>
        <v>1118.0310293033472</v>
      </c>
      <c r="W722">
        <f t="shared" si="232"/>
        <v>1109.1195179211913</v>
      </c>
      <c r="X722">
        <f t="shared" si="233"/>
        <v>0.51282188411173757</v>
      </c>
      <c r="Y722">
        <f t="shared" si="234"/>
        <v>1025.9268866328202</v>
      </c>
      <c r="Z722">
        <f t="shared" si="235"/>
        <v>0.48386762835802355</v>
      </c>
      <c r="AA722">
        <f>IF($D722="",0,IF($F722&lt;2,0,IF($E722="Win",('Guide &amp; Settings'!$C$42/(($F722-1)*COUNTIFS($A$4:$A$1510,$A722,$E$4:$E$1510,"Win")))*SUMIFS($Z$4:$Z$1510,$A$4:$A$1510,$A722,$E$4:$E$1510,"Loss"),-('Guide &amp; Settings'!$C$42/($F722-1))*$Z722)))</f>
        <v>-15.483764107456754</v>
      </c>
      <c r="AB722" s="126">
        <f t="shared" si="236"/>
        <v>999.22931022602893</v>
      </c>
      <c r="AC722" s="126">
        <f>IF($D722="","",IF($AD722=0,0,IF(COUNTIFS($D$4:$D722,$D722,$B$4:$B722,$B722)&gt;1,0,IF($B722&lt;'Guide &amp; Settings'!$C$50,0,IF(($B722-$AD722)/7-'Guide &amp; Settings'!$C$48&gt;=0,(INT(($B722-$AD722)/7-'Guide &amp; Settings'!$C$48)+1)*'Guide &amp; Settings'!$C$49,0)))))</f>
        <v>0</v>
      </c>
      <c r="AD722" s="142">
        <f t="shared" si="237"/>
        <v>46290</v>
      </c>
      <c r="AE722">
        <f t="shared" si="238"/>
        <v>1</v>
      </c>
      <c r="AF722">
        <f t="shared" si="239"/>
        <v>0</v>
      </c>
    </row>
    <row r="723" spans="1:32" x14ac:dyDescent="0.2">
      <c r="A723" s="117">
        <v>306</v>
      </c>
      <c r="B723" s="118">
        <v>46292</v>
      </c>
      <c r="C723" s="119" t="s">
        <v>45</v>
      </c>
      <c r="D723" s="119" t="s">
        <v>19</v>
      </c>
      <c r="E723" s="117" t="s">
        <v>370</v>
      </c>
      <c r="F723" s="120">
        <f t="shared" si="220"/>
        <v>2</v>
      </c>
      <c r="G723" s="121" t="str">
        <f t="shared" si="221"/>
        <v>Josh</v>
      </c>
      <c r="H723" s="122">
        <f>IF($D723="",0,IFERROR(LOOKUP(2,1/(($D$3:D722=$D723)*($A$3:A722&lt;$A723)),$N$3:N722),'Guide &amp; Settings'!$C$41))</f>
        <v>1214.0557828344713</v>
      </c>
      <c r="I723" s="123">
        <f t="shared" si="222"/>
        <v>0.6</v>
      </c>
      <c r="J723" s="124">
        <f>IF($D723="",0,IF($F723&lt;2,0,IF($E723="Win",('Guide &amp; Settings'!$C$42/(($F723-1)*COUNTIFS($A$4:$A$1510,$A723,$E$4:$E$1510,"Win")))*SUMIFS($X$4:$X$1510,$A$4:$A$1510,$A723,$E$4:$E$1510,"Loss"),-('Guide &amp; Settings'!$C$42/($F723-1))*$X723)))</f>
        <v>14.64123787074567</v>
      </c>
      <c r="K723" s="124">
        <f>IF($D723="",0,'Guide &amp; Settings'!$C$43*(IF($E723="Win",1,0)-$I723))</f>
        <v>4.8000000000000007</v>
      </c>
      <c r="L723" s="125">
        <f>IF($D723="",0,'Guide &amp; Settings'!$C$44*IF($F723&gt;=3,$F723,0))</f>
        <v>0</v>
      </c>
      <c r="M723" s="124">
        <f t="shared" si="223"/>
        <v>19.44123787074567</v>
      </c>
      <c r="N723" s="122">
        <f t="shared" si="224"/>
        <v>1233.497020705217</v>
      </c>
      <c r="O723" s="121" t="str">
        <f t="shared" si="225"/>
        <v>OK</v>
      </c>
      <c r="P723">
        <f t="shared" si="226"/>
        <v>1214.0557828344713</v>
      </c>
      <c r="Q723">
        <f t="shared" si="227"/>
        <v>0.5</v>
      </c>
      <c r="R723">
        <f t="shared" si="228"/>
        <v>0.75</v>
      </c>
      <c r="S723">
        <f t="shared" si="229"/>
        <v>1.25</v>
      </c>
      <c r="T723" s="89">
        <f t="shared" si="230"/>
        <v>6</v>
      </c>
      <c r="U723" s="126">
        <f>IF($D723="",0,IFERROR(LOOKUP(2,1/(($D$3:D722=$D723)*($C$3:C722=$C723)*($A$3:A722&lt;$A723)),$AB$3:AB722),1000))</f>
        <v>1041.4106507402771</v>
      </c>
      <c r="V723" s="126">
        <f t="shared" si="231"/>
        <v>1119.8857107830927</v>
      </c>
      <c r="W723">
        <f t="shared" si="232"/>
        <v>1119.8857107830927</v>
      </c>
      <c r="X723">
        <f t="shared" si="233"/>
        <v>0.5</v>
      </c>
      <c r="Y723">
        <f t="shared" si="234"/>
        <v>1041.4106507402771</v>
      </c>
      <c r="Z723">
        <f t="shared" si="235"/>
        <v>0.5</v>
      </c>
      <c r="AA723">
        <f>IF($D723="",0,IF($F723&lt;2,0,IF($E723="Win",('Guide &amp; Settings'!$C$42/(($F723-1)*COUNTIFS($A$4:$A$1510,$A723,$E$4:$E$1510,"Win")))*SUMIFS($Z$4:$Z$1510,$A$4:$A$1510,$A723,$E$4:$E$1510,"Loss"),-('Guide &amp; Settings'!$C$42/($F723-1))*$Z723)))</f>
        <v>14.066965688341803</v>
      </c>
      <c r="AB723" s="126">
        <f t="shared" si="236"/>
        <v>1055.4776164286188</v>
      </c>
      <c r="AC723" s="126">
        <f>IF($D723="","",IF($AD723=0,0,IF(COUNTIFS($D$4:$D723,$D723,$B$4:$B723,$B723)&gt;1,0,IF($B723&lt;'Guide &amp; Settings'!$C$50,0,IF(($B723-$AD723)/7-'Guide &amp; Settings'!$C$48&gt;=0,(INT(($B723-$AD723)/7-'Guide &amp; Settings'!$C$48)+1)*'Guide &amp; Settings'!$C$49,0)))))</f>
        <v>0</v>
      </c>
      <c r="AD723" s="142">
        <f t="shared" si="237"/>
        <v>46272</v>
      </c>
      <c r="AE723">
        <f t="shared" si="238"/>
        <v>1</v>
      </c>
      <c r="AF723">
        <f t="shared" si="239"/>
        <v>0</v>
      </c>
    </row>
    <row r="724" spans="1:32" x14ac:dyDescent="0.2">
      <c r="A724" s="117">
        <v>306</v>
      </c>
      <c r="B724" s="118">
        <v>46292</v>
      </c>
      <c r="C724" s="119" t="s">
        <v>45</v>
      </c>
      <c r="D724" s="119" t="s">
        <v>22</v>
      </c>
      <c r="E724" s="117" t="s">
        <v>371</v>
      </c>
      <c r="F724" s="120">
        <f t="shared" si="220"/>
        <v>2</v>
      </c>
      <c r="G724" s="121" t="str">
        <f t="shared" si="221"/>
        <v>Josh</v>
      </c>
      <c r="H724" s="122">
        <f>IF($D724="",0,IFERROR(LOOKUP(2,1/(($D$3:D723=$D724)*($A$3:A723&lt;$A724)),$N$3:N723),'Guide &amp; Settings'!$C$41))</f>
        <v>1199.6053506482997</v>
      </c>
      <c r="I724" s="123">
        <f t="shared" si="222"/>
        <v>0.4</v>
      </c>
      <c r="J724" s="124">
        <f>IF($D724="",0,IF($F724&lt;2,0,IF($E724="Win",('Guide &amp; Settings'!$C$42/(($F724-1)*COUNTIFS($A$4:$A$1510,$A724,$E$4:$E$1510,"Win")))*SUMIFS($X$4:$X$1510,$A$4:$A$1510,$A724,$E$4:$E$1510,"Loss"),-('Guide &amp; Settings'!$C$42/($F724-1))*$X724)))</f>
        <v>-14.64123787074567</v>
      </c>
      <c r="K724" s="124">
        <f>IF($D724="",0,'Guide &amp; Settings'!$C$43*(IF($E724="Win",1,0)-$I724))</f>
        <v>-4.8000000000000007</v>
      </c>
      <c r="L724" s="125">
        <f>IF($D724="",0,'Guide &amp; Settings'!$C$44*IF($F724&gt;=3,$F724,0))</f>
        <v>0</v>
      </c>
      <c r="M724" s="124">
        <f t="shared" si="223"/>
        <v>-19.44123787074567</v>
      </c>
      <c r="N724" s="122">
        <f t="shared" si="224"/>
        <v>1180.164112777554</v>
      </c>
      <c r="O724" s="121" t="str">
        <f t="shared" si="225"/>
        <v>OK</v>
      </c>
      <c r="P724">
        <f t="shared" si="226"/>
        <v>1214.0557828344713</v>
      </c>
      <c r="Q724">
        <f t="shared" si="227"/>
        <v>0.4792161394792655</v>
      </c>
      <c r="R724">
        <f t="shared" si="228"/>
        <v>0.5</v>
      </c>
      <c r="S724">
        <f t="shared" si="229"/>
        <v>1.25</v>
      </c>
      <c r="T724" s="89">
        <f t="shared" si="230"/>
        <v>6</v>
      </c>
      <c r="U724" s="126">
        <f>IF($D724="",0,IFERROR(LOOKUP(2,1/(($D$3:D723=$D724)*($C$3:C723=$C724)*($A$3:A723&lt;$A724)),$AB$3:AB723),1000))</f>
        <v>999.22931022602893</v>
      </c>
      <c r="V724" s="126">
        <f t="shared" si="231"/>
        <v>1090.3093285997884</v>
      </c>
      <c r="W724">
        <f t="shared" si="232"/>
        <v>1119.8857107830927</v>
      </c>
      <c r="X724">
        <f t="shared" si="233"/>
        <v>0.45753868346080218</v>
      </c>
      <c r="Y724">
        <f t="shared" si="234"/>
        <v>1041.4106507402771</v>
      </c>
      <c r="Z724">
        <f t="shared" si="235"/>
        <v>0.43959267776068134</v>
      </c>
      <c r="AA724">
        <f>IF($D724="",0,IF($F724&lt;2,0,IF($E724="Win",('Guide &amp; Settings'!$C$42/(($F724-1)*COUNTIFS($A$4:$A$1510,$A724,$E$4:$E$1510,"Win")))*SUMIFS($Z$4:$Z$1510,$A$4:$A$1510,$A724,$E$4:$E$1510,"Loss"),-('Guide &amp; Settings'!$C$42/($F724-1))*$Z724)))</f>
        <v>-14.066965688341803</v>
      </c>
      <c r="AB724" s="126">
        <f t="shared" si="236"/>
        <v>985.16234453768709</v>
      </c>
      <c r="AC724" s="126">
        <f>IF($D724="","",IF($AD724=0,0,IF(COUNTIFS($D$4:$D724,$D724,$B$4:$B724,$B724)&gt;1,0,IF($B724&lt;'Guide &amp; Settings'!$C$50,0,IF(($B724-$AD724)/7-'Guide &amp; Settings'!$C$48&gt;=0,(INT(($B724-$AD724)/7-'Guide &amp; Settings'!$C$48)+1)*'Guide &amp; Settings'!$C$49,0)))))</f>
        <v>0</v>
      </c>
      <c r="AD724" s="142">
        <f t="shared" si="237"/>
        <v>46290</v>
      </c>
      <c r="AE724">
        <f t="shared" si="238"/>
        <v>1</v>
      </c>
      <c r="AF724">
        <f t="shared" si="239"/>
        <v>0</v>
      </c>
    </row>
    <row r="725" spans="1:32" x14ac:dyDescent="0.2">
      <c r="A725" s="117"/>
      <c r="B725" s="118"/>
      <c r="C725" s="119"/>
      <c r="D725" s="119"/>
      <c r="E725" s="117"/>
      <c r="F725" s="120">
        <f t="shared" si="220"/>
        <v>0</v>
      </c>
      <c r="G725" s="121" t="str">
        <f t="shared" si="221"/>
        <v/>
      </c>
      <c r="H725" s="122">
        <f>IF($D725="",0,IFERROR(LOOKUP(2,1/(($D$3:D724=$D725)*($A$3:A724&lt;$A725)),$N$3:N724),'Guide &amp; Settings'!$C$41))</f>
        <v>0</v>
      </c>
      <c r="I725" s="123">
        <f t="shared" si="222"/>
        <v>0</v>
      </c>
      <c r="J725" s="124">
        <f>IF($D725="",0,IF($F725&lt;2,0,IF($E725="Win",('Guide &amp; Settings'!$C$42/(($F725-1)*COUNTIFS($A$4:$A$1510,$A725,$E$4:$E$1510,"Win")))*SUMIFS($X$4:$X$1510,$A$4:$A$1510,$A725,$E$4:$E$1510,"Loss"),-('Guide &amp; Settings'!$C$42/($F725-1))*$X725)))</f>
        <v>0</v>
      </c>
      <c r="K725" s="124">
        <f>IF($D725="",0,'Guide &amp; Settings'!$C$43*(IF($E725="Win",1,0)-$I725))</f>
        <v>0</v>
      </c>
      <c r="L725" s="125">
        <f>IF($D725="",0,'Guide &amp; Settings'!$C$44*IF($F725&gt;=3,$F725,0))</f>
        <v>0</v>
      </c>
      <c r="M725" s="124">
        <f t="shared" si="223"/>
        <v>0</v>
      </c>
      <c r="N725" s="122">
        <f t="shared" si="224"/>
        <v>0</v>
      </c>
      <c r="O725" s="121" t="str">
        <f t="shared" si="225"/>
        <v/>
      </c>
      <c r="P725">
        <f t="shared" si="226"/>
        <v>0</v>
      </c>
      <c r="Q725">
        <f t="shared" si="227"/>
        <v>0</v>
      </c>
      <c r="R725">
        <f t="shared" si="228"/>
        <v>0</v>
      </c>
      <c r="S725">
        <f t="shared" si="229"/>
        <v>0</v>
      </c>
      <c r="T725" s="89">
        <f t="shared" si="230"/>
        <v>0</v>
      </c>
      <c r="U725" s="126">
        <f>IF($D725="",0,IFERROR(LOOKUP(2,1/(($D$3:D724=$D725)*($C$3:C724=$C725)*($A$3:A724&lt;$A725)),$AB$3:AB724),1000))</f>
        <v>0</v>
      </c>
      <c r="V725" s="126">
        <f t="shared" si="231"/>
        <v>0</v>
      </c>
      <c r="W725">
        <f t="shared" si="232"/>
        <v>0</v>
      </c>
      <c r="X725">
        <f t="shared" si="233"/>
        <v>0</v>
      </c>
      <c r="Y725">
        <f t="shared" si="234"/>
        <v>0</v>
      </c>
      <c r="Z725">
        <f t="shared" si="235"/>
        <v>0</v>
      </c>
      <c r="AA725">
        <f>IF($D725="",0,IF($F725&lt;2,0,IF($E725="Win",('Guide &amp; Settings'!$C$42/(($F725-1)*COUNTIFS($A$4:$A$1510,$A725,$E$4:$E$1510,"Win")))*SUMIFS($Z$4:$Z$1510,$A$4:$A$1510,$A725,$E$4:$E$1510,"Loss"),-('Guide &amp; Settings'!$C$42/($F725-1))*$Z725)))</f>
        <v>0</v>
      </c>
      <c r="AB725" s="126">
        <f t="shared" si="236"/>
        <v>0</v>
      </c>
      <c r="AC725" s="126" t="str">
        <f>IF($D725="","",IF($AD725=0,0,IF(COUNTIFS($D$4:$D725,$D725,$B$4:$B725,$B725)&gt;1,0,IF($B725&lt;'Guide &amp; Settings'!$C$50,0,IF(($B725-$AD725)/7-'Guide &amp; Settings'!$C$48&gt;=0,(INT(($B725-$AD725)/7-'Guide &amp; Settings'!$C$48)+1)*'Guide &amp; Settings'!$C$49,0)))))</f>
        <v/>
      </c>
      <c r="AD725" s="142">
        <f t="shared" si="237"/>
        <v>0</v>
      </c>
      <c r="AE725">
        <f t="shared" si="238"/>
        <v>0</v>
      </c>
      <c r="AF725">
        <f t="shared" si="239"/>
        <v>0</v>
      </c>
    </row>
    <row r="726" spans="1:32" x14ac:dyDescent="0.2">
      <c r="A726" s="117"/>
      <c r="B726" s="118"/>
      <c r="C726" s="119"/>
      <c r="D726" s="119"/>
      <c r="E726" s="117"/>
      <c r="F726" s="120">
        <f t="shared" si="220"/>
        <v>0</v>
      </c>
      <c r="G726" s="121" t="str">
        <f t="shared" si="221"/>
        <v/>
      </c>
      <c r="H726" s="122">
        <f>IF($D726="",0,IFERROR(LOOKUP(2,1/(($D$3:D725=$D726)*($A$3:A725&lt;$A726)),$N$3:N725),'Guide &amp; Settings'!$C$41))</f>
        <v>0</v>
      </c>
      <c r="I726" s="123">
        <f t="shared" si="222"/>
        <v>0</v>
      </c>
      <c r="J726" s="124">
        <f>IF($D726="",0,IF($F726&lt;2,0,IF($E726="Win",('Guide &amp; Settings'!$C$42/(($F726-1)*COUNTIFS($A$4:$A$1510,$A726,$E$4:$E$1510,"Win")))*SUMIFS($X$4:$X$1510,$A$4:$A$1510,$A726,$E$4:$E$1510,"Loss"),-('Guide &amp; Settings'!$C$42/($F726-1))*$X726)))</f>
        <v>0</v>
      </c>
      <c r="K726" s="124">
        <f>IF($D726="",0,'Guide &amp; Settings'!$C$43*(IF($E726="Win",1,0)-$I726))</f>
        <v>0</v>
      </c>
      <c r="L726" s="125">
        <f>IF($D726="",0,'Guide &amp; Settings'!$C$44*IF($F726&gt;=3,$F726,0))</f>
        <v>0</v>
      </c>
      <c r="M726" s="124">
        <f t="shared" si="223"/>
        <v>0</v>
      </c>
      <c r="N726" s="122">
        <f t="shared" si="224"/>
        <v>0</v>
      </c>
      <c r="O726" s="121" t="str">
        <f t="shared" si="225"/>
        <v/>
      </c>
      <c r="P726">
        <f t="shared" si="226"/>
        <v>0</v>
      </c>
      <c r="Q726">
        <f t="shared" si="227"/>
        <v>0</v>
      </c>
      <c r="R726">
        <f t="shared" si="228"/>
        <v>0</v>
      </c>
      <c r="S726">
        <f t="shared" si="229"/>
        <v>0</v>
      </c>
      <c r="T726" s="89">
        <f t="shared" si="230"/>
        <v>0</v>
      </c>
      <c r="U726" s="126">
        <f>IF($D726="",0,IFERROR(LOOKUP(2,1/(($D$3:D725=$D726)*($C$3:C725=$C726)*($A$3:A725&lt;$A726)),$AB$3:AB725),1000))</f>
        <v>0</v>
      </c>
      <c r="V726" s="126">
        <f t="shared" si="231"/>
        <v>0</v>
      </c>
      <c r="W726">
        <f t="shared" si="232"/>
        <v>0</v>
      </c>
      <c r="X726">
        <f t="shared" si="233"/>
        <v>0</v>
      </c>
      <c r="Y726">
        <f t="shared" si="234"/>
        <v>0</v>
      </c>
      <c r="Z726">
        <f t="shared" si="235"/>
        <v>0</v>
      </c>
      <c r="AA726">
        <f>IF($D726="",0,IF($F726&lt;2,0,IF($E726="Win",('Guide &amp; Settings'!$C$42/(($F726-1)*COUNTIFS($A$4:$A$1510,$A726,$E$4:$E$1510,"Win")))*SUMIFS($Z$4:$Z$1510,$A$4:$A$1510,$A726,$E$4:$E$1510,"Loss"),-('Guide &amp; Settings'!$C$42/($F726-1))*$Z726)))</f>
        <v>0</v>
      </c>
      <c r="AB726" s="126">
        <f t="shared" si="236"/>
        <v>0</v>
      </c>
      <c r="AC726" s="126" t="str">
        <f>IF($D726="","",IF($AD726=0,0,IF(COUNTIFS($D$4:$D726,$D726,$B$4:$B726,$B726)&gt;1,0,IF($B726&lt;'Guide &amp; Settings'!$C$50,0,IF(($B726-$AD726)/7-'Guide &amp; Settings'!$C$48&gt;=0,(INT(($B726-$AD726)/7-'Guide &amp; Settings'!$C$48)+1)*'Guide &amp; Settings'!$C$49,0)))))</f>
        <v/>
      </c>
      <c r="AD726" s="142">
        <f t="shared" si="237"/>
        <v>0</v>
      </c>
      <c r="AE726">
        <f t="shared" si="238"/>
        <v>0</v>
      </c>
      <c r="AF726">
        <f t="shared" si="239"/>
        <v>0</v>
      </c>
    </row>
    <row r="727" spans="1:32" x14ac:dyDescent="0.2">
      <c r="A727" s="117"/>
      <c r="B727" s="118"/>
      <c r="C727" s="119"/>
      <c r="D727" s="119"/>
      <c r="E727" s="117"/>
      <c r="F727" s="120">
        <f t="shared" si="220"/>
        <v>0</v>
      </c>
      <c r="G727" s="121" t="str">
        <f t="shared" si="221"/>
        <v/>
      </c>
      <c r="H727" s="122">
        <f>IF($D727="",0,IFERROR(LOOKUP(2,1/(($D$3:D726=$D727)*($A$3:A726&lt;$A727)),$N$3:N726),'Guide &amp; Settings'!$C$41))</f>
        <v>0</v>
      </c>
      <c r="I727" s="123">
        <f t="shared" si="222"/>
        <v>0</v>
      </c>
      <c r="J727" s="124">
        <f>IF($D727="",0,IF($F727&lt;2,0,IF($E727="Win",('Guide &amp; Settings'!$C$42/(($F727-1)*COUNTIFS($A$4:$A$1510,$A727,$E$4:$E$1510,"Win")))*SUMIFS($X$4:$X$1510,$A$4:$A$1510,$A727,$E$4:$E$1510,"Loss"),-('Guide &amp; Settings'!$C$42/($F727-1))*$X727)))</f>
        <v>0</v>
      </c>
      <c r="K727" s="124">
        <f>IF($D727="",0,'Guide &amp; Settings'!$C$43*(IF($E727="Win",1,0)-$I727))</f>
        <v>0</v>
      </c>
      <c r="L727" s="125">
        <f>IF($D727="",0,'Guide &amp; Settings'!$C$44*IF($F727&gt;=3,$F727,0))</f>
        <v>0</v>
      </c>
      <c r="M727" s="124">
        <f t="shared" si="223"/>
        <v>0</v>
      </c>
      <c r="N727" s="122">
        <f t="shared" si="224"/>
        <v>0</v>
      </c>
      <c r="O727" s="121" t="str">
        <f t="shared" si="225"/>
        <v/>
      </c>
      <c r="P727">
        <f t="shared" si="226"/>
        <v>0</v>
      </c>
      <c r="Q727">
        <f t="shared" si="227"/>
        <v>0</v>
      </c>
      <c r="R727">
        <f t="shared" si="228"/>
        <v>0</v>
      </c>
      <c r="S727">
        <f t="shared" si="229"/>
        <v>0</v>
      </c>
      <c r="T727" s="89">
        <f t="shared" si="230"/>
        <v>0</v>
      </c>
      <c r="U727" s="126">
        <f>IF($D727="",0,IFERROR(LOOKUP(2,1/(($D$3:D726=$D727)*($C$3:C726=$C727)*($A$3:A726&lt;$A727)),$AB$3:AB726),1000))</f>
        <v>0</v>
      </c>
      <c r="V727" s="126">
        <f t="shared" si="231"/>
        <v>0</v>
      </c>
      <c r="W727">
        <f t="shared" si="232"/>
        <v>0</v>
      </c>
      <c r="X727">
        <f t="shared" si="233"/>
        <v>0</v>
      </c>
      <c r="Y727">
        <f t="shared" si="234"/>
        <v>0</v>
      </c>
      <c r="Z727">
        <f t="shared" si="235"/>
        <v>0</v>
      </c>
      <c r="AA727">
        <f>IF($D727="",0,IF($F727&lt;2,0,IF($E727="Win",('Guide &amp; Settings'!$C$42/(($F727-1)*COUNTIFS($A$4:$A$1510,$A727,$E$4:$E$1510,"Win")))*SUMIFS($Z$4:$Z$1510,$A$4:$A$1510,$A727,$E$4:$E$1510,"Loss"),-('Guide &amp; Settings'!$C$42/($F727-1))*$Z727)))</f>
        <v>0</v>
      </c>
      <c r="AB727" s="126">
        <f t="shared" si="236"/>
        <v>0</v>
      </c>
      <c r="AC727" s="126" t="str">
        <f>IF($D727="","",IF($AD727=0,0,IF(COUNTIFS($D$4:$D727,$D727,$B$4:$B727,$B727)&gt;1,0,IF($B727&lt;'Guide &amp; Settings'!$C$50,0,IF(($B727-$AD727)/7-'Guide &amp; Settings'!$C$48&gt;=0,(INT(($B727-$AD727)/7-'Guide &amp; Settings'!$C$48)+1)*'Guide &amp; Settings'!$C$49,0)))))</f>
        <v/>
      </c>
      <c r="AD727" s="142">
        <f t="shared" si="237"/>
        <v>0</v>
      </c>
      <c r="AE727">
        <f t="shared" si="238"/>
        <v>0</v>
      </c>
      <c r="AF727">
        <f t="shared" si="239"/>
        <v>0</v>
      </c>
    </row>
    <row r="728" spans="1:32" x14ac:dyDescent="0.2">
      <c r="A728" s="117"/>
      <c r="B728" s="118"/>
      <c r="C728" s="119"/>
      <c r="D728" s="119"/>
      <c r="E728" s="117"/>
      <c r="F728" s="120">
        <f t="shared" si="220"/>
        <v>0</v>
      </c>
      <c r="G728" s="121" t="str">
        <f t="shared" si="221"/>
        <v/>
      </c>
      <c r="H728" s="122">
        <f>IF($D728="",0,IFERROR(LOOKUP(2,1/(($D$3:D727=$D728)*($A$3:A727&lt;$A728)),$N$3:N727),'Guide &amp; Settings'!$C$41))</f>
        <v>0</v>
      </c>
      <c r="I728" s="123">
        <f t="shared" si="222"/>
        <v>0</v>
      </c>
      <c r="J728" s="124">
        <f>IF($D728="",0,IF($F728&lt;2,0,IF($E728="Win",('Guide &amp; Settings'!$C$42/(($F728-1)*COUNTIFS($A$4:$A$1510,$A728,$E$4:$E$1510,"Win")))*SUMIFS($X$4:$X$1510,$A$4:$A$1510,$A728,$E$4:$E$1510,"Loss"),-('Guide &amp; Settings'!$C$42/($F728-1))*$X728)))</f>
        <v>0</v>
      </c>
      <c r="K728" s="124">
        <f>IF($D728="",0,'Guide &amp; Settings'!$C$43*(IF($E728="Win",1,0)-$I728))</f>
        <v>0</v>
      </c>
      <c r="L728" s="125">
        <f>IF($D728="",0,'Guide &amp; Settings'!$C$44*IF($F728&gt;=3,$F728,0))</f>
        <v>0</v>
      </c>
      <c r="M728" s="124">
        <f t="shared" si="223"/>
        <v>0</v>
      </c>
      <c r="N728" s="122">
        <f t="shared" si="224"/>
        <v>0</v>
      </c>
      <c r="O728" s="121" t="str">
        <f t="shared" si="225"/>
        <v/>
      </c>
      <c r="P728">
        <f t="shared" si="226"/>
        <v>0</v>
      </c>
      <c r="Q728">
        <f t="shared" si="227"/>
        <v>0</v>
      </c>
      <c r="R728">
        <f t="shared" si="228"/>
        <v>0</v>
      </c>
      <c r="S728">
        <f t="shared" si="229"/>
        <v>0</v>
      </c>
      <c r="T728" s="89">
        <f t="shared" si="230"/>
        <v>0</v>
      </c>
      <c r="U728" s="126">
        <f>IF($D728="",0,IFERROR(LOOKUP(2,1/(($D$3:D727=$D728)*($C$3:C727=$C728)*($A$3:A727&lt;$A728)),$AB$3:AB727),1000))</f>
        <v>0</v>
      </c>
      <c r="V728" s="126">
        <f t="shared" si="231"/>
        <v>0</v>
      </c>
      <c r="W728">
        <f t="shared" si="232"/>
        <v>0</v>
      </c>
      <c r="X728">
        <f t="shared" si="233"/>
        <v>0</v>
      </c>
      <c r="Y728">
        <f t="shared" si="234"/>
        <v>0</v>
      </c>
      <c r="Z728">
        <f t="shared" si="235"/>
        <v>0</v>
      </c>
      <c r="AA728">
        <f>IF($D728="",0,IF($F728&lt;2,0,IF($E728="Win",('Guide &amp; Settings'!$C$42/(($F728-1)*COUNTIFS($A$4:$A$1510,$A728,$E$4:$E$1510,"Win")))*SUMIFS($Z$4:$Z$1510,$A$4:$A$1510,$A728,$E$4:$E$1510,"Loss"),-('Guide &amp; Settings'!$C$42/($F728-1))*$Z728)))</f>
        <v>0</v>
      </c>
      <c r="AB728" s="126">
        <f t="shared" si="236"/>
        <v>0</v>
      </c>
      <c r="AC728" s="126" t="str">
        <f>IF($D728="","",IF($AD728=0,0,IF(COUNTIFS($D$4:$D728,$D728,$B$4:$B728,$B728)&gt;1,0,IF($B728&lt;'Guide &amp; Settings'!$C$50,0,IF(($B728-$AD728)/7-'Guide &amp; Settings'!$C$48&gt;=0,(INT(($B728-$AD728)/7-'Guide &amp; Settings'!$C$48)+1)*'Guide &amp; Settings'!$C$49,0)))))</f>
        <v/>
      </c>
      <c r="AD728" s="142">
        <f t="shared" si="237"/>
        <v>0</v>
      </c>
      <c r="AE728">
        <f t="shared" si="238"/>
        <v>0</v>
      </c>
      <c r="AF728">
        <f t="shared" si="239"/>
        <v>0</v>
      </c>
    </row>
    <row r="729" spans="1:32" x14ac:dyDescent="0.2">
      <c r="A729" s="117"/>
      <c r="B729" s="118"/>
      <c r="C729" s="119"/>
      <c r="D729" s="119"/>
      <c r="E729" s="117"/>
      <c r="F729" s="120">
        <f t="shared" si="220"/>
        <v>0</v>
      </c>
      <c r="G729" s="121" t="str">
        <f t="shared" si="221"/>
        <v/>
      </c>
      <c r="H729" s="122">
        <f>IF($D729="",0,IFERROR(LOOKUP(2,1/(($D$3:D728=$D729)*($A$3:A728&lt;$A729)),$N$3:N728),'Guide &amp; Settings'!$C$41))</f>
        <v>0</v>
      </c>
      <c r="I729" s="123">
        <f t="shared" si="222"/>
        <v>0</v>
      </c>
      <c r="J729" s="124">
        <f>IF($D729="",0,IF($F729&lt;2,0,IF($E729="Win",('Guide &amp; Settings'!$C$42/(($F729-1)*COUNTIFS($A$4:$A$1510,$A729,$E$4:$E$1510,"Win")))*SUMIFS($X$4:$X$1510,$A$4:$A$1510,$A729,$E$4:$E$1510,"Loss"),-('Guide &amp; Settings'!$C$42/($F729-1))*$X729)))</f>
        <v>0</v>
      </c>
      <c r="K729" s="124">
        <f>IF($D729="",0,'Guide &amp; Settings'!$C$43*(IF($E729="Win",1,0)-$I729))</f>
        <v>0</v>
      </c>
      <c r="L729" s="125">
        <f>IF($D729="",0,'Guide &amp; Settings'!$C$44*IF($F729&gt;=3,$F729,0))</f>
        <v>0</v>
      </c>
      <c r="M729" s="124">
        <f t="shared" si="223"/>
        <v>0</v>
      </c>
      <c r="N729" s="122">
        <f t="shared" si="224"/>
        <v>0</v>
      </c>
      <c r="O729" s="121" t="str">
        <f t="shared" si="225"/>
        <v/>
      </c>
      <c r="P729">
        <f t="shared" si="226"/>
        <v>0</v>
      </c>
      <c r="Q729">
        <f t="shared" si="227"/>
        <v>0</v>
      </c>
      <c r="R729">
        <f t="shared" si="228"/>
        <v>0</v>
      </c>
      <c r="S729">
        <f t="shared" si="229"/>
        <v>0</v>
      </c>
      <c r="T729" s="89">
        <f t="shared" si="230"/>
        <v>0</v>
      </c>
      <c r="U729" s="126">
        <f>IF($D729="",0,IFERROR(LOOKUP(2,1/(($D$3:D728=$D729)*($C$3:C728=$C729)*($A$3:A728&lt;$A729)),$AB$3:AB728),1000))</f>
        <v>0</v>
      </c>
      <c r="V729" s="126">
        <f t="shared" si="231"/>
        <v>0</v>
      </c>
      <c r="W729">
        <f t="shared" si="232"/>
        <v>0</v>
      </c>
      <c r="X729">
        <f t="shared" si="233"/>
        <v>0</v>
      </c>
      <c r="Y729">
        <f t="shared" si="234"/>
        <v>0</v>
      </c>
      <c r="Z729">
        <f t="shared" si="235"/>
        <v>0</v>
      </c>
      <c r="AA729">
        <f>IF($D729="",0,IF($F729&lt;2,0,IF($E729="Win",('Guide &amp; Settings'!$C$42/(($F729-1)*COUNTIFS($A$4:$A$1510,$A729,$E$4:$E$1510,"Win")))*SUMIFS($Z$4:$Z$1510,$A$4:$A$1510,$A729,$E$4:$E$1510,"Loss"),-('Guide &amp; Settings'!$C$42/($F729-1))*$Z729)))</f>
        <v>0</v>
      </c>
      <c r="AB729" s="126">
        <f t="shared" si="236"/>
        <v>0</v>
      </c>
      <c r="AC729" s="126" t="str">
        <f>IF($D729="","",IF($AD729=0,0,IF(COUNTIFS($D$4:$D729,$D729,$B$4:$B729,$B729)&gt;1,0,IF($B729&lt;'Guide &amp; Settings'!$C$50,0,IF(($B729-$AD729)/7-'Guide &amp; Settings'!$C$48&gt;=0,(INT(($B729-$AD729)/7-'Guide &amp; Settings'!$C$48)+1)*'Guide &amp; Settings'!$C$49,0)))))</f>
        <v/>
      </c>
      <c r="AD729" s="142">
        <f t="shared" si="237"/>
        <v>0</v>
      </c>
      <c r="AE729">
        <f t="shared" si="238"/>
        <v>0</v>
      </c>
      <c r="AF729">
        <f t="shared" si="239"/>
        <v>0</v>
      </c>
    </row>
    <row r="730" spans="1:32" x14ac:dyDescent="0.2">
      <c r="A730" s="117"/>
      <c r="B730" s="118"/>
      <c r="C730" s="119"/>
      <c r="D730" s="119"/>
      <c r="E730" s="117"/>
      <c r="F730" s="120">
        <f t="shared" si="220"/>
        <v>0</v>
      </c>
      <c r="G730" s="121" t="str">
        <f t="shared" si="221"/>
        <v/>
      </c>
      <c r="H730" s="122">
        <f>IF($D730="",0,IFERROR(LOOKUP(2,1/(($D$3:D729=$D730)*($A$3:A729&lt;$A730)),$N$3:N729),'Guide &amp; Settings'!$C$41))</f>
        <v>0</v>
      </c>
      <c r="I730" s="123">
        <f t="shared" si="222"/>
        <v>0</v>
      </c>
      <c r="J730" s="124">
        <f>IF($D730="",0,IF($F730&lt;2,0,IF($E730="Win",('Guide &amp; Settings'!$C$42/(($F730-1)*COUNTIFS($A$4:$A$1510,$A730,$E$4:$E$1510,"Win")))*SUMIFS($X$4:$X$1510,$A$4:$A$1510,$A730,$E$4:$E$1510,"Loss"),-('Guide &amp; Settings'!$C$42/($F730-1))*$X730)))</f>
        <v>0</v>
      </c>
      <c r="K730" s="124">
        <f>IF($D730="",0,'Guide &amp; Settings'!$C$43*(IF($E730="Win",1,0)-$I730))</f>
        <v>0</v>
      </c>
      <c r="L730" s="125">
        <f>IF($D730="",0,'Guide &amp; Settings'!$C$44*IF($F730&gt;=3,$F730,0))</f>
        <v>0</v>
      </c>
      <c r="M730" s="124">
        <f t="shared" si="223"/>
        <v>0</v>
      </c>
      <c r="N730" s="122">
        <f t="shared" si="224"/>
        <v>0</v>
      </c>
      <c r="O730" s="121" t="str">
        <f t="shared" si="225"/>
        <v/>
      </c>
      <c r="P730">
        <f t="shared" si="226"/>
        <v>0</v>
      </c>
      <c r="Q730">
        <f t="shared" si="227"/>
        <v>0</v>
      </c>
      <c r="R730">
        <f t="shared" si="228"/>
        <v>0</v>
      </c>
      <c r="S730">
        <f t="shared" si="229"/>
        <v>0</v>
      </c>
      <c r="T730" s="89">
        <f t="shared" si="230"/>
        <v>0</v>
      </c>
      <c r="U730" s="126">
        <f>IF($D730="",0,IFERROR(LOOKUP(2,1/(($D$3:D729=$D730)*($C$3:C729=$C730)*($A$3:A729&lt;$A730)),$AB$3:AB729),1000))</f>
        <v>0</v>
      </c>
      <c r="V730" s="126">
        <f t="shared" si="231"/>
        <v>0</v>
      </c>
      <c r="W730">
        <f t="shared" si="232"/>
        <v>0</v>
      </c>
      <c r="X730">
        <f t="shared" si="233"/>
        <v>0</v>
      </c>
      <c r="Y730">
        <f t="shared" si="234"/>
        <v>0</v>
      </c>
      <c r="Z730">
        <f t="shared" si="235"/>
        <v>0</v>
      </c>
      <c r="AA730">
        <f>IF($D730="",0,IF($F730&lt;2,0,IF($E730="Win",('Guide &amp; Settings'!$C$42/(($F730-1)*COUNTIFS($A$4:$A$1510,$A730,$E$4:$E$1510,"Win")))*SUMIFS($Z$4:$Z$1510,$A$4:$A$1510,$A730,$E$4:$E$1510,"Loss"),-('Guide &amp; Settings'!$C$42/($F730-1))*$Z730)))</f>
        <v>0</v>
      </c>
      <c r="AB730" s="126">
        <f t="shared" si="236"/>
        <v>0</v>
      </c>
      <c r="AC730" s="126" t="str">
        <f>IF($D730="","",IF($AD730=0,0,IF(COUNTIFS($D$4:$D730,$D730,$B$4:$B730,$B730)&gt;1,0,IF($B730&lt;'Guide &amp; Settings'!$C$50,0,IF(($B730-$AD730)/7-'Guide &amp; Settings'!$C$48&gt;=0,(INT(($B730-$AD730)/7-'Guide &amp; Settings'!$C$48)+1)*'Guide &amp; Settings'!$C$49,0)))))</f>
        <v/>
      </c>
      <c r="AD730" s="142">
        <f t="shared" si="237"/>
        <v>0</v>
      </c>
      <c r="AE730">
        <f t="shared" si="238"/>
        <v>0</v>
      </c>
      <c r="AF730">
        <f t="shared" si="239"/>
        <v>0</v>
      </c>
    </row>
    <row r="731" spans="1:32" x14ac:dyDescent="0.2">
      <c r="A731" s="117"/>
      <c r="B731" s="118"/>
      <c r="C731" s="119"/>
      <c r="D731" s="119"/>
      <c r="E731" s="117"/>
      <c r="F731" s="120">
        <f t="shared" si="220"/>
        <v>0</v>
      </c>
      <c r="G731" s="121" t="str">
        <f t="shared" si="221"/>
        <v/>
      </c>
      <c r="H731" s="122">
        <f>IF($D731="",0,IFERROR(LOOKUP(2,1/(($D$3:D730=$D731)*($A$3:A730&lt;$A731)),$N$3:N730),'Guide &amp; Settings'!$C$41))</f>
        <v>0</v>
      </c>
      <c r="I731" s="123">
        <f t="shared" si="222"/>
        <v>0</v>
      </c>
      <c r="J731" s="124">
        <f>IF($D731="",0,IF($F731&lt;2,0,IF($E731="Win",('Guide &amp; Settings'!$C$42/(($F731-1)*COUNTIFS($A$4:$A$1510,$A731,$E$4:$E$1510,"Win")))*SUMIFS($X$4:$X$1510,$A$4:$A$1510,$A731,$E$4:$E$1510,"Loss"),-('Guide &amp; Settings'!$C$42/($F731-1))*$X731)))</f>
        <v>0</v>
      </c>
      <c r="K731" s="124">
        <f>IF($D731="",0,'Guide &amp; Settings'!$C$43*(IF($E731="Win",1,0)-$I731))</f>
        <v>0</v>
      </c>
      <c r="L731" s="125">
        <f>IF($D731="",0,'Guide &amp; Settings'!$C$44*IF($F731&gt;=3,$F731,0))</f>
        <v>0</v>
      </c>
      <c r="M731" s="124">
        <f t="shared" si="223"/>
        <v>0</v>
      </c>
      <c r="N731" s="122">
        <f t="shared" si="224"/>
        <v>0</v>
      </c>
      <c r="O731" s="121" t="str">
        <f t="shared" si="225"/>
        <v/>
      </c>
      <c r="P731">
        <f t="shared" si="226"/>
        <v>0</v>
      </c>
      <c r="Q731">
        <f t="shared" si="227"/>
        <v>0</v>
      </c>
      <c r="R731">
        <f t="shared" si="228"/>
        <v>0</v>
      </c>
      <c r="S731">
        <f t="shared" si="229"/>
        <v>0</v>
      </c>
      <c r="T731" s="89">
        <f t="shared" si="230"/>
        <v>0</v>
      </c>
      <c r="U731" s="126">
        <f>IF($D731="",0,IFERROR(LOOKUP(2,1/(($D$3:D730=$D731)*($C$3:C730=$C731)*($A$3:A730&lt;$A731)),$AB$3:AB730),1000))</f>
        <v>0</v>
      </c>
      <c r="V731" s="126">
        <f t="shared" si="231"/>
        <v>0</v>
      </c>
      <c r="W731">
        <f t="shared" si="232"/>
        <v>0</v>
      </c>
      <c r="X731">
        <f t="shared" si="233"/>
        <v>0</v>
      </c>
      <c r="Y731">
        <f t="shared" si="234"/>
        <v>0</v>
      </c>
      <c r="Z731">
        <f t="shared" si="235"/>
        <v>0</v>
      </c>
      <c r="AA731">
        <f>IF($D731="",0,IF($F731&lt;2,0,IF($E731="Win",('Guide &amp; Settings'!$C$42/(($F731-1)*COUNTIFS($A$4:$A$1510,$A731,$E$4:$E$1510,"Win")))*SUMIFS($Z$4:$Z$1510,$A$4:$A$1510,$A731,$E$4:$E$1510,"Loss"),-('Guide &amp; Settings'!$C$42/($F731-1))*$Z731)))</f>
        <v>0</v>
      </c>
      <c r="AB731" s="126">
        <f t="shared" si="236"/>
        <v>0</v>
      </c>
      <c r="AC731" s="126" t="str">
        <f>IF($D731="","",IF($AD731=0,0,IF(COUNTIFS($D$4:$D731,$D731,$B$4:$B731,$B731)&gt;1,0,IF($B731&lt;'Guide &amp; Settings'!$C$50,0,IF(($B731-$AD731)/7-'Guide &amp; Settings'!$C$48&gt;=0,(INT(($B731-$AD731)/7-'Guide &amp; Settings'!$C$48)+1)*'Guide &amp; Settings'!$C$49,0)))))</f>
        <v/>
      </c>
      <c r="AD731" s="142">
        <f t="shared" si="237"/>
        <v>0</v>
      </c>
      <c r="AE731">
        <f t="shared" si="238"/>
        <v>0</v>
      </c>
      <c r="AF731">
        <f t="shared" si="239"/>
        <v>0</v>
      </c>
    </row>
    <row r="732" spans="1:32" x14ac:dyDescent="0.2">
      <c r="A732" s="117"/>
      <c r="B732" s="118"/>
      <c r="C732" s="119"/>
      <c r="D732" s="119"/>
      <c r="E732" s="117"/>
      <c r="F732" s="120">
        <f t="shared" si="220"/>
        <v>0</v>
      </c>
      <c r="G732" s="121" t="str">
        <f t="shared" si="221"/>
        <v/>
      </c>
      <c r="H732" s="122">
        <f>IF($D732="",0,IFERROR(LOOKUP(2,1/(($D$3:D731=$D732)*($A$3:A731&lt;$A732)),$N$3:N731),'Guide &amp; Settings'!$C$41))</f>
        <v>0</v>
      </c>
      <c r="I732" s="123">
        <f t="shared" si="222"/>
        <v>0</v>
      </c>
      <c r="J732" s="124">
        <f>IF($D732="",0,IF($F732&lt;2,0,IF($E732="Win",('Guide &amp; Settings'!$C$42/(($F732-1)*COUNTIFS($A$4:$A$1510,$A732,$E$4:$E$1510,"Win")))*SUMIFS($X$4:$X$1510,$A$4:$A$1510,$A732,$E$4:$E$1510,"Loss"),-('Guide &amp; Settings'!$C$42/($F732-1))*$X732)))</f>
        <v>0</v>
      </c>
      <c r="K732" s="124">
        <f>IF($D732="",0,'Guide &amp; Settings'!$C$43*(IF($E732="Win",1,0)-$I732))</f>
        <v>0</v>
      </c>
      <c r="L732" s="125">
        <f>IF($D732="",0,'Guide &amp; Settings'!$C$44*IF($F732&gt;=3,$F732,0))</f>
        <v>0</v>
      </c>
      <c r="M732" s="124">
        <f t="shared" si="223"/>
        <v>0</v>
      </c>
      <c r="N732" s="122">
        <f t="shared" si="224"/>
        <v>0</v>
      </c>
      <c r="O732" s="121" t="str">
        <f t="shared" si="225"/>
        <v/>
      </c>
      <c r="P732">
        <f t="shared" si="226"/>
        <v>0</v>
      </c>
      <c r="Q732">
        <f t="shared" si="227"/>
        <v>0</v>
      </c>
      <c r="R732">
        <f t="shared" si="228"/>
        <v>0</v>
      </c>
      <c r="S732">
        <f t="shared" si="229"/>
        <v>0</v>
      </c>
      <c r="T732" s="89">
        <f t="shared" si="230"/>
        <v>0</v>
      </c>
      <c r="U732" s="126">
        <f>IF($D732="",0,IFERROR(LOOKUP(2,1/(($D$3:D731=$D732)*($C$3:C731=$C732)*($A$3:A731&lt;$A732)),$AB$3:AB731),1000))</f>
        <v>0</v>
      </c>
      <c r="V732" s="126">
        <f t="shared" si="231"/>
        <v>0</v>
      </c>
      <c r="W732">
        <f t="shared" si="232"/>
        <v>0</v>
      </c>
      <c r="X732">
        <f t="shared" si="233"/>
        <v>0</v>
      </c>
      <c r="Y732">
        <f t="shared" si="234"/>
        <v>0</v>
      </c>
      <c r="Z732">
        <f t="shared" si="235"/>
        <v>0</v>
      </c>
      <c r="AA732">
        <f>IF($D732="",0,IF($F732&lt;2,0,IF($E732="Win",('Guide &amp; Settings'!$C$42/(($F732-1)*COUNTIFS($A$4:$A$1510,$A732,$E$4:$E$1510,"Win")))*SUMIFS($Z$4:$Z$1510,$A$4:$A$1510,$A732,$E$4:$E$1510,"Loss"),-('Guide &amp; Settings'!$C$42/($F732-1))*$Z732)))</f>
        <v>0</v>
      </c>
      <c r="AB732" s="126">
        <f t="shared" si="236"/>
        <v>0</v>
      </c>
      <c r="AC732" s="126" t="str">
        <f>IF($D732="","",IF($AD732=0,0,IF(COUNTIFS($D$4:$D732,$D732,$B$4:$B732,$B732)&gt;1,0,IF($B732&lt;'Guide &amp; Settings'!$C$50,0,IF(($B732-$AD732)/7-'Guide &amp; Settings'!$C$48&gt;=0,(INT(($B732-$AD732)/7-'Guide &amp; Settings'!$C$48)+1)*'Guide &amp; Settings'!$C$49,0)))))</f>
        <v/>
      </c>
      <c r="AD732" s="142">
        <f t="shared" si="237"/>
        <v>0</v>
      </c>
      <c r="AE732">
        <f t="shared" si="238"/>
        <v>0</v>
      </c>
      <c r="AF732">
        <f t="shared" si="239"/>
        <v>0</v>
      </c>
    </row>
    <row r="733" spans="1:32" x14ac:dyDescent="0.2">
      <c r="A733" s="117"/>
      <c r="B733" s="118"/>
      <c r="C733" s="119"/>
      <c r="D733" s="119"/>
      <c r="E733" s="117"/>
      <c r="F733" s="120">
        <f t="shared" si="220"/>
        <v>0</v>
      </c>
      <c r="G733" s="121" t="str">
        <f t="shared" si="221"/>
        <v/>
      </c>
      <c r="H733" s="122">
        <f>IF($D733="",0,IFERROR(LOOKUP(2,1/(($D$3:D732=$D733)*($A$3:A732&lt;$A733)),$N$3:N732),'Guide &amp; Settings'!$C$41))</f>
        <v>0</v>
      </c>
      <c r="I733" s="123">
        <f t="shared" si="222"/>
        <v>0</v>
      </c>
      <c r="J733" s="124">
        <f>IF($D733="",0,IF($F733&lt;2,0,IF($E733="Win",('Guide &amp; Settings'!$C$42/(($F733-1)*COUNTIFS($A$4:$A$1510,$A733,$E$4:$E$1510,"Win")))*SUMIFS($X$4:$X$1510,$A$4:$A$1510,$A733,$E$4:$E$1510,"Loss"),-('Guide &amp; Settings'!$C$42/($F733-1))*$X733)))</f>
        <v>0</v>
      </c>
      <c r="K733" s="124">
        <f>IF($D733="",0,'Guide &amp; Settings'!$C$43*(IF($E733="Win",1,0)-$I733))</f>
        <v>0</v>
      </c>
      <c r="L733" s="125">
        <f>IF($D733="",0,'Guide &amp; Settings'!$C$44*IF($F733&gt;=3,$F733,0))</f>
        <v>0</v>
      </c>
      <c r="M733" s="124">
        <f t="shared" si="223"/>
        <v>0</v>
      </c>
      <c r="N733" s="122">
        <f t="shared" si="224"/>
        <v>0</v>
      </c>
      <c r="O733" s="121" t="str">
        <f t="shared" si="225"/>
        <v/>
      </c>
      <c r="P733">
        <f t="shared" si="226"/>
        <v>0</v>
      </c>
      <c r="Q733">
        <f t="shared" si="227"/>
        <v>0</v>
      </c>
      <c r="R733">
        <f t="shared" si="228"/>
        <v>0</v>
      </c>
      <c r="S733">
        <f t="shared" si="229"/>
        <v>0</v>
      </c>
      <c r="T733" s="89">
        <f t="shared" si="230"/>
        <v>0</v>
      </c>
      <c r="U733" s="126">
        <f>IF($D733="",0,IFERROR(LOOKUP(2,1/(($D$3:D732=$D733)*($C$3:C732=$C733)*($A$3:A732&lt;$A733)),$AB$3:AB732),1000))</f>
        <v>0</v>
      </c>
      <c r="V733" s="126">
        <f t="shared" si="231"/>
        <v>0</v>
      </c>
      <c r="W733">
        <f t="shared" si="232"/>
        <v>0</v>
      </c>
      <c r="X733">
        <f t="shared" si="233"/>
        <v>0</v>
      </c>
      <c r="Y733">
        <f t="shared" si="234"/>
        <v>0</v>
      </c>
      <c r="Z733">
        <f t="shared" si="235"/>
        <v>0</v>
      </c>
      <c r="AA733">
        <f>IF($D733="",0,IF($F733&lt;2,0,IF($E733="Win",('Guide &amp; Settings'!$C$42/(($F733-1)*COUNTIFS($A$4:$A$1510,$A733,$E$4:$E$1510,"Win")))*SUMIFS($Z$4:$Z$1510,$A$4:$A$1510,$A733,$E$4:$E$1510,"Loss"),-('Guide &amp; Settings'!$C$42/($F733-1))*$Z733)))</f>
        <v>0</v>
      </c>
      <c r="AB733" s="126">
        <f t="shared" si="236"/>
        <v>0</v>
      </c>
      <c r="AC733" s="126" t="str">
        <f>IF($D733="","",IF($AD733=0,0,IF(COUNTIFS($D$4:$D733,$D733,$B$4:$B733,$B733)&gt;1,0,IF($B733&lt;'Guide &amp; Settings'!$C$50,0,IF(($B733-$AD733)/7-'Guide &amp; Settings'!$C$48&gt;=0,(INT(($B733-$AD733)/7-'Guide &amp; Settings'!$C$48)+1)*'Guide &amp; Settings'!$C$49,0)))))</f>
        <v/>
      </c>
      <c r="AD733" s="142">
        <f t="shared" si="237"/>
        <v>0</v>
      </c>
      <c r="AE733">
        <f t="shared" si="238"/>
        <v>0</v>
      </c>
      <c r="AF733">
        <f t="shared" si="239"/>
        <v>0</v>
      </c>
    </row>
    <row r="734" spans="1:32" x14ac:dyDescent="0.2">
      <c r="A734" s="117"/>
      <c r="B734" s="118"/>
      <c r="C734" s="119"/>
      <c r="D734" s="119"/>
      <c r="E734" s="117"/>
      <c r="F734" s="120">
        <f t="shared" si="220"/>
        <v>0</v>
      </c>
      <c r="G734" s="121" t="str">
        <f t="shared" si="221"/>
        <v/>
      </c>
      <c r="H734" s="122">
        <f>IF($D734="",0,IFERROR(LOOKUP(2,1/(($D$3:D733=$D734)*($A$3:A733&lt;$A734)),$N$3:N733),'Guide &amp; Settings'!$C$41))</f>
        <v>0</v>
      </c>
      <c r="I734" s="123">
        <f t="shared" si="222"/>
        <v>0</v>
      </c>
      <c r="J734" s="124">
        <f>IF($D734="",0,IF($F734&lt;2,0,IF($E734="Win",('Guide &amp; Settings'!$C$42/(($F734-1)*COUNTIFS($A$4:$A$1510,$A734,$E$4:$E$1510,"Win")))*SUMIFS($X$4:$X$1510,$A$4:$A$1510,$A734,$E$4:$E$1510,"Loss"),-('Guide &amp; Settings'!$C$42/($F734-1))*$X734)))</f>
        <v>0</v>
      </c>
      <c r="K734" s="124">
        <f>IF($D734="",0,'Guide &amp; Settings'!$C$43*(IF($E734="Win",1,0)-$I734))</f>
        <v>0</v>
      </c>
      <c r="L734" s="125">
        <f>IF($D734="",0,'Guide &amp; Settings'!$C$44*IF($F734&gt;=3,$F734,0))</f>
        <v>0</v>
      </c>
      <c r="M734" s="124">
        <f t="shared" si="223"/>
        <v>0</v>
      </c>
      <c r="N734" s="122">
        <f t="shared" si="224"/>
        <v>0</v>
      </c>
      <c r="O734" s="121" t="str">
        <f t="shared" si="225"/>
        <v/>
      </c>
      <c r="P734">
        <f t="shared" si="226"/>
        <v>0</v>
      </c>
      <c r="Q734">
        <f t="shared" si="227"/>
        <v>0</v>
      </c>
      <c r="R734">
        <f t="shared" si="228"/>
        <v>0</v>
      </c>
      <c r="S734">
        <f t="shared" si="229"/>
        <v>0</v>
      </c>
      <c r="T734" s="89">
        <f t="shared" si="230"/>
        <v>0</v>
      </c>
      <c r="U734" s="126">
        <f>IF($D734="",0,IFERROR(LOOKUP(2,1/(($D$3:D733=$D734)*($C$3:C733=$C734)*($A$3:A733&lt;$A734)),$AB$3:AB733),1000))</f>
        <v>0</v>
      </c>
      <c r="V734" s="126">
        <f t="shared" si="231"/>
        <v>0</v>
      </c>
      <c r="W734">
        <f t="shared" si="232"/>
        <v>0</v>
      </c>
      <c r="X734">
        <f t="shared" si="233"/>
        <v>0</v>
      </c>
      <c r="Y734">
        <f t="shared" si="234"/>
        <v>0</v>
      </c>
      <c r="Z734">
        <f t="shared" si="235"/>
        <v>0</v>
      </c>
      <c r="AA734">
        <f>IF($D734="",0,IF($F734&lt;2,0,IF($E734="Win",('Guide &amp; Settings'!$C$42/(($F734-1)*COUNTIFS($A$4:$A$1510,$A734,$E$4:$E$1510,"Win")))*SUMIFS($Z$4:$Z$1510,$A$4:$A$1510,$A734,$E$4:$E$1510,"Loss"),-('Guide &amp; Settings'!$C$42/($F734-1))*$Z734)))</f>
        <v>0</v>
      </c>
      <c r="AB734" s="126">
        <f t="shared" si="236"/>
        <v>0</v>
      </c>
      <c r="AC734" s="126" t="str">
        <f>IF($D734="","",IF($AD734=0,0,IF(COUNTIFS($D$4:$D734,$D734,$B$4:$B734,$B734)&gt;1,0,IF($B734&lt;'Guide &amp; Settings'!$C$50,0,IF(($B734-$AD734)/7-'Guide &amp; Settings'!$C$48&gt;=0,(INT(($B734-$AD734)/7-'Guide &amp; Settings'!$C$48)+1)*'Guide &amp; Settings'!$C$49,0)))))</f>
        <v/>
      </c>
      <c r="AD734" s="142">
        <f t="shared" si="237"/>
        <v>0</v>
      </c>
      <c r="AE734">
        <f t="shared" si="238"/>
        <v>0</v>
      </c>
      <c r="AF734">
        <f t="shared" si="239"/>
        <v>0</v>
      </c>
    </row>
    <row r="735" spans="1:32" x14ac:dyDescent="0.2">
      <c r="A735" s="117"/>
      <c r="B735" s="118"/>
      <c r="C735" s="119"/>
      <c r="D735" s="119"/>
      <c r="E735" s="117"/>
      <c r="F735" s="120">
        <f t="shared" si="220"/>
        <v>0</v>
      </c>
      <c r="G735" s="121" t="str">
        <f t="shared" si="221"/>
        <v/>
      </c>
      <c r="H735" s="122">
        <f>IF($D735="",0,IFERROR(LOOKUP(2,1/(($D$3:D734=$D735)*($A$3:A734&lt;$A735)),$N$3:N734),'Guide &amp; Settings'!$C$41))</f>
        <v>0</v>
      </c>
      <c r="I735" s="123">
        <f t="shared" si="222"/>
        <v>0</v>
      </c>
      <c r="J735" s="124">
        <f>IF($D735="",0,IF($F735&lt;2,0,IF($E735="Win",('Guide &amp; Settings'!$C$42/(($F735-1)*COUNTIFS($A$4:$A$1510,$A735,$E$4:$E$1510,"Win")))*SUMIFS($X$4:$X$1510,$A$4:$A$1510,$A735,$E$4:$E$1510,"Loss"),-('Guide &amp; Settings'!$C$42/($F735-1))*$X735)))</f>
        <v>0</v>
      </c>
      <c r="K735" s="124">
        <f>IF($D735="",0,'Guide &amp; Settings'!$C$43*(IF($E735="Win",1,0)-$I735))</f>
        <v>0</v>
      </c>
      <c r="L735" s="125">
        <f>IF($D735="",0,'Guide &amp; Settings'!$C$44*IF($F735&gt;=3,$F735,0))</f>
        <v>0</v>
      </c>
      <c r="M735" s="124">
        <f t="shared" si="223"/>
        <v>0</v>
      </c>
      <c r="N735" s="122">
        <f t="shared" si="224"/>
        <v>0</v>
      </c>
      <c r="O735" s="121" t="str">
        <f t="shared" si="225"/>
        <v/>
      </c>
      <c r="P735">
        <f t="shared" si="226"/>
        <v>0</v>
      </c>
      <c r="Q735">
        <f t="shared" si="227"/>
        <v>0</v>
      </c>
      <c r="R735">
        <f t="shared" si="228"/>
        <v>0</v>
      </c>
      <c r="S735">
        <f t="shared" si="229"/>
        <v>0</v>
      </c>
      <c r="T735" s="89">
        <f t="shared" si="230"/>
        <v>0</v>
      </c>
      <c r="U735" s="126">
        <f>IF($D735="",0,IFERROR(LOOKUP(2,1/(($D$3:D734=$D735)*($C$3:C734=$C735)*($A$3:A734&lt;$A735)),$AB$3:AB734),1000))</f>
        <v>0</v>
      </c>
      <c r="V735" s="126">
        <f t="shared" si="231"/>
        <v>0</v>
      </c>
      <c r="W735">
        <f t="shared" si="232"/>
        <v>0</v>
      </c>
      <c r="X735">
        <f t="shared" si="233"/>
        <v>0</v>
      </c>
      <c r="Y735">
        <f t="shared" si="234"/>
        <v>0</v>
      </c>
      <c r="Z735">
        <f t="shared" si="235"/>
        <v>0</v>
      </c>
      <c r="AA735">
        <f>IF($D735="",0,IF($F735&lt;2,0,IF($E735="Win",('Guide &amp; Settings'!$C$42/(($F735-1)*COUNTIFS($A$4:$A$1510,$A735,$E$4:$E$1510,"Win")))*SUMIFS($Z$4:$Z$1510,$A$4:$A$1510,$A735,$E$4:$E$1510,"Loss"),-('Guide &amp; Settings'!$C$42/($F735-1))*$Z735)))</f>
        <v>0</v>
      </c>
      <c r="AB735" s="126">
        <f t="shared" si="236"/>
        <v>0</v>
      </c>
      <c r="AC735" s="126" t="str">
        <f>IF($D735="","",IF($AD735=0,0,IF(COUNTIFS($D$4:$D735,$D735,$B$4:$B735,$B735)&gt;1,0,IF($B735&lt;'Guide &amp; Settings'!$C$50,0,IF(($B735-$AD735)/7-'Guide &amp; Settings'!$C$48&gt;=0,(INT(($B735-$AD735)/7-'Guide &amp; Settings'!$C$48)+1)*'Guide &amp; Settings'!$C$49,0)))))</f>
        <v/>
      </c>
      <c r="AD735" s="142">
        <f t="shared" si="237"/>
        <v>0</v>
      </c>
      <c r="AE735">
        <f t="shared" si="238"/>
        <v>0</v>
      </c>
      <c r="AF735">
        <f t="shared" si="239"/>
        <v>0</v>
      </c>
    </row>
    <row r="736" spans="1:32" x14ac:dyDescent="0.2">
      <c r="A736" s="117"/>
      <c r="B736" s="118"/>
      <c r="C736" s="119"/>
      <c r="D736" s="119"/>
      <c r="E736" s="117"/>
      <c r="F736" s="120">
        <f t="shared" si="220"/>
        <v>0</v>
      </c>
      <c r="G736" s="121" t="str">
        <f t="shared" si="221"/>
        <v/>
      </c>
      <c r="H736" s="122">
        <f>IF($D736="",0,IFERROR(LOOKUP(2,1/(($D$3:D735=$D736)*($A$3:A735&lt;$A736)),$N$3:N735),'Guide &amp; Settings'!$C$41))</f>
        <v>0</v>
      </c>
      <c r="I736" s="123">
        <f t="shared" si="222"/>
        <v>0</v>
      </c>
      <c r="J736" s="124">
        <f>IF($D736="",0,IF($F736&lt;2,0,IF($E736="Win",('Guide &amp; Settings'!$C$42/(($F736-1)*COUNTIFS($A$4:$A$1510,$A736,$E$4:$E$1510,"Win")))*SUMIFS($X$4:$X$1510,$A$4:$A$1510,$A736,$E$4:$E$1510,"Loss"),-('Guide &amp; Settings'!$C$42/($F736-1))*$X736)))</f>
        <v>0</v>
      </c>
      <c r="K736" s="124">
        <f>IF($D736="",0,'Guide &amp; Settings'!$C$43*(IF($E736="Win",1,0)-$I736))</f>
        <v>0</v>
      </c>
      <c r="L736" s="125">
        <f>IF($D736="",0,'Guide &amp; Settings'!$C$44*IF($F736&gt;=3,$F736,0))</f>
        <v>0</v>
      </c>
      <c r="M736" s="124">
        <f t="shared" si="223"/>
        <v>0</v>
      </c>
      <c r="N736" s="122">
        <f t="shared" si="224"/>
        <v>0</v>
      </c>
      <c r="O736" s="121" t="str">
        <f t="shared" si="225"/>
        <v/>
      </c>
      <c r="P736">
        <f t="shared" si="226"/>
        <v>0</v>
      </c>
      <c r="Q736">
        <f t="shared" si="227"/>
        <v>0</v>
      </c>
      <c r="R736">
        <f t="shared" si="228"/>
        <v>0</v>
      </c>
      <c r="S736">
        <f t="shared" si="229"/>
        <v>0</v>
      </c>
      <c r="T736" s="89">
        <f t="shared" si="230"/>
        <v>0</v>
      </c>
      <c r="U736" s="126">
        <f>IF($D736="",0,IFERROR(LOOKUP(2,1/(($D$3:D735=$D736)*($C$3:C735=$C736)*($A$3:A735&lt;$A736)),$AB$3:AB735),1000))</f>
        <v>0</v>
      </c>
      <c r="V736" s="126">
        <f t="shared" si="231"/>
        <v>0</v>
      </c>
      <c r="W736">
        <f t="shared" si="232"/>
        <v>0</v>
      </c>
      <c r="X736">
        <f t="shared" si="233"/>
        <v>0</v>
      </c>
      <c r="Y736">
        <f t="shared" si="234"/>
        <v>0</v>
      </c>
      <c r="Z736">
        <f t="shared" si="235"/>
        <v>0</v>
      </c>
      <c r="AA736">
        <f>IF($D736="",0,IF($F736&lt;2,0,IF($E736="Win",('Guide &amp; Settings'!$C$42/(($F736-1)*COUNTIFS($A$4:$A$1510,$A736,$E$4:$E$1510,"Win")))*SUMIFS($Z$4:$Z$1510,$A$4:$A$1510,$A736,$E$4:$E$1510,"Loss"),-('Guide &amp; Settings'!$C$42/($F736-1))*$Z736)))</f>
        <v>0</v>
      </c>
      <c r="AB736" s="126">
        <f t="shared" si="236"/>
        <v>0</v>
      </c>
      <c r="AC736" s="126" t="str">
        <f>IF($D736="","",IF($AD736=0,0,IF(COUNTIFS($D$4:$D736,$D736,$B$4:$B736,$B736)&gt;1,0,IF($B736&lt;'Guide &amp; Settings'!$C$50,0,IF(($B736-$AD736)/7-'Guide &amp; Settings'!$C$48&gt;=0,(INT(($B736-$AD736)/7-'Guide &amp; Settings'!$C$48)+1)*'Guide &amp; Settings'!$C$49,0)))))</f>
        <v/>
      </c>
      <c r="AD736" s="142">
        <f t="shared" si="237"/>
        <v>0</v>
      </c>
      <c r="AE736">
        <f t="shared" si="238"/>
        <v>0</v>
      </c>
      <c r="AF736">
        <f t="shared" si="239"/>
        <v>0</v>
      </c>
    </row>
    <row r="737" spans="1:32" x14ac:dyDescent="0.2">
      <c r="A737" s="117"/>
      <c r="B737" s="118"/>
      <c r="C737" s="119"/>
      <c r="D737" s="119"/>
      <c r="E737" s="117"/>
      <c r="F737" s="120">
        <f t="shared" si="220"/>
        <v>0</v>
      </c>
      <c r="G737" s="121" t="str">
        <f t="shared" si="221"/>
        <v/>
      </c>
      <c r="H737" s="122">
        <f>IF($D737="",0,IFERROR(LOOKUP(2,1/(($D$3:D736=$D737)*($A$3:A736&lt;$A737)),$N$3:N736),'Guide &amp; Settings'!$C$41))</f>
        <v>0</v>
      </c>
      <c r="I737" s="123">
        <f t="shared" si="222"/>
        <v>0</v>
      </c>
      <c r="J737" s="124">
        <f>IF($D737="",0,IF($F737&lt;2,0,IF($E737="Win",('Guide &amp; Settings'!$C$42/(($F737-1)*COUNTIFS($A$4:$A$1510,$A737,$E$4:$E$1510,"Win")))*SUMIFS($X$4:$X$1510,$A$4:$A$1510,$A737,$E$4:$E$1510,"Loss"),-('Guide &amp; Settings'!$C$42/($F737-1))*$X737)))</f>
        <v>0</v>
      </c>
      <c r="K737" s="124">
        <f>IF($D737="",0,'Guide &amp; Settings'!$C$43*(IF($E737="Win",1,0)-$I737))</f>
        <v>0</v>
      </c>
      <c r="L737" s="125">
        <f>IF($D737="",0,'Guide &amp; Settings'!$C$44*IF($F737&gt;=3,$F737,0))</f>
        <v>0</v>
      </c>
      <c r="M737" s="124">
        <f t="shared" si="223"/>
        <v>0</v>
      </c>
      <c r="N737" s="122">
        <f t="shared" si="224"/>
        <v>0</v>
      </c>
      <c r="O737" s="121" t="str">
        <f t="shared" si="225"/>
        <v/>
      </c>
      <c r="P737">
        <f t="shared" si="226"/>
        <v>0</v>
      </c>
      <c r="Q737">
        <f t="shared" si="227"/>
        <v>0</v>
      </c>
      <c r="R737">
        <f t="shared" si="228"/>
        <v>0</v>
      </c>
      <c r="S737">
        <f t="shared" si="229"/>
        <v>0</v>
      </c>
      <c r="T737" s="89">
        <f t="shared" si="230"/>
        <v>0</v>
      </c>
      <c r="U737" s="126">
        <f>IF($D737="",0,IFERROR(LOOKUP(2,1/(($D$3:D736=$D737)*($C$3:C736=$C737)*($A$3:A736&lt;$A737)),$AB$3:AB736),1000))</f>
        <v>0</v>
      </c>
      <c r="V737" s="126">
        <f t="shared" si="231"/>
        <v>0</v>
      </c>
      <c r="W737">
        <f t="shared" si="232"/>
        <v>0</v>
      </c>
      <c r="X737">
        <f t="shared" si="233"/>
        <v>0</v>
      </c>
      <c r="Y737">
        <f t="shared" si="234"/>
        <v>0</v>
      </c>
      <c r="Z737">
        <f t="shared" si="235"/>
        <v>0</v>
      </c>
      <c r="AA737">
        <f>IF($D737="",0,IF($F737&lt;2,0,IF($E737="Win",('Guide &amp; Settings'!$C$42/(($F737-1)*COUNTIFS($A$4:$A$1510,$A737,$E$4:$E$1510,"Win")))*SUMIFS($Z$4:$Z$1510,$A$4:$A$1510,$A737,$E$4:$E$1510,"Loss"),-('Guide &amp; Settings'!$C$42/($F737-1))*$Z737)))</f>
        <v>0</v>
      </c>
      <c r="AB737" s="126">
        <f t="shared" si="236"/>
        <v>0</v>
      </c>
      <c r="AC737" s="126" t="str">
        <f>IF($D737="","",IF($AD737=0,0,IF(COUNTIFS($D$4:$D737,$D737,$B$4:$B737,$B737)&gt;1,0,IF($B737&lt;'Guide &amp; Settings'!$C$50,0,IF(($B737-$AD737)/7-'Guide &amp; Settings'!$C$48&gt;=0,(INT(($B737-$AD737)/7-'Guide &amp; Settings'!$C$48)+1)*'Guide &amp; Settings'!$C$49,0)))))</f>
        <v/>
      </c>
      <c r="AD737" s="142">
        <f t="shared" si="237"/>
        <v>0</v>
      </c>
      <c r="AE737">
        <f t="shared" si="238"/>
        <v>0</v>
      </c>
      <c r="AF737">
        <f t="shared" si="239"/>
        <v>0</v>
      </c>
    </row>
    <row r="738" spans="1:32" x14ac:dyDescent="0.2">
      <c r="A738" s="117"/>
      <c r="B738" s="118"/>
      <c r="C738" s="119"/>
      <c r="D738" s="119"/>
      <c r="E738" s="117"/>
      <c r="F738" s="120">
        <f t="shared" si="220"/>
        <v>0</v>
      </c>
      <c r="G738" s="121" t="str">
        <f t="shared" si="221"/>
        <v/>
      </c>
      <c r="H738" s="122">
        <f>IF($D738="",0,IFERROR(LOOKUP(2,1/(($D$3:D737=$D738)*($A$3:A737&lt;$A738)),$N$3:N737),'Guide &amp; Settings'!$C$41))</f>
        <v>0</v>
      </c>
      <c r="I738" s="123">
        <f t="shared" si="222"/>
        <v>0</v>
      </c>
      <c r="J738" s="124">
        <f>IF($D738="",0,IF($F738&lt;2,0,IF($E738="Win",('Guide &amp; Settings'!$C$42/(($F738-1)*COUNTIFS($A$4:$A$1510,$A738,$E$4:$E$1510,"Win")))*SUMIFS($X$4:$X$1510,$A$4:$A$1510,$A738,$E$4:$E$1510,"Loss"),-('Guide &amp; Settings'!$C$42/($F738-1))*$X738)))</f>
        <v>0</v>
      </c>
      <c r="K738" s="124">
        <f>IF($D738="",0,'Guide &amp; Settings'!$C$43*(IF($E738="Win",1,0)-$I738))</f>
        <v>0</v>
      </c>
      <c r="L738" s="125">
        <f>IF($D738="",0,'Guide &amp; Settings'!$C$44*IF($F738&gt;=3,$F738,0))</f>
        <v>0</v>
      </c>
      <c r="M738" s="124">
        <f t="shared" si="223"/>
        <v>0</v>
      </c>
      <c r="N738" s="122">
        <f t="shared" si="224"/>
        <v>0</v>
      </c>
      <c r="O738" s="121" t="str">
        <f t="shared" si="225"/>
        <v/>
      </c>
      <c r="P738">
        <f t="shared" si="226"/>
        <v>0</v>
      </c>
      <c r="Q738">
        <f t="shared" si="227"/>
        <v>0</v>
      </c>
      <c r="R738">
        <f t="shared" si="228"/>
        <v>0</v>
      </c>
      <c r="S738">
        <f t="shared" si="229"/>
        <v>0</v>
      </c>
      <c r="T738" s="89">
        <f t="shared" si="230"/>
        <v>0</v>
      </c>
      <c r="U738" s="126">
        <f>IF($D738="",0,IFERROR(LOOKUP(2,1/(($D$3:D737=$D738)*($C$3:C737=$C738)*($A$3:A737&lt;$A738)),$AB$3:AB737),1000))</f>
        <v>0</v>
      </c>
      <c r="V738" s="126">
        <f t="shared" si="231"/>
        <v>0</v>
      </c>
      <c r="W738">
        <f t="shared" si="232"/>
        <v>0</v>
      </c>
      <c r="X738">
        <f t="shared" si="233"/>
        <v>0</v>
      </c>
      <c r="Y738">
        <f t="shared" si="234"/>
        <v>0</v>
      </c>
      <c r="Z738">
        <f t="shared" si="235"/>
        <v>0</v>
      </c>
      <c r="AA738">
        <f>IF($D738="",0,IF($F738&lt;2,0,IF($E738="Win",('Guide &amp; Settings'!$C$42/(($F738-1)*COUNTIFS($A$4:$A$1510,$A738,$E$4:$E$1510,"Win")))*SUMIFS($Z$4:$Z$1510,$A$4:$A$1510,$A738,$E$4:$E$1510,"Loss"),-('Guide &amp; Settings'!$C$42/($F738-1))*$Z738)))</f>
        <v>0</v>
      </c>
      <c r="AB738" s="126">
        <f t="shared" si="236"/>
        <v>0</v>
      </c>
      <c r="AC738" s="126" t="str">
        <f>IF($D738="","",IF($AD738=0,0,IF(COUNTIFS($D$4:$D738,$D738,$B$4:$B738,$B738)&gt;1,0,IF($B738&lt;'Guide &amp; Settings'!$C$50,0,IF(($B738-$AD738)/7-'Guide &amp; Settings'!$C$48&gt;=0,(INT(($B738-$AD738)/7-'Guide &amp; Settings'!$C$48)+1)*'Guide &amp; Settings'!$C$49,0)))))</f>
        <v/>
      </c>
      <c r="AD738" s="142">
        <f t="shared" si="237"/>
        <v>0</v>
      </c>
      <c r="AE738">
        <f t="shared" si="238"/>
        <v>0</v>
      </c>
      <c r="AF738">
        <f t="shared" si="239"/>
        <v>0</v>
      </c>
    </row>
    <row r="739" spans="1:32" x14ac:dyDescent="0.2">
      <c r="A739" s="117"/>
      <c r="B739" s="118"/>
      <c r="C739" s="119"/>
      <c r="D739" s="119"/>
      <c r="E739" s="117"/>
      <c r="F739" s="120">
        <f t="shared" si="220"/>
        <v>0</v>
      </c>
      <c r="G739" s="121" t="str">
        <f t="shared" si="221"/>
        <v/>
      </c>
      <c r="H739" s="122">
        <f>IF($D739="",0,IFERROR(LOOKUP(2,1/(($D$3:D738=$D739)*($A$3:A738&lt;$A739)),$N$3:N738),'Guide &amp; Settings'!$C$41))</f>
        <v>0</v>
      </c>
      <c r="I739" s="123">
        <f t="shared" si="222"/>
        <v>0</v>
      </c>
      <c r="J739" s="124">
        <f>IF($D739="",0,IF($F739&lt;2,0,IF($E739="Win",('Guide &amp; Settings'!$C$42/(($F739-1)*COUNTIFS($A$4:$A$1510,$A739,$E$4:$E$1510,"Win")))*SUMIFS($X$4:$X$1510,$A$4:$A$1510,$A739,$E$4:$E$1510,"Loss"),-('Guide &amp; Settings'!$C$42/($F739-1))*$X739)))</f>
        <v>0</v>
      </c>
      <c r="K739" s="124">
        <f>IF($D739="",0,'Guide &amp; Settings'!$C$43*(IF($E739="Win",1,0)-$I739))</f>
        <v>0</v>
      </c>
      <c r="L739" s="125">
        <f>IF($D739="",0,'Guide &amp; Settings'!$C$44*IF($F739&gt;=3,$F739,0))</f>
        <v>0</v>
      </c>
      <c r="M739" s="124">
        <f t="shared" si="223"/>
        <v>0</v>
      </c>
      <c r="N739" s="122">
        <f t="shared" si="224"/>
        <v>0</v>
      </c>
      <c r="O739" s="121" t="str">
        <f t="shared" si="225"/>
        <v/>
      </c>
      <c r="P739">
        <f t="shared" si="226"/>
        <v>0</v>
      </c>
      <c r="Q739">
        <f t="shared" si="227"/>
        <v>0</v>
      </c>
      <c r="R739">
        <f t="shared" si="228"/>
        <v>0</v>
      </c>
      <c r="S739">
        <f t="shared" si="229"/>
        <v>0</v>
      </c>
      <c r="T739" s="89">
        <f t="shared" si="230"/>
        <v>0</v>
      </c>
      <c r="U739" s="126">
        <f>IF($D739="",0,IFERROR(LOOKUP(2,1/(($D$3:D738=$D739)*($C$3:C738=$C739)*($A$3:A738&lt;$A739)),$AB$3:AB738),1000))</f>
        <v>0</v>
      </c>
      <c r="V739" s="126">
        <f t="shared" si="231"/>
        <v>0</v>
      </c>
      <c r="W739">
        <f t="shared" si="232"/>
        <v>0</v>
      </c>
      <c r="X739">
        <f t="shared" si="233"/>
        <v>0</v>
      </c>
      <c r="Y739">
        <f t="shared" si="234"/>
        <v>0</v>
      </c>
      <c r="Z739">
        <f t="shared" si="235"/>
        <v>0</v>
      </c>
      <c r="AA739">
        <f>IF($D739="",0,IF($F739&lt;2,0,IF($E739="Win",('Guide &amp; Settings'!$C$42/(($F739-1)*COUNTIFS($A$4:$A$1510,$A739,$E$4:$E$1510,"Win")))*SUMIFS($Z$4:$Z$1510,$A$4:$A$1510,$A739,$E$4:$E$1510,"Loss"),-('Guide &amp; Settings'!$C$42/($F739-1))*$Z739)))</f>
        <v>0</v>
      </c>
      <c r="AB739" s="126">
        <f t="shared" si="236"/>
        <v>0</v>
      </c>
      <c r="AC739" s="126" t="str">
        <f>IF($D739="","",IF($AD739=0,0,IF(COUNTIFS($D$4:$D739,$D739,$B$4:$B739,$B739)&gt;1,0,IF($B739&lt;'Guide &amp; Settings'!$C$50,0,IF(($B739-$AD739)/7-'Guide &amp; Settings'!$C$48&gt;=0,(INT(($B739-$AD739)/7-'Guide &amp; Settings'!$C$48)+1)*'Guide &amp; Settings'!$C$49,0)))))</f>
        <v/>
      </c>
      <c r="AD739" s="142">
        <f t="shared" si="237"/>
        <v>0</v>
      </c>
      <c r="AE739">
        <f t="shared" si="238"/>
        <v>0</v>
      </c>
      <c r="AF739">
        <f t="shared" si="239"/>
        <v>0</v>
      </c>
    </row>
    <row r="740" spans="1:32" x14ac:dyDescent="0.2">
      <c r="A740" s="117"/>
      <c r="B740" s="118"/>
      <c r="C740" s="119"/>
      <c r="D740" s="119"/>
      <c r="E740" s="117"/>
      <c r="F740" s="120">
        <f t="shared" si="220"/>
        <v>0</v>
      </c>
      <c r="G740" s="121" t="str">
        <f t="shared" si="221"/>
        <v/>
      </c>
      <c r="H740" s="122">
        <f>IF($D740="",0,IFERROR(LOOKUP(2,1/(($D$3:D739=$D740)*($A$3:A739&lt;$A740)),$N$3:N739),'Guide &amp; Settings'!$C$41))</f>
        <v>0</v>
      </c>
      <c r="I740" s="123">
        <f t="shared" si="222"/>
        <v>0</v>
      </c>
      <c r="J740" s="124">
        <f>IF($D740="",0,IF($F740&lt;2,0,IF($E740="Win",('Guide &amp; Settings'!$C$42/(($F740-1)*COUNTIFS($A$4:$A$1510,$A740,$E$4:$E$1510,"Win")))*SUMIFS($X$4:$X$1510,$A$4:$A$1510,$A740,$E$4:$E$1510,"Loss"),-('Guide &amp; Settings'!$C$42/($F740-1))*$X740)))</f>
        <v>0</v>
      </c>
      <c r="K740" s="124">
        <f>IF($D740="",0,'Guide &amp; Settings'!$C$43*(IF($E740="Win",1,0)-$I740))</f>
        <v>0</v>
      </c>
      <c r="L740" s="125">
        <f>IF($D740="",0,'Guide &amp; Settings'!$C$44*IF($F740&gt;=3,$F740,0))</f>
        <v>0</v>
      </c>
      <c r="M740" s="124">
        <f t="shared" si="223"/>
        <v>0</v>
      </c>
      <c r="N740" s="122">
        <f t="shared" si="224"/>
        <v>0</v>
      </c>
      <c r="O740" s="121" t="str">
        <f t="shared" si="225"/>
        <v/>
      </c>
      <c r="P740">
        <f t="shared" si="226"/>
        <v>0</v>
      </c>
      <c r="Q740">
        <f t="shared" si="227"/>
        <v>0</v>
      </c>
      <c r="R740">
        <f t="shared" si="228"/>
        <v>0</v>
      </c>
      <c r="S740">
        <f t="shared" si="229"/>
        <v>0</v>
      </c>
      <c r="T740" s="89">
        <f t="shared" si="230"/>
        <v>0</v>
      </c>
      <c r="U740" s="126">
        <f>IF($D740="",0,IFERROR(LOOKUP(2,1/(($D$3:D739=$D740)*($C$3:C739=$C740)*($A$3:A739&lt;$A740)),$AB$3:AB739),1000))</f>
        <v>0</v>
      </c>
      <c r="V740" s="126">
        <f t="shared" si="231"/>
        <v>0</v>
      </c>
      <c r="W740">
        <f t="shared" si="232"/>
        <v>0</v>
      </c>
      <c r="X740">
        <f t="shared" si="233"/>
        <v>0</v>
      </c>
      <c r="Y740">
        <f t="shared" si="234"/>
        <v>0</v>
      </c>
      <c r="Z740">
        <f t="shared" si="235"/>
        <v>0</v>
      </c>
      <c r="AA740">
        <f>IF($D740="",0,IF($F740&lt;2,0,IF($E740="Win",('Guide &amp; Settings'!$C$42/(($F740-1)*COUNTIFS($A$4:$A$1510,$A740,$E$4:$E$1510,"Win")))*SUMIFS($Z$4:$Z$1510,$A$4:$A$1510,$A740,$E$4:$E$1510,"Loss"),-('Guide &amp; Settings'!$C$42/($F740-1))*$Z740)))</f>
        <v>0</v>
      </c>
      <c r="AB740" s="126">
        <f t="shared" si="236"/>
        <v>0</v>
      </c>
      <c r="AC740" s="126" t="str">
        <f>IF($D740="","",IF($AD740=0,0,IF(COUNTIFS($D$4:$D740,$D740,$B$4:$B740,$B740)&gt;1,0,IF($B740&lt;'Guide &amp; Settings'!$C$50,0,IF(($B740-$AD740)/7-'Guide &amp; Settings'!$C$48&gt;=0,(INT(($B740-$AD740)/7-'Guide &amp; Settings'!$C$48)+1)*'Guide &amp; Settings'!$C$49,0)))))</f>
        <v/>
      </c>
      <c r="AD740" s="142">
        <f t="shared" si="237"/>
        <v>0</v>
      </c>
      <c r="AE740">
        <f t="shared" si="238"/>
        <v>0</v>
      </c>
      <c r="AF740">
        <f t="shared" si="239"/>
        <v>0</v>
      </c>
    </row>
    <row r="741" spans="1:32" x14ac:dyDescent="0.2">
      <c r="A741" s="117"/>
      <c r="B741" s="118"/>
      <c r="C741" s="119"/>
      <c r="D741" s="119"/>
      <c r="E741" s="117"/>
      <c r="F741" s="120">
        <f t="shared" si="220"/>
        <v>0</v>
      </c>
      <c r="G741" s="121" t="str">
        <f t="shared" si="221"/>
        <v/>
      </c>
      <c r="H741" s="122">
        <f>IF($D741="",0,IFERROR(LOOKUP(2,1/(($D$3:D740=$D741)*($A$3:A740&lt;$A741)),$N$3:N740),'Guide &amp; Settings'!$C$41))</f>
        <v>0</v>
      </c>
      <c r="I741" s="123">
        <f t="shared" si="222"/>
        <v>0</v>
      </c>
      <c r="J741" s="124">
        <f>IF($D741="",0,IF($F741&lt;2,0,IF($E741="Win",('Guide &amp; Settings'!$C$42/(($F741-1)*COUNTIFS($A$4:$A$1510,$A741,$E$4:$E$1510,"Win")))*SUMIFS($X$4:$X$1510,$A$4:$A$1510,$A741,$E$4:$E$1510,"Loss"),-('Guide &amp; Settings'!$C$42/($F741-1))*$X741)))</f>
        <v>0</v>
      </c>
      <c r="K741" s="124">
        <f>IF($D741="",0,'Guide &amp; Settings'!$C$43*(IF($E741="Win",1,0)-$I741))</f>
        <v>0</v>
      </c>
      <c r="L741" s="125">
        <f>IF($D741="",0,'Guide &amp; Settings'!$C$44*IF($F741&gt;=3,$F741,0))</f>
        <v>0</v>
      </c>
      <c r="M741" s="124">
        <f t="shared" si="223"/>
        <v>0</v>
      </c>
      <c r="N741" s="122">
        <f t="shared" si="224"/>
        <v>0</v>
      </c>
      <c r="O741" s="121" t="str">
        <f t="shared" si="225"/>
        <v/>
      </c>
      <c r="P741">
        <f t="shared" si="226"/>
        <v>0</v>
      </c>
      <c r="Q741">
        <f t="shared" si="227"/>
        <v>0</v>
      </c>
      <c r="R741">
        <f t="shared" si="228"/>
        <v>0</v>
      </c>
      <c r="S741">
        <f t="shared" si="229"/>
        <v>0</v>
      </c>
      <c r="T741" s="89">
        <f t="shared" si="230"/>
        <v>0</v>
      </c>
      <c r="U741" s="126">
        <f>IF($D741="",0,IFERROR(LOOKUP(2,1/(($D$3:D740=$D741)*($C$3:C740=$C741)*($A$3:A740&lt;$A741)),$AB$3:AB740),1000))</f>
        <v>0</v>
      </c>
      <c r="V741" s="126">
        <f t="shared" si="231"/>
        <v>0</v>
      </c>
      <c r="W741">
        <f t="shared" si="232"/>
        <v>0</v>
      </c>
      <c r="X741">
        <f t="shared" si="233"/>
        <v>0</v>
      </c>
      <c r="Y741">
        <f t="shared" si="234"/>
        <v>0</v>
      </c>
      <c r="Z741">
        <f t="shared" si="235"/>
        <v>0</v>
      </c>
      <c r="AA741">
        <f>IF($D741="",0,IF($F741&lt;2,0,IF($E741="Win",('Guide &amp; Settings'!$C$42/(($F741-1)*COUNTIFS($A$4:$A$1510,$A741,$E$4:$E$1510,"Win")))*SUMIFS($Z$4:$Z$1510,$A$4:$A$1510,$A741,$E$4:$E$1510,"Loss"),-('Guide &amp; Settings'!$C$42/($F741-1))*$Z741)))</f>
        <v>0</v>
      </c>
      <c r="AB741" s="126">
        <f t="shared" si="236"/>
        <v>0</v>
      </c>
      <c r="AC741" s="126" t="str">
        <f>IF($D741="","",IF($AD741=0,0,IF(COUNTIFS($D$4:$D741,$D741,$B$4:$B741,$B741)&gt;1,0,IF($B741&lt;'Guide &amp; Settings'!$C$50,0,IF(($B741-$AD741)/7-'Guide &amp; Settings'!$C$48&gt;=0,(INT(($B741-$AD741)/7-'Guide &amp; Settings'!$C$48)+1)*'Guide &amp; Settings'!$C$49,0)))))</f>
        <v/>
      </c>
      <c r="AD741" s="142">
        <f t="shared" si="237"/>
        <v>0</v>
      </c>
      <c r="AE741">
        <f t="shared" si="238"/>
        <v>0</v>
      </c>
      <c r="AF741">
        <f t="shared" si="239"/>
        <v>0</v>
      </c>
    </row>
    <row r="742" spans="1:32" x14ac:dyDescent="0.2">
      <c r="A742" s="117"/>
      <c r="B742" s="118"/>
      <c r="C742" s="119"/>
      <c r="D742" s="119"/>
      <c r="E742" s="117"/>
      <c r="F742" s="120">
        <f t="shared" si="220"/>
        <v>0</v>
      </c>
      <c r="G742" s="121" t="str">
        <f t="shared" si="221"/>
        <v/>
      </c>
      <c r="H742" s="122">
        <f>IF($D742="",0,IFERROR(LOOKUP(2,1/(($D$3:D741=$D742)*($A$3:A741&lt;$A742)),$N$3:N741),'Guide &amp; Settings'!$C$41))</f>
        <v>0</v>
      </c>
      <c r="I742" s="123">
        <f t="shared" si="222"/>
        <v>0</v>
      </c>
      <c r="J742" s="124">
        <f>IF($D742="",0,IF($F742&lt;2,0,IF($E742="Win",('Guide &amp; Settings'!$C$42/(($F742-1)*COUNTIFS($A$4:$A$1510,$A742,$E$4:$E$1510,"Win")))*SUMIFS($X$4:$X$1510,$A$4:$A$1510,$A742,$E$4:$E$1510,"Loss"),-('Guide &amp; Settings'!$C$42/($F742-1))*$X742)))</f>
        <v>0</v>
      </c>
      <c r="K742" s="124">
        <f>IF($D742="",0,'Guide &amp; Settings'!$C$43*(IF($E742="Win",1,0)-$I742))</f>
        <v>0</v>
      </c>
      <c r="L742" s="125">
        <f>IF($D742="",0,'Guide &amp; Settings'!$C$44*IF($F742&gt;=3,$F742,0))</f>
        <v>0</v>
      </c>
      <c r="M742" s="124">
        <f t="shared" si="223"/>
        <v>0</v>
      </c>
      <c r="N742" s="122">
        <f t="shared" si="224"/>
        <v>0</v>
      </c>
      <c r="O742" s="121" t="str">
        <f t="shared" si="225"/>
        <v/>
      </c>
      <c r="P742">
        <f t="shared" si="226"/>
        <v>0</v>
      </c>
      <c r="Q742">
        <f t="shared" si="227"/>
        <v>0</v>
      </c>
      <c r="R742">
        <f t="shared" si="228"/>
        <v>0</v>
      </c>
      <c r="S742">
        <f t="shared" si="229"/>
        <v>0</v>
      </c>
      <c r="T742" s="89">
        <f t="shared" si="230"/>
        <v>0</v>
      </c>
      <c r="U742" s="126">
        <f>IF($D742="",0,IFERROR(LOOKUP(2,1/(($D$3:D741=$D742)*($C$3:C741=$C742)*($A$3:A741&lt;$A742)),$AB$3:AB741),1000))</f>
        <v>0</v>
      </c>
      <c r="V742" s="126">
        <f t="shared" si="231"/>
        <v>0</v>
      </c>
      <c r="W742">
        <f t="shared" si="232"/>
        <v>0</v>
      </c>
      <c r="X742">
        <f t="shared" si="233"/>
        <v>0</v>
      </c>
      <c r="Y742">
        <f t="shared" si="234"/>
        <v>0</v>
      </c>
      <c r="Z742">
        <f t="shared" si="235"/>
        <v>0</v>
      </c>
      <c r="AA742">
        <f>IF($D742="",0,IF($F742&lt;2,0,IF($E742="Win",('Guide &amp; Settings'!$C$42/(($F742-1)*COUNTIFS($A$4:$A$1510,$A742,$E$4:$E$1510,"Win")))*SUMIFS($Z$4:$Z$1510,$A$4:$A$1510,$A742,$E$4:$E$1510,"Loss"),-('Guide &amp; Settings'!$C$42/($F742-1))*$Z742)))</f>
        <v>0</v>
      </c>
      <c r="AB742" s="126">
        <f t="shared" si="236"/>
        <v>0</v>
      </c>
      <c r="AC742" s="126" t="str">
        <f>IF($D742="","",IF($AD742=0,0,IF(COUNTIFS($D$4:$D742,$D742,$B$4:$B742,$B742)&gt;1,0,IF($B742&lt;'Guide &amp; Settings'!$C$50,0,IF(($B742-$AD742)/7-'Guide &amp; Settings'!$C$48&gt;=0,(INT(($B742-$AD742)/7-'Guide &amp; Settings'!$C$48)+1)*'Guide &amp; Settings'!$C$49,0)))))</f>
        <v/>
      </c>
      <c r="AD742" s="142">
        <f t="shared" si="237"/>
        <v>0</v>
      </c>
      <c r="AE742">
        <f t="shared" si="238"/>
        <v>0</v>
      </c>
      <c r="AF742">
        <f t="shared" si="239"/>
        <v>0</v>
      </c>
    </row>
    <row r="743" spans="1:32" x14ac:dyDescent="0.2">
      <c r="A743" s="117"/>
      <c r="B743" s="118"/>
      <c r="C743" s="119"/>
      <c r="D743" s="119"/>
      <c r="E743" s="117"/>
      <c r="F743" s="120">
        <f t="shared" si="220"/>
        <v>0</v>
      </c>
      <c r="G743" s="121" t="str">
        <f t="shared" si="221"/>
        <v/>
      </c>
      <c r="H743" s="122">
        <f>IF($D743="",0,IFERROR(LOOKUP(2,1/(($D$3:D742=$D743)*($A$3:A742&lt;$A743)),$N$3:N742),'Guide &amp; Settings'!$C$41))</f>
        <v>0</v>
      </c>
      <c r="I743" s="123">
        <f t="shared" si="222"/>
        <v>0</v>
      </c>
      <c r="J743" s="124">
        <f>IF($D743="",0,IF($F743&lt;2,0,IF($E743="Win",('Guide &amp; Settings'!$C$42/(($F743-1)*COUNTIFS($A$4:$A$1510,$A743,$E$4:$E$1510,"Win")))*SUMIFS($X$4:$X$1510,$A$4:$A$1510,$A743,$E$4:$E$1510,"Loss"),-('Guide &amp; Settings'!$C$42/($F743-1))*$X743)))</f>
        <v>0</v>
      </c>
      <c r="K743" s="124">
        <f>IF($D743="",0,'Guide &amp; Settings'!$C$43*(IF($E743="Win",1,0)-$I743))</f>
        <v>0</v>
      </c>
      <c r="L743" s="125">
        <f>IF($D743="",0,'Guide &amp; Settings'!$C$44*IF($F743&gt;=3,$F743,0))</f>
        <v>0</v>
      </c>
      <c r="M743" s="124">
        <f t="shared" si="223"/>
        <v>0</v>
      </c>
      <c r="N743" s="122">
        <f t="shared" si="224"/>
        <v>0</v>
      </c>
      <c r="O743" s="121" t="str">
        <f t="shared" si="225"/>
        <v/>
      </c>
      <c r="P743">
        <f t="shared" si="226"/>
        <v>0</v>
      </c>
      <c r="Q743">
        <f t="shared" si="227"/>
        <v>0</v>
      </c>
      <c r="R743">
        <f t="shared" si="228"/>
        <v>0</v>
      </c>
      <c r="S743">
        <f t="shared" si="229"/>
        <v>0</v>
      </c>
      <c r="T743" s="89">
        <f t="shared" si="230"/>
        <v>0</v>
      </c>
      <c r="U743" s="126">
        <f>IF($D743="",0,IFERROR(LOOKUP(2,1/(($D$3:D742=$D743)*($C$3:C742=$C743)*($A$3:A742&lt;$A743)),$AB$3:AB742),1000))</f>
        <v>0</v>
      </c>
      <c r="V743" s="126">
        <f t="shared" si="231"/>
        <v>0</v>
      </c>
      <c r="W743">
        <f t="shared" si="232"/>
        <v>0</v>
      </c>
      <c r="X743">
        <f t="shared" si="233"/>
        <v>0</v>
      </c>
      <c r="Y743">
        <f t="shared" si="234"/>
        <v>0</v>
      </c>
      <c r="Z743">
        <f t="shared" si="235"/>
        <v>0</v>
      </c>
      <c r="AA743">
        <f>IF($D743="",0,IF($F743&lt;2,0,IF($E743="Win",('Guide &amp; Settings'!$C$42/(($F743-1)*COUNTIFS($A$4:$A$1510,$A743,$E$4:$E$1510,"Win")))*SUMIFS($Z$4:$Z$1510,$A$4:$A$1510,$A743,$E$4:$E$1510,"Loss"),-('Guide &amp; Settings'!$C$42/($F743-1))*$Z743)))</f>
        <v>0</v>
      </c>
      <c r="AB743" s="126">
        <f t="shared" si="236"/>
        <v>0</v>
      </c>
      <c r="AC743" s="126" t="str">
        <f>IF($D743="","",IF($AD743=0,0,IF(COUNTIFS($D$4:$D743,$D743,$B$4:$B743,$B743)&gt;1,0,IF($B743&lt;'Guide &amp; Settings'!$C$50,0,IF(($B743-$AD743)/7-'Guide &amp; Settings'!$C$48&gt;=0,(INT(($B743-$AD743)/7-'Guide &amp; Settings'!$C$48)+1)*'Guide &amp; Settings'!$C$49,0)))))</f>
        <v/>
      </c>
      <c r="AD743" s="142">
        <f t="shared" si="237"/>
        <v>0</v>
      </c>
      <c r="AE743">
        <f t="shared" si="238"/>
        <v>0</v>
      </c>
      <c r="AF743">
        <f t="shared" si="239"/>
        <v>0</v>
      </c>
    </row>
    <row r="744" spans="1:32" x14ac:dyDescent="0.2">
      <c r="A744" s="117"/>
      <c r="B744" s="118"/>
      <c r="C744" s="119"/>
      <c r="D744" s="119"/>
      <c r="E744" s="117"/>
      <c r="F744" s="120">
        <f t="shared" si="220"/>
        <v>0</v>
      </c>
      <c r="G744" s="121" t="str">
        <f t="shared" si="221"/>
        <v/>
      </c>
      <c r="H744" s="122">
        <f>IF($D744="",0,IFERROR(LOOKUP(2,1/(($D$3:D743=$D744)*($A$3:A743&lt;$A744)),$N$3:N743),'Guide &amp; Settings'!$C$41))</f>
        <v>0</v>
      </c>
      <c r="I744" s="123">
        <f t="shared" si="222"/>
        <v>0</v>
      </c>
      <c r="J744" s="124">
        <f>IF($D744="",0,IF($F744&lt;2,0,IF($E744="Win",('Guide &amp; Settings'!$C$42/(($F744-1)*COUNTIFS($A$4:$A$1510,$A744,$E$4:$E$1510,"Win")))*SUMIFS($X$4:$X$1510,$A$4:$A$1510,$A744,$E$4:$E$1510,"Loss"),-('Guide &amp; Settings'!$C$42/($F744-1))*$X744)))</f>
        <v>0</v>
      </c>
      <c r="K744" s="124">
        <f>IF($D744="",0,'Guide &amp; Settings'!$C$43*(IF($E744="Win",1,0)-$I744))</f>
        <v>0</v>
      </c>
      <c r="L744" s="125">
        <f>IF($D744="",0,'Guide &amp; Settings'!$C$44*IF($F744&gt;=3,$F744,0))</f>
        <v>0</v>
      </c>
      <c r="M744" s="124">
        <f t="shared" si="223"/>
        <v>0</v>
      </c>
      <c r="N744" s="122">
        <f t="shared" si="224"/>
        <v>0</v>
      </c>
      <c r="O744" s="121" t="str">
        <f t="shared" si="225"/>
        <v/>
      </c>
      <c r="P744">
        <f t="shared" si="226"/>
        <v>0</v>
      </c>
      <c r="Q744">
        <f t="shared" si="227"/>
        <v>0</v>
      </c>
      <c r="R744">
        <f t="shared" si="228"/>
        <v>0</v>
      </c>
      <c r="S744">
        <f t="shared" si="229"/>
        <v>0</v>
      </c>
      <c r="T744" s="89">
        <f t="shared" si="230"/>
        <v>0</v>
      </c>
      <c r="U744" s="126">
        <f>IF($D744="",0,IFERROR(LOOKUP(2,1/(($D$3:D743=$D744)*($C$3:C743=$C744)*($A$3:A743&lt;$A744)),$AB$3:AB743),1000))</f>
        <v>0</v>
      </c>
      <c r="V744" s="126">
        <f t="shared" si="231"/>
        <v>0</v>
      </c>
      <c r="W744">
        <f t="shared" si="232"/>
        <v>0</v>
      </c>
      <c r="X744">
        <f t="shared" si="233"/>
        <v>0</v>
      </c>
      <c r="Y744">
        <f t="shared" si="234"/>
        <v>0</v>
      </c>
      <c r="Z744">
        <f t="shared" si="235"/>
        <v>0</v>
      </c>
      <c r="AA744">
        <f>IF($D744="",0,IF($F744&lt;2,0,IF($E744="Win",('Guide &amp; Settings'!$C$42/(($F744-1)*COUNTIFS($A$4:$A$1510,$A744,$E$4:$E$1510,"Win")))*SUMIFS($Z$4:$Z$1510,$A$4:$A$1510,$A744,$E$4:$E$1510,"Loss"),-('Guide &amp; Settings'!$C$42/($F744-1))*$Z744)))</f>
        <v>0</v>
      </c>
      <c r="AB744" s="126">
        <f t="shared" si="236"/>
        <v>0</v>
      </c>
      <c r="AC744" s="126" t="str">
        <f>IF($D744="","",IF($AD744=0,0,IF(COUNTIFS($D$4:$D744,$D744,$B$4:$B744,$B744)&gt;1,0,IF($B744&lt;'Guide &amp; Settings'!$C$50,0,IF(($B744-$AD744)/7-'Guide &amp; Settings'!$C$48&gt;=0,(INT(($B744-$AD744)/7-'Guide &amp; Settings'!$C$48)+1)*'Guide &amp; Settings'!$C$49,0)))))</f>
        <v/>
      </c>
      <c r="AD744" s="142">
        <f t="shared" si="237"/>
        <v>0</v>
      </c>
      <c r="AE744">
        <f t="shared" si="238"/>
        <v>0</v>
      </c>
      <c r="AF744">
        <f t="shared" si="239"/>
        <v>0</v>
      </c>
    </row>
    <row r="745" spans="1:32" x14ac:dyDescent="0.2">
      <c r="A745" s="117"/>
      <c r="B745" s="118"/>
      <c r="C745" s="119"/>
      <c r="D745" s="119"/>
      <c r="E745" s="117"/>
      <c r="F745" s="120">
        <f t="shared" si="220"/>
        <v>0</v>
      </c>
      <c r="G745" s="121" t="str">
        <f t="shared" si="221"/>
        <v/>
      </c>
      <c r="H745" s="122">
        <f>IF($D745="",0,IFERROR(LOOKUP(2,1/(($D$3:D744=$D745)*($A$3:A744&lt;$A745)),$N$3:N744),'Guide &amp; Settings'!$C$41))</f>
        <v>0</v>
      </c>
      <c r="I745" s="123">
        <f t="shared" si="222"/>
        <v>0</v>
      </c>
      <c r="J745" s="124">
        <f>IF($D745="",0,IF($F745&lt;2,0,IF($E745="Win",('Guide &amp; Settings'!$C$42/(($F745-1)*COUNTIFS($A$4:$A$1510,$A745,$E$4:$E$1510,"Win")))*SUMIFS($X$4:$X$1510,$A$4:$A$1510,$A745,$E$4:$E$1510,"Loss"),-('Guide &amp; Settings'!$C$42/($F745-1))*$X745)))</f>
        <v>0</v>
      </c>
      <c r="K745" s="124">
        <f>IF($D745="",0,'Guide &amp; Settings'!$C$43*(IF($E745="Win",1,0)-$I745))</f>
        <v>0</v>
      </c>
      <c r="L745" s="125">
        <f>IF($D745="",0,'Guide &amp; Settings'!$C$44*IF($F745&gt;=3,$F745,0))</f>
        <v>0</v>
      </c>
      <c r="M745" s="124">
        <f t="shared" si="223"/>
        <v>0</v>
      </c>
      <c r="N745" s="122">
        <f t="shared" si="224"/>
        <v>0</v>
      </c>
      <c r="O745" s="121" t="str">
        <f t="shared" si="225"/>
        <v/>
      </c>
      <c r="P745">
        <f t="shared" si="226"/>
        <v>0</v>
      </c>
      <c r="Q745">
        <f t="shared" si="227"/>
        <v>0</v>
      </c>
      <c r="R745">
        <f t="shared" si="228"/>
        <v>0</v>
      </c>
      <c r="S745">
        <f t="shared" si="229"/>
        <v>0</v>
      </c>
      <c r="T745" s="89">
        <f t="shared" si="230"/>
        <v>0</v>
      </c>
      <c r="U745" s="126">
        <f>IF($D745="",0,IFERROR(LOOKUP(2,1/(($D$3:D744=$D745)*($C$3:C744=$C745)*($A$3:A744&lt;$A745)),$AB$3:AB744),1000))</f>
        <v>0</v>
      </c>
      <c r="V745" s="126">
        <f t="shared" si="231"/>
        <v>0</v>
      </c>
      <c r="W745">
        <f t="shared" si="232"/>
        <v>0</v>
      </c>
      <c r="X745">
        <f t="shared" si="233"/>
        <v>0</v>
      </c>
      <c r="Y745">
        <f t="shared" si="234"/>
        <v>0</v>
      </c>
      <c r="Z745">
        <f t="shared" si="235"/>
        <v>0</v>
      </c>
      <c r="AA745">
        <f>IF($D745="",0,IF($F745&lt;2,0,IF($E745="Win",('Guide &amp; Settings'!$C$42/(($F745-1)*COUNTIFS($A$4:$A$1510,$A745,$E$4:$E$1510,"Win")))*SUMIFS($Z$4:$Z$1510,$A$4:$A$1510,$A745,$E$4:$E$1510,"Loss"),-('Guide &amp; Settings'!$C$42/($F745-1))*$Z745)))</f>
        <v>0</v>
      </c>
      <c r="AB745" s="126">
        <f t="shared" si="236"/>
        <v>0</v>
      </c>
      <c r="AC745" s="126" t="str">
        <f>IF($D745="","",IF($AD745=0,0,IF(COUNTIFS($D$4:$D745,$D745,$B$4:$B745,$B745)&gt;1,0,IF($B745&lt;'Guide &amp; Settings'!$C$50,0,IF(($B745-$AD745)/7-'Guide &amp; Settings'!$C$48&gt;=0,(INT(($B745-$AD745)/7-'Guide &amp; Settings'!$C$48)+1)*'Guide &amp; Settings'!$C$49,0)))))</f>
        <v/>
      </c>
      <c r="AD745" s="142">
        <f t="shared" si="237"/>
        <v>0</v>
      </c>
      <c r="AE745">
        <f t="shared" si="238"/>
        <v>0</v>
      </c>
      <c r="AF745">
        <f t="shared" si="239"/>
        <v>0</v>
      </c>
    </row>
    <row r="746" spans="1:32" x14ac:dyDescent="0.2">
      <c r="A746" s="117"/>
      <c r="B746" s="118"/>
      <c r="C746" s="119"/>
      <c r="D746" s="119"/>
      <c r="E746" s="117"/>
      <c r="F746" s="120">
        <f t="shared" si="220"/>
        <v>0</v>
      </c>
      <c r="G746" s="121" t="str">
        <f t="shared" si="221"/>
        <v/>
      </c>
      <c r="H746" s="122">
        <f>IF($D746="",0,IFERROR(LOOKUP(2,1/(($D$3:D745=$D746)*($A$3:A745&lt;$A746)),$N$3:N745),'Guide &amp; Settings'!$C$41))</f>
        <v>0</v>
      </c>
      <c r="I746" s="123">
        <f t="shared" si="222"/>
        <v>0</v>
      </c>
      <c r="J746" s="124">
        <f>IF($D746="",0,IF($F746&lt;2,0,IF($E746="Win",('Guide &amp; Settings'!$C$42/(($F746-1)*COUNTIFS($A$4:$A$1510,$A746,$E$4:$E$1510,"Win")))*SUMIFS($X$4:$X$1510,$A$4:$A$1510,$A746,$E$4:$E$1510,"Loss"),-('Guide &amp; Settings'!$C$42/($F746-1))*$X746)))</f>
        <v>0</v>
      </c>
      <c r="K746" s="124">
        <f>IF($D746="",0,'Guide &amp; Settings'!$C$43*(IF($E746="Win",1,0)-$I746))</f>
        <v>0</v>
      </c>
      <c r="L746" s="125">
        <f>IF($D746="",0,'Guide &amp; Settings'!$C$44*IF($F746&gt;=3,$F746,0))</f>
        <v>0</v>
      </c>
      <c r="M746" s="124">
        <f t="shared" si="223"/>
        <v>0</v>
      </c>
      <c r="N746" s="122">
        <f t="shared" si="224"/>
        <v>0</v>
      </c>
      <c r="O746" s="121" t="str">
        <f t="shared" si="225"/>
        <v/>
      </c>
      <c r="P746">
        <f t="shared" si="226"/>
        <v>0</v>
      </c>
      <c r="Q746">
        <f t="shared" si="227"/>
        <v>0</v>
      </c>
      <c r="R746">
        <f t="shared" si="228"/>
        <v>0</v>
      </c>
      <c r="S746">
        <f t="shared" si="229"/>
        <v>0</v>
      </c>
      <c r="T746" s="89">
        <f t="shared" si="230"/>
        <v>0</v>
      </c>
      <c r="U746" s="126">
        <f>IF($D746="",0,IFERROR(LOOKUP(2,1/(($D$3:D745=$D746)*($C$3:C745=$C746)*($A$3:A745&lt;$A746)),$AB$3:AB745),1000))</f>
        <v>0</v>
      </c>
      <c r="V746" s="126">
        <f t="shared" si="231"/>
        <v>0</v>
      </c>
      <c r="W746">
        <f t="shared" si="232"/>
        <v>0</v>
      </c>
      <c r="X746">
        <f t="shared" si="233"/>
        <v>0</v>
      </c>
      <c r="Y746">
        <f t="shared" si="234"/>
        <v>0</v>
      </c>
      <c r="Z746">
        <f t="shared" si="235"/>
        <v>0</v>
      </c>
      <c r="AA746">
        <f>IF($D746="",0,IF($F746&lt;2,0,IF($E746="Win",('Guide &amp; Settings'!$C$42/(($F746-1)*COUNTIFS($A$4:$A$1510,$A746,$E$4:$E$1510,"Win")))*SUMIFS($Z$4:$Z$1510,$A$4:$A$1510,$A746,$E$4:$E$1510,"Loss"),-('Guide &amp; Settings'!$C$42/($F746-1))*$Z746)))</f>
        <v>0</v>
      </c>
      <c r="AB746" s="126">
        <f t="shared" si="236"/>
        <v>0</v>
      </c>
      <c r="AC746" s="126" t="str">
        <f>IF($D746="","",IF($AD746=0,0,IF(COUNTIFS($D$4:$D746,$D746,$B$4:$B746,$B746)&gt;1,0,IF($B746&lt;'Guide &amp; Settings'!$C$50,0,IF(($B746-$AD746)/7-'Guide &amp; Settings'!$C$48&gt;=0,(INT(($B746-$AD746)/7-'Guide &amp; Settings'!$C$48)+1)*'Guide &amp; Settings'!$C$49,0)))))</f>
        <v/>
      </c>
      <c r="AD746" s="142">
        <f t="shared" si="237"/>
        <v>0</v>
      </c>
      <c r="AE746">
        <f t="shared" si="238"/>
        <v>0</v>
      </c>
      <c r="AF746">
        <f t="shared" si="239"/>
        <v>0</v>
      </c>
    </row>
    <row r="747" spans="1:32" x14ac:dyDescent="0.2">
      <c r="A747" s="117"/>
      <c r="B747" s="118"/>
      <c r="C747" s="119"/>
      <c r="D747" s="119"/>
      <c r="E747" s="117"/>
      <c r="F747" s="120">
        <f t="shared" si="220"/>
        <v>0</v>
      </c>
      <c r="G747" s="121" t="str">
        <f t="shared" si="221"/>
        <v/>
      </c>
      <c r="H747" s="122">
        <f>IF($D747="",0,IFERROR(LOOKUP(2,1/(($D$3:D746=$D747)*($A$3:A746&lt;$A747)),$N$3:N746),'Guide &amp; Settings'!$C$41))</f>
        <v>0</v>
      </c>
      <c r="I747" s="123">
        <f t="shared" si="222"/>
        <v>0</v>
      </c>
      <c r="J747" s="124">
        <f>IF($D747="",0,IF($F747&lt;2,0,IF($E747="Win",('Guide &amp; Settings'!$C$42/(($F747-1)*COUNTIFS($A$4:$A$1510,$A747,$E$4:$E$1510,"Win")))*SUMIFS($X$4:$X$1510,$A$4:$A$1510,$A747,$E$4:$E$1510,"Loss"),-('Guide &amp; Settings'!$C$42/($F747-1))*$X747)))</f>
        <v>0</v>
      </c>
      <c r="K747" s="124">
        <f>IF($D747="",0,'Guide &amp; Settings'!$C$43*(IF($E747="Win",1,0)-$I747))</f>
        <v>0</v>
      </c>
      <c r="L747" s="125">
        <f>IF($D747="",0,'Guide &amp; Settings'!$C$44*IF($F747&gt;=3,$F747,0))</f>
        <v>0</v>
      </c>
      <c r="M747" s="124">
        <f t="shared" si="223"/>
        <v>0</v>
      </c>
      <c r="N747" s="122">
        <f t="shared" si="224"/>
        <v>0</v>
      </c>
      <c r="O747" s="121" t="str">
        <f t="shared" si="225"/>
        <v/>
      </c>
      <c r="P747">
        <f t="shared" si="226"/>
        <v>0</v>
      </c>
      <c r="Q747">
        <f t="shared" si="227"/>
        <v>0</v>
      </c>
      <c r="R747">
        <f t="shared" si="228"/>
        <v>0</v>
      </c>
      <c r="S747">
        <f t="shared" si="229"/>
        <v>0</v>
      </c>
      <c r="T747" s="89">
        <f t="shared" si="230"/>
        <v>0</v>
      </c>
      <c r="U747" s="126">
        <f>IF($D747="",0,IFERROR(LOOKUP(2,1/(($D$3:D746=$D747)*($C$3:C746=$C747)*($A$3:A746&lt;$A747)),$AB$3:AB746),1000))</f>
        <v>0</v>
      </c>
      <c r="V747" s="126">
        <f t="shared" si="231"/>
        <v>0</v>
      </c>
      <c r="W747">
        <f t="shared" si="232"/>
        <v>0</v>
      </c>
      <c r="X747">
        <f t="shared" si="233"/>
        <v>0</v>
      </c>
      <c r="Y747">
        <f t="shared" si="234"/>
        <v>0</v>
      </c>
      <c r="Z747">
        <f t="shared" si="235"/>
        <v>0</v>
      </c>
      <c r="AA747">
        <f>IF($D747="",0,IF($F747&lt;2,0,IF($E747="Win",('Guide &amp; Settings'!$C$42/(($F747-1)*COUNTIFS($A$4:$A$1510,$A747,$E$4:$E$1510,"Win")))*SUMIFS($Z$4:$Z$1510,$A$4:$A$1510,$A747,$E$4:$E$1510,"Loss"),-('Guide &amp; Settings'!$C$42/($F747-1))*$Z747)))</f>
        <v>0</v>
      </c>
      <c r="AB747" s="126">
        <f t="shared" si="236"/>
        <v>0</v>
      </c>
      <c r="AC747" s="126" t="str">
        <f>IF($D747="","",IF($AD747=0,0,IF(COUNTIFS($D$4:$D747,$D747,$B$4:$B747,$B747)&gt;1,0,IF($B747&lt;'Guide &amp; Settings'!$C$50,0,IF(($B747-$AD747)/7-'Guide &amp; Settings'!$C$48&gt;=0,(INT(($B747-$AD747)/7-'Guide &amp; Settings'!$C$48)+1)*'Guide &amp; Settings'!$C$49,0)))))</f>
        <v/>
      </c>
      <c r="AD747" s="142">
        <f t="shared" si="237"/>
        <v>0</v>
      </c>
      <c r="AE747">
        <f t="shared" si="238"/>
        <v>0</v>
      </c>
      <c r="AF747">
        <f t="shared" si="239"/>
        <v>0</v>
      </c>
    </row>
    <row r="748" spans="1:32" x14ac:dyDescent="0.2">
      <c r="A748" s="117"/>
      <c r="B748" s="118"/>
      <c r="C748" s="119"/>
      <c r="D748" s="119"/>
      <c r="E748" s="117"/>
      <c r="F748" s="120">
        <f t="shared" si="220"/>
        <v>0</v>
      </c>
      <c r="G748" s="121" t="str">
        <f t="shared" si="221"/>
        <v/>
      </c>
      <c r="H748" s="122">
        <f>IF($D748="",0,IFERROR(LOOKUP(2,1/(($D$3:D747=$D748)*($A$3:A747&lt;$A748)),$N$3:N747),'Guide &amp; Settings'!$C$41))</f>
        <v>0</v>
      </c>
      <c r="I748" s="123">
        <f t="shared" si="222"/>
        <v>0</v>
      </c>
      <c r="J748" s="124">
        <f>IF($D748="",0,IF($F748&lt;2,0,IF($E748="Win",('Guide &amp; Settings'!$C$42/(($F748-1)*COUNTIFS($A$4:$A$1510,$A748,$E$4:$E$1510,"Win")))*SUMIFS($X$4:$X$1510,$A$4:$A$1510,$A748,$E$4:$E$1510,"Loss"),-('Guide &amp; Settings'!$C$42/($F748-1))*$X748)))</f>
        <v>0</v>
      </c>
      <c r="K748" s="124">
        <f>IF($D748="",0,'Guide &amp; Settings'!$C$43*(IF($E748="Win",1,0)-$I748))</f>
        <v>0</v>
      </c>
      <c r="L748" s="125">
        <f>IF($D748="",0,'Guide &amp; Settings'!$C$44*IF($F748&gt;=3,$F748,0))</f>
        <v>0</v>
      </c>
      <c r="M748" s="124">
        <f t="shared" si="223"/>
        <v>0</v>
      </c>
      <c r="N748" s="122">
        <f t="shared" si="224"/>
        <v>0</v>
      </c>
      <c r="O748" s="121" t="str">
        <f t="shared" si="225"/>
        <v/>
      </c>
      <c r="P748">
        <f t="shared" si="226"/>
        <v>0</v>
      </c>
      <c r="Q748">
        <f t="shared" si="227"/>
        <v>0</v>
      </c>
      <c r="R748">
        <f t="shared" si="228"/>
        <v>0</v>
      </c>
      <c r="S748">
        <f t="shared" si="229"/>
        <v>0</v>
      </c>
      <c r="T748" s="89">
        <f t="shared" si="230"/>
        <v>0</v>
      </c>
      <c r="U748" s="126">
        <f>IF($D748="",0,IFERROR(LOOKUP(2,1/(($D$3:D747=$D748)*($C$3:C747=$C748)*($A$3:A747&lt;$A748)),$AB$3:AB747),1000))</f>
        <v>0</v>
      </c>
      <c r="V748" s="126">
        <f t="shared" si="231"/>
        <v>0</v>
      </c>
      <c r="W748">
        <f t="shared" si="232"/>
        <v>0</v>
      </c>
      <c r="X748">
        <f t="shared" si="233"/>
        <v>0</v>
      </c>
      <c r="Y748">
        <f t="shared" si="234"/>
        <v>0</v>
      </c>
      <c r="Z748">
        <f t="shared" si="235"/>
        <v>0</v>
      </c>
      <c r="AA748">
        <f>IF($D748="",0,IF($F748&lt;2,0,IF($E748="Win",('Guide &amp; Settings'!$C$42/(($F748-1)*COUNTIFS($A$4:$A$1510,$A748,$E$4:$E$1510,"Win")))*SUMIFS($Z$4:$Z$1510,$A$4:$A$1510,$A748,$E$4:$E$1510,"Loss"),-('Guide &amp; Settings'!$C$42/($F748-1))*$Z748)))</f>
        <v>0</v>
      </c>
      <c r="AB748" s="126">
        <f t="shared" si="236"/>
        <v>0</v>
      </c>
      <c r="AC748" s="126" t="str">
        <f>IF($D748="","",IF($AD748=0,0,IF(COUNTIFS($D$4:$D748,$D748,$B$4:$B748,$B748)&gt;1,0,IF($B748&lt;'Guide &amp; Settings'!$C$50,0,IF(($B748-$AD748)/7-'Guide &amp; Settings'!$C$48&gt;=0,(INT(($B748-$AD748)/7-'Guide &amp; Settings'!$C$48)+1)*'Guide &amp; Settings'!$C$49,0)))))</f>
        <v/>
      </c>
      <c r="AD748" s="142">
        <f t="shared" si="237"/>
        <v>0</v>
      </c>
      <c r="AE748">
        <f t="shared" si="238"/>
        <v>0</v>
      </c>
      <c r="AF748">
        <f t="shared" si="239"/>
        <v>0</v>
      </c>
    </row>
    <row r="749" spans="1:32" x14ac:dyDescent="0.2">
      <c r="A749" s="117"/>
      <c r="B749" s="118"/>
      <c r="C749" s="119"/>
      <c r="D749" s="119"/>
      <c r="E749" s="117"/>
      <c r="F749" s="120">
        <f t="shared" si="220"/>
        <v>0</v>
      </c>
      <c r="G749" s="121" t="str">
        <f t="shared" si="221"/>
        <v/>
      </c>
      <c r="H749" s="122">
        <f>IF($D749="",0,IFERROR(LOOKUP(2,1/(($D$3:D748=$D749)*($A$3:A748&lt;$A749)),$N$3:N748),'Guide &amp; Settings'!$C$41))</f>
        <v>0</v>
      </c>
      <c r="I749" s="123">
        <f t="shared" si="222"/>
        <v>0</v>
      </c>
      <c r="J749" s="124">
        <f>IF($D749="",0,IF($F749&lt;2,0,IF($E749="Win",('Guide &amp; Settings'!$C$42/(($F749-1)*COUNTIFS($A$4:$A$1510,$A749,$E$4:$E$1510,"Win")))*SUMIFS($X$4:$X$1510,$A$4:$A$1510,$A749,$E$4:$E$1510,"Loss"),-('Guide &amp; Settings'!$C$42/($F749-1))*$X749)))</f>
        <v>0</v>
      </c>
      <c r="K749" s="124">
        <f>IF($D749="",0,'Guide &amp; Settings'!$C$43*(IF($E749="Win",1,0)-$I749))</f>
        <v>0</v>
      </c>
      <c r="L749" s="125">
        <f>IF($D749="",0,'Guide &amp; Settings'!$C$44*IF($F749&gt;=3,$F749,0))</f>
        <v>0</v>
      </c>
      <c r="M749" s="124">
        <f t="shared" si="223"/>
        <v>0</v>
      </c>
      <c r="N749" s="122">
        <f t="shared" si="224"/>
        <v>0</v>
      </c>
      <c r="O749" s="121" t="str">
        <f t="shared" si="225"/>
        <v/>
      </c>
      <c r="P749">
        <f t="shared" si="226"/>
        <v>0</v>
      </c>
      <c r="Q749">
        <f t="shared" si="227"/>
        <v>0</v>
      </c>
      <c r="R749">
        <f t="shared" si="228"/>
        <v>0</v>
      </c>
      <c r="S749">
        <f t="shared" si="229"/>
        <v>0</v>
      </c>
      <c r="T749" s="89">
        <f t="shared" si="230"/>
        <v>0</v>
      </c>
      <c r="U749" s="126">
        <f>IF($D749="",0,IFERROR(LOOKUP(2,1/(($D$3:D748=$D749)*($C$3:C748=$C749)*($A$3:A748&lt;$A749)),$AB$3:AB748),1000))</f>
        <v>0</v>
      </c>
      <c r="V749" s="126">
        <f t="shared" si="231"/>
        <v>0</v>
      </c>
      <c r="W749">
        <f t="shared" si="232"/>
        <v>0</v>
      </c>
      <c r="X749">
        <f t="shared" si="233"/>
        <v>0</v>
      </c>
      <c r="Y749">
        <f t="shared" si="234"/>
        <v>0</v>
      </c>
      <c r="Z749">
        <f t="shared" si="235"/>
        <v>0</v>
      </c>
      <c r="AA749">
        <f>IF($D749="",0,IF($F749&lt;2,0,IF($E749="Win",('Guide &amp; Settings'!$C$42/(($F749-1)*COUNTIFS($A$4:$A$1510,$A749,$E$4:$E$1510,"Win")))*SUMIFS($Z$4:$Z$1510,$A$4:$A$1510,$A749,$E$4:$E$1510,"Loss"),-('Guide &amp; Settings'!$C$42/($F749-1))*$Z749)))</f>
        <v>0</v>
      </c>
      <c r="AB749" s="126">
        <f t="shared" si="236"/>
        <v>0</v>
      </c>
      <c r="AC749" s="126" t="str">
        <f>IF($D749="","",IF($AD749=0,0,IF(COUNTIFS($D$4:$D749,$D749,$B$4:$B749,$B749)&gt;1,0,IF($B749&lt;'Guide &amp; Settings'!$C$50,0,IF(($B749-$AD749)/7-'Guide &amp; Settings'!$C$48&gt;=0,(INT(($B749-$AD749)/7-'Guide &amp; Settings'!$C$48)+1)*'Guide &amp; Settings'!$C$49,0)))))</f>
        <v/>
      </c>
      <c r="AD749" s="142">
        <f t="shared" si="237"/>
        <v>0</v>
      </c>
      <c r="AE749">
        <f t="shared" si="238"/>
        <v>0</v>
      </c>
      <c r="AF749">
        <f t="shared" si="239"/>
        <v>0</v>
      </c>
    </row>
    <row r="750" spans="1:32" x14ac:dyDescent="0.2">
      <c r="A750" s="117"/>
      <c r="B750" s="118"/>
      <c r="C750" s="119"/>
      <c r="D750" s="119"/>
      <c r="E750" s="117"/>
      <c r="F750" s="120">
        <f t="shared" si="220"/>
        <v>0</v>
      </c>
      <c r="G750" s="121" t="str">
        <f t="shared" si="221"/>
        <v/>
      </c>
      <c r="H750" s="122">
        <f>IF($D750="",0,IFERROR(LOOKUP(2,1/(($D$3:D749=$D750)*($A$3:A749&lt;$A750)),$N$3:N749),'Guide &amp; Settings'!$C$41))</f>
        <v>0</v>
      </c>
      <c r="I750" s="123">
        <f t="shared" si="222"/>
        <v>0</v>
      </c>
      <c r="J750" s="124">
        <f>IF($D750="",0,IF($F750&lt;2,0,IF($E750="Win",('Guide &amp; Settings'!$C$42/(($F750-1)*COUNTIFS($A$4:$A$1510,$A750,$E$4:$E$1510,"Win")))*SUMIFS($X$4:$X$1510,$A$4:$A$1510,$A750,$E$4:$E$1510,"Loss"),-('Guide &amp; Settings'!$C$42/($F750-1))*$X750)))</f>
        <v>0</v>
      </c>
      <c r="K750" s="124">
        <f>IF($D750="",0,'Guide &amp; Settings'!$C$43*(IF($E750="Win",1,0)-$I750))</f>
        <v>0</v>
      </c>
      <c r="L750" s="125">
        <f>IF($D750="",0,'Guide &amp; Settings'!$C$44*IF($F750&gt;=3,$F750,0))</f>
        <v>0</v>
      </c>
      <c r="M750" s="124">
        <f t="shared" si="223"/>
        <v>0</v>
      </c>
      <c r="N750" s="122">
        <f t="shared" si="224"/>
        <v>0</v>
      </c>
      <c r="O750" s="121" t="str">
        <f t="shared" si="225"/>
        <v/>
      </c>
      <c r="P750">
        <f t="shared" si="226"/>
        <v>0</v>
      </c>
      <c r="Q750">
        <f t="shared" si="227"/>
        <v>0</v>
      </c>
      <c r="R750">
        <f t="shared" si="228"/>
        <v>0</v>
      </c>
      <c r="S750">
        <f t="shared" si="229"/>
        <v>0</v>
      </c>
      <c r="T750" s="89">
        <f t="shared" si="230"/>
        <v>0</v>
      </c>
      <c r="U750" s="126">
        <f>IF($D750="",0,IFERROR(LOOKUP(2,1/(($D$3:D749=$D750)*($C$3:C749=$C750)*($A$3:A749&lt;$A750)),$AB$3:AB749),1000))</f>
        <v>0</v>
      </c>
      <c r="V750" s="126">
        <f t="shared" si="231"/>
        <v>0</v>
      </c>
      <c r="W750">
        <f t="shared" si="232"/>
        <v>0</v>
      </c>
      <c r="X750">
        <f t="shared" si="233"/>
        <v>0</v>
      </c>
      <c r="Y750">
        <f t="shared" si="234"/>
        <v>0</v>
      </c>
      <c r="Z750">
        <f t="shared" si="235"/>
        <v>0</v>
      </c>
      <c r="AA750">
        <f>IF($D750="",0,IF($F750&lt;2,0,IF($E750="Win",('Guide &amp; Settings'!$C$42/(($F750-1)*COUNTIFS($A$4:$A$1510,$A750,$E$4:$E$1510,"Win")))*SUMIFS($Z$4:$Z$1510,$A$4:$A$1510,$A750,$E$4:$E$1510,"Loss"),-('Guide &amp; Settings'!$C$42/($F750-1))*$Z750)))</f>
        <v>0</v>
      </c>
      <c r="AB750" s="126">
        <f t="shared" si="236"/>
        <v>0</v>
      </c>
      <c r="AC750" s="126" t="str">
        <f>IF($D750="","",IF($AD750=0,0,IF(COUNTIFS($D$4:$D750,$D750,$B$4:$B750,$B750)&gt;1,0,IF($B750&lt;'Guide &amp; Settings'!$C$50,0,IF(($B750-$AD750)/7-'Guide &amp; Settings'!$C$48&gt;=0,(INT(($B750-$AD750)/7-'Guide &amp; Settings'!$C$48)+1)*'Guide &amp; Settings'!$C$49,0)))))</f>
        <v/>
      </c>
      <c r="AD750" s="142">
        <f t="shared" si="237"/>
        <v>0</v>
      </c>
      <c r="AE750">
        <f t="shared" si="238"/>
        <v>0</v>
      </c>
      <c r="AF750">
        <f t="shared" si="239"/>
        <v>0</v>
      </c>
    </row>
    <row r="751" spans="1:32" x14ac:dyDescent="0.2">
      <c r="A751" s="117"/>
      <c r="B751" s="118"/>
      <c r="C751" s="119"/>
      <c r="D751" s="119"/>
      <c r="E751" s="117"/>
      <c r="F751" s="120">
        <f t="shared" si="220"/>
        <v>0</v>
      </c>
      <c r="G751" s="121" t="str">
        <f t="shared" si="221"/>
        <v/>
      </c>
      <c r="H751" s="122">
        <f>IF($D751="",0,IFERROR(LOOKUP(2,1/(($D$3:D750=$D751)*($A$3:A750&lt;$A751)),$N$3:N750),'Guide &amp; Settings'!$C$41))</f>
        <v>0</v>
      </c>
      <c r="I751" s="123">
        <f t="shared" si="222"/>
        <v>0</v>
      </c>
      <c r="J751" s="124">
        <f>IF($D751="",0,IF($F751&lt;2,0,IF($E751="Win",('Guide &amp; Settings'!$C$42/(($F751-1)*COUNTIFS($A$4:$A$1510,$A751,$E$4:$E$1510,"Win")))*SUMIFS($X$4:$X$1510,$A$4:$A$1510,$A751,$E$4:$E$1510,"Loss"),-('Guide &amp; Settings'!$C$42/($F751-1))*$X751)))</f>
        <v>0</v>
      </c>
      <c r="K751" s="124">
        <f>IF($D751="",0,'Guide &amp; Settings'!$C$43*(IF($E751="Win",1,0)-$I751))</f>
        <v>0</v>
      </c>
      <c r="L751" s="125">
        <f>IF($D751="",0,'Guide &amp; Settings'!$C$44*IF($F751&gt;=3,$F751,0))</f>
        <v>0</v>
      </c>
      <c r="M751" s="124">
        <f t="shared" si="223"/>
        <v>0</v>
      </c>
      <c r="N751" s="122">
        <f t="shared" si="224"/>
        <v>0</v>
      </c>
      <c r="O751" s="121" t="str">
        <f t="shared" si="225"/>
        <v/>
      </c>
      <c r="P751">
        <f t="shared" si="226"/>
        <v>0</v>
      </c>
      <c r="Q751">
        <f t="shared" si="227"/>
        <v>0</v>
      </c>
      <c r="R751">
        <f t="shared" si="228"/>
        <v>0</v>
      </c>
      <c r="S751">
        <f t="shared" si="229"/>
        <v>0</v>
      </c>
      <c r="T751" s="89">
        <f t="shared" si="230"/>
        <v>0</v>
      </c>
      <c r="U751" s="126">
        <f>IF($D751="",0,IFERROR(LOOKUP(2,1/(($D$3:D750=$D751)*($C$3:C750=$C751)*($A$3:A750&lt;$A751)),$AB$3:AB750),1000))</f>
        <v>0</v>
      </c>
      <c r="V751" s="126">
        <f t="shared" si="231"/>
        <v>0</v>
      </c>
      <c r="W751">
        <f t="shared" si="232"/>
        <v>0</v>
      </c>
      <c r="X751">
        <f t="shared" si="233"/>
        <v>0</v>
      </c>
      <c r="Y751">
        <f t="shared" si="234"/>
        <v>0</v>
      </c>
      <c r="Z751">
        <f t="shared" si="235"/>
        <v>0</v>
      </c>
      <c r="AA751">
        <f>IF($D751="",0,IF($F751&lt;2,0,IF($E751="Win",('Guide &amp; Settings'!$C$42/(($F751-1)*COUNTIFS($A$4:$A$1510,$A751,$E$4:$E$1510,"Win")))*SUMIFS($Z$4:$Z$1510,$A$4:$A$1510,$A751,$E$4:$E$1510,"Loss"),-('Guide &amp; Settings'!$C$42/($F751-1))*$Z751)))</f>
        <v>0</v>
      </c>
      <c r="AB751" s="126">
        <f t="shared" si="236"/>
        <v>0</v>
      </c>
      <c r="AC751" s="126" t="str">
        <f>IF($D751="","",IF($AD751=0,0,IF(COUNTIFS($D$4:$D751,$D751,$B$4:$B751,$B751)&gt;1,0,IF($B751&lt;'Guide &amp; Settings'!$C$50,0,IF(($B751-$AD751)/7-'Guide &amp; Settings'!$C$48&gt;=0,(INT(($B751-$AD751)/7-'Guide &amp; Settings'!$C$48)+1)*'Guide &amp; Settings'!$C$49,0)))))</f>
        <v/>
      </c>
      <c r="AD751" s="142">
        <f t="shared" si="237"/>
        <v>0</v>
      </c>
      <c r="AE751">
        <f t="shared" si="238"/>
        <v>0</v>
      </c>
      <c r="AF751">
        <f t="shared" si="239"/>
        <v>0</v>
      </c>
    </row>
    <row r="752" spans="1:32" x14ac:dyDescent="0.2">
      <c r="A752" s="117"/>
      <c r="B752" s="118"/>
      <c r="C752" s="119"/>
      <c r="D752" s="119"/>
      <c r="E752" s="117"/>
      <c r="F752" s="120">
        <f t="shared" si="220"/>
        <v>0</v>
      </c>
      <c r="G752" s="121" t="str">
        <f t="shared" si="221"/>
        <v/>
      </c>
      <c r="H752" s="122">
        <f>IF($D752="",0,IFERROR(LOOKUP(2,1/(($D$3:D751=$D752)*($A$3:A751&lt;$A752)),$N$3:N751),'Guide &amp; Settings'!$C$41))</f>
        <v>0</v>
      </c>
      <c r="I752" s="123">
        <f t="shared" si="222"/>
        <v>0</v>
      </c>
      <c r="J752" s="124">
        <f>IF($D752="",0,IF($F752&lt;2,0,IF($E752="Win",('Guide &amp; Settings'!$C$42/(($F752-1)*COUNTIFS($A$4:$A$1510,$A752,$E$4:$E$1510,"Win")))*SUMIFS($X$4:$X$1510,$A$4:$A$1510,$A752,$E$4:$E$1510,"Loss"),-('Guide &amp; Settings'!$C$42/($F752-1))*$X752)))</f>
        <v>0</v>
      </c>
      <c r="K752" s="124">
        <f>IF($D752="",0,'Guide &amp; Settings'!$C$43*(IF($E752="Win",1,0)-$I752))</f>
        <v>0</v>
      </c>
      <c r="L752" s="125">
        <f>IF($D752="",0,'Guide &amp; Settings'!$C$44*IF($F752&gt;=3,$F752,0))</f>
        <v>0</v>
      </c>
      <c r="M752" s="124">
        <f t="shared" si="223"/>
        <v>0</v>
      </c>
      <c r="N752" s="122">
        <f t="shared" si="224"/>
        <v>0</v>
      </c>
      <c r="O752" s="121" t="str">
        <f t="shared" si="225"/>
        <v/>
      </c>
      <c r="P752">
        <f t="shared" si="226"/>
        <v>0</v>
      </c>
      <c r="Q752">
        <f t="shared" si="227"/>
        <v>0</v>
      </c>
      <c r="R752">
        <f t="shared" si="228"/>
        <v>0</v>
      </c>
      <c r="S752">
        <f t="shared" si="229"/>
        <v>0</v>
      </c>
      <c r="T752" s="89">
        <f t="shared" si="230"/>
        <v>0</v>
      </c>
      <c r="U752" s="126">
        <f>IF($D752="",0,IFERROR(LOOKUP(2,1/(($D$3:D751=$D752)*($C$3:C751=$C752)*($A$3:A751&lt;$A752)),$AB$3:AB751),1000))</f>
        <v>0</v>
      </c>
      <c r="V752" s="126">
        <f t="shared" si="231"/>
        <v>0</v>
      </c>
      <c r="W752">
        <f t="shared" si="232"/>
        <v>0</v>
      </c>
      <c r="X752">
        <f t="shared" si="233"/>
        <v>0</v>
      </c>
      <c r="Y752">
        <f t="shared" si="234"/>
        <v>0</v>
      </c>
      <c r="Z752">
        <f t="shared" si="235"/>
        <v>0</v>
      </c>
      <c r="AA752">
        <f>IF($D752="",0,IF($F752&lt;2,0,IF($E752="Win",('Guide &amp; Settings'!$C$42/(($F752-1)*COUNTIFS($A$4:$A$1510,$A752,$E$4:$E$1510,"Win")))*SUMIFS($Z$4:$Z$1510,$A$4:$A$1510,$A752,$E$4:$E$1510,"Loss"),-('Guide &amp; Settings'!$C$42/($F752-1))*$Z752)))</f>
        <v>0</v>
      </c>
      <c r="AB752" s="126">
        <f t="shared" si="236"/>
        <v>0</v>
      </c>
      <c r="AC752" s="126" t="str">
        <f>IF($D752="","",IF($AD752=0,0,IF(COUNTIFS($D$4:$D752,$D752,$B$4:$B752,$B752)&gt;1,0,IF($B752&lt;'Guide &amp; Settings'!$C$50,0,IF(($B752-$AD752)/7-'Guide &amp; Settings'!$C$48&gt;=0,(INT(($B752-$AD752)/7-'Guide &amp; Settings'!$C$48)+1)*'Guide &amp; Settings'!$C$49,0)))))</f>
        <v/>
      </c>
      <c r="AD752" s="142">
        <f t="shared" si="237"/>
        <v>0</v>
      </c>
      <c r="AE752">
        <f t="shared" si="238"/>
        <v>0</v>
      </c>
      <c r="AF752">
        <f t="shared" si="239"/>
        <v>0</v>
      </c>
    </row>
    <row r="753" spans="1:32" x14ac:dyDescent="0.2">
      <c r="A753" s="117"/>
      <c r="B753" s="118"/>
      <c r="C753" s="119"/>
      <c r="D753" s="119"/>
      <c r="E753" s="117"/>
      <c r="F753" s="120">
        <f t="shared" si="220"/>
        <v>0</v>
      </c>
      <c r="G753" s="121" t="str">
        <f t="shared" si="221"/>
        <v/>
      </c>
      <c r="H753" s="122">
        <f>IF($D753="",0,IFERROR(LOOKUP(2,1/(($D$3:D752=$D753)*($A$3:A752&lt;$A753)),$N$3:N752),'Guide &amp; Settings'!$C$41))</f>
        <v>0</v>
      </c>
      <c r="I753" s="123">
        <f t="shared" si="222"/>
        <v>0</v>
      </c>
      <c r="J753" s="124">
        <f>IF($D753="",0,IF($F753&lt;2,0,IF($E753="Win",('Guide &amp; Settings'!$C$42/(($F753-1)*COUNTIFS($A$4:$A$1510,$A753,$E$4:$E$1510,"Win")))*SUMIFS($X$4:$X$1510,$A$4:$A$1510,$A753,$E$4:$E$1510,"Loss"),-('Guide &amp; Settings'!$C$42/($F753-1))*$X753)))</f>
        <v>0</v>
      </c>
      <c r="K753" s="124">
        <f>IF($D753="",0,'Guide &amp; Settings'!$C$43*(IF($E753="Win",1,0)-$I753))</f>
        <v>0</v>
      </c>
      <c r="L753" s="125">
        <f>IF($D753="",0,'Guide &amp; Settings'!$C$44*IF($F753&gt;=3,$F753,0))</f>
        <v>0</v>
      </c>
      <c r="M753" s="124">
        <f t="shared" si="223"/>
        <v>0</v>
      </c>
      <c r="N753" s="122">
        <f t="shared" si="224"/>
        <v>0</v>
      </c>
      <c r="O753" s="121" t="str">
        <f t="shared" si="225"/>
        <v/>
      </c>
      <c r="P753">
        <f t="shared" si="226"/>
        <v>0</v>
      </c>
      <c r="Q753">
        <f t="shared" si="227"/>
        <v>0</v>
      </c>
      <c r="R753">
        <f t="shared" si="228"/>
        <v>0</v>
      </c>
      <c r="S753">
        <f t="shared" si="229"/>
        <v>0</v>
      </c>
      <c r="T753" s="89">
        <f t="shared" si="230"/>
        <v>0</v>
      </c>
      <c r="U753" s="126">
        <f>IF($D753="",0,IFERROR(LOOKUP(2,1/(($D$3:D752=$D753)*($C$3:C752=$C753)*($A$3:A752&lt;$A753)),$AB$3:AB752),1000))</f>
        <v>0</v>
      </c>
      <c r="V753" s="126">
        <f t="shared" si="231"/>
        <v>0</v>
      </c>
      <c r="W753">
        <f t="shared" si="232"/>
        <v>0</v>
      </c>
      <c r="X753">
        <f t="shared" si="233"/>
        <v>0</v>
      </c>
      <c r="Y753">
        <f t="shared" si="234"/>
        <v>0</v>
      </c>
      <c r="Z753">
        <f t="shared" si="235"/>
        <v>0</v>
      </c>
      <c r="AA753">
        <f>IF($D753="",0,IF($F753&lt;2,0,IF($E753="Win",('Guide &amp; Settings'!$C$42/(($F753-1)*COUNTIFS($A$4:$A$1510,$A753,$E$4:$E$1510,"Win")))*SUMIFS($Z$4:$Z$1510,$A$4:$A$1510,$A753,$E$4:$E$1510,"Loss"),-('Guide &amp; Settings'!$C$42/($F753-1))*$Z753)))</f>
        <v>0</v>
      </c>
      <c r="AB753" s="126">
        <f t="shared" si="236"/>
        <v>0</v>
      </c>
      <c r="AC753" s="126" t="str">
        <f>IF($D753="","",IF($AD753=0,0,IF(COUNTIFS($D$4:$D753,$D753,$B$4:$B753,$B753)&gt;1,0,IF($B753&lt;'Guide &amp; Settings'!$C$50,0,IF(($B753-$AD753)/7-'Guide &amp; Settings'!$C$48&gt;=0,(INT(($B753-$AD753)/7-'Guide &amp; Settings'!$C$48)+1)*'Guide &amp; Settings'!$C$49,0)))))</f>
        <v/>
      </c>
      <c r="AD753" s="142">
        <f t="shared" si="237"/>
        <v>0</v>
      </c>
      <c r="AE753">
        <f t="shared" si="238"/>
        <v>0</v>
      </c>
      <c r="AF753">
        <f t="shared" si="239"/>
        <v>0</v>
      </c>
    </row>
    <row r="754" spans="1:32" x14ac:dyDescent="0.2">
      <c r="A754" s="117"/>
      <c r="B754" s="118"/>
      <c r="C754" s="119"/>
      <c r="D754" s="119"/>
      <c r="E754" s="117"/>
      <c r="F754" s="120">
        <f t="shared" si="220"/>
        <v>0</v>
      </c>
      <c r="G754" s="121" t="str">
        <f t="shared" si="221"/>
        <v/>
      </c>
      <c r="H754" s="122">
        <f>IF($D754="",0,IFERROR(LOOKUP(2,1/(($D$3:D753=$D754)*($A$3:A753&lt;$A754)),$N$3:N753),'Guide &amp; Settings'!$C$41))</f>
        <v>0</v>
      </c>
      <c r="I754" s="123">
        <f t="shared" si="222"/>
        <v>0</v>
      </c>
      <c r="J754" s="124">
        <f>IF($D754="",0,IF($F754&lt;2,0,IF($E754="Win",('Guide &amp; Settings'!$C$42/(($F754-1)*COUNTIFS($A$4:$A$1510,$A754,$E$4:$E$1510,"Win")))*SUMIFS($X$4:$X$1510,$A$4:$A$1510,$A754,$E$4:$E$1510,"Loss"),-('Guide &amp; Settings'!$C$42/($F754-1))*$X754)))</f>
        <v>0</v>
      </c>
      <c r="K754" s="124">
        <f>IF($D754="",0,'Guide &amp; Settings'!$C$43*(IF($E754="Win",1,0)-$I754))</f>
        <v>0</v>
      </c>
      <c r="L754" s="125">
        <f>IF($D754="",0,'Guide &amp; Settings'!$C$44*IF($F754&gt;=3,$F754,0))</f>
        <v>0</v>
      </c>
      <c r="M754" s="124">
        <f t="shared" si="223"/>
        <v>0</v>
      </c>
      <c r="N754" s="122">
        <f t="shared" si="224"/>
        <v>0</v>
      </c>
      <c r="O754" s="121" t="str">
        <f t="shared" si="225"/>
        <v/>
      </c>
      <c r="P754">
        <f t="shared" si="226"/>
        <v>0</v>
      </c>
      <c r="Q754">
        <f t="shared" si="227"/>
        <v>0</v>
      </c>
      <c r="R754">
        <f t="shared" si="228"/>
        <v>0</v>
      </c>
      <c r="S754">
        <f t="shared" si="229"/>
        <v>0</v>
      </c>
      <c r="T754" s="89">
        <f t="shared" si="230"/>
        <v>0</v>
      </c>
      <c r="U754" s="126">
        <f>IF($D754="",0,IFERROR(LOOKUP(2,1/(($D$3:D753=$D754)*($C$3:C753=$C754)*($A$3:A753&lt;$A754)),$AB$3:AB753),1000))</f>
        <v>0</v>
      </c>
      <c r="V754" s="126">
        <f t="shared" si="231"/>
        <v>0</v>
      </c>
      <c r="W754">
        <f t="shared" si="232"/>
        <v>0</v>
      </c>
      <c r="X754">
        <f t="shared" si="233"/>
        <v>0</v>
      </c>
      <c r="Y754">
        <f t="shared" si="234"/>
        <v>0</v>
      </c>
      <c r="Z754">
        <f t="shared" si="235"/>
        <v>0</v>
      </c>
      <c r="AA754">
        <f>IF($D754="",0,IF($F754&lt;2,0,IF($E754="Win",('Guide &amp; Settings'!$C$42/(($F754-1)*COUNTIFS($A$4:$A$1510,$A754,$E$4:$E$1510,"Win")))*SUMIFS($Z$4:$Z$1510,$A$4:$A$1510,$A754,$E$4:$E$1510,"Loss"),-('Guide &amp; Settings'!$C$42/($F754-1))*$Z754)))</f>
        <v>0</v>
      </c>
      <c r="AB754" s="126">
        <f t="shared" si="236"/>
        <v>0</v>
      </c>
      <c r="AC754" s="126" t="str">
        <f>IF($D754="","",IF($AD754=0,0,IF(COUNTIFS($D$4:$D754,$D754,$B$4:$B754,$B754)&gt;1,0,IF($B754&lt;'Guide &amp; Settings'!$C$50,0,IF(($B754-$AD754)/7-'Guide &amp; Settings'!$C$48&gt;=0,(INT(($B754-$AD754)/7-'Guide &amp; Settings'!$C$48)+1)*'Guide &amp; Settings'!$C$49,0)))))</f>
        <v/>
      </c>
      <c r="AD754" s="142">
        <f t="shared" si="237"/>
        <v>0</v>
      </c>
      <c r="AE754">
        <f t="shared" si="238"/>
        <v>0</v>
      </c>
      <c r="AF754">
        <f t="shared" si="239"/>
        <v>0</v>
      </c>
    </row>
    <row r="755" spans="1:32" x14ac:dyDescent="0.2">
      <c r="A755" s="117"/>
      <c r="B755" s="118"/>
      <c r="C755" s="119"/>
      <c r="D755" s="119"/>
      <c r="E755" s="117"/>
      <c r="F755" s="120">
        <f t="shared" si="220"/>
        <v>0</v>
      </c>
      <c r="G755" s="121" t="str">
        <f t="shared" si="221"/>
        <v/>
      </c>
      <c r="H755" s="122">
        <f>IF($D755="",0,IFERROR(LOOKUP(2,1/(($D$3:D754=$D755)*($A$3:A754&lt;$A755)),$N$3:N754),'Guide &amp; Settings'!$C$41))</f>
        <v>0</v>
      </c>
      <c r="I755" s="123">
        <f t="shared" si="222"/>
        <v>0</v>
      </c>
      <c r="J755" s="124">
        <f>IF($D755="",0,IF($F755&lt;2,0,IF($E755="Win",('Guide &amp; Settings'!$C$42/(($F755-1)*COUNTIFS($A$4:$A$1510,$A755,$E$4:$E$1510,"Win")))*SUMIFS($X$4:$X$1510,$A$4:$A$1510,$A755,$E$4:$E$1510,"Loss"),-('Guide &amp; Settings'!$C$42/($F755-1))*$X755)))</f>
        <v>0</v>
      </c>
      <c r="K755" s="124">
        <f>IF($D755="",0,'Guide &amp; Settings'!$C$43*(IF($E755="Win",1,0)-$I755))</f>
        <v>0</v>
      </c>
      <c r="L755" s="125">
        <f>IF($D755="",0,'Guide &amp; Settings'!$C$44*IF($F755&gt;=3,$F755,0))</f>
        <v>0</v>
      </c>
      <c r="M755" s="124">
        <f t="shared" si="223"/>
        <v>0</v>
      </c>
      <c r="N755" s="122">
        <f t="shared" si="224"/>
        <v>0</v>
      </c>
      <c r="O755" s="121" t="str">
        <f t="shared" si="225"/>
        <v/>
      </c>
      <c r="P755">
        <f t="shared" si="226"/>
        <v>0</v>
      </c>
      <c r="Q755">
        <f t="shared" si="227"/>
        <v>0</v>
      </c>
      <c r="R755">
        <f t="shared" si="228"/>
        <v>0</v>
      </c>
      <c r="S755">
        <f t="shared" si="229"/>
        <v>0</v>
      </c>
      <c r="T755" s="89">
        <f t="shared" si="230"/>
        <v>0</v>
      </c>
      <c r="U755" s="126">
        <f>IF($D755="",0,IFERROR(LOOKUP(2,1/(($D$3:D754=$D755)*($C$3:C754=$C755)*($A$3:A754&lt;$A755)),$AB$3:AB754),1000))</f>
        <v>0</v>
      </c>
      <c r="V755" s="126">
        <f t="shared" si="231"/>
        <v>0</v>
      </c>
      <c r="W755">
        <f t="shared" si="232"/>
        <v>0</v>
      </c>
      <c r="X755">
        <f t="shared" si="233"/>
        <v>0</v>
      </c>
      <c r="Y755">
        <f t="shared" si="234"/>
        <v>0</v>
      </c>
      <c r="Z755">
        <f t="shared" si="235"/>
        <v>0</v>
      </c>
      <c r="AA755">
        <f>IF($D755="",0,IF($F755&lt;2,0,IF($E755="Win",('Guide &amp; Settings'!$C$42/(($F755-1)*COUNTIFS($A$4:$A$1510,$A755,$E$4:$E$1510,"Win")))*SUMIFS($Z$4:$Z$1510,$A$4:$A$1510,$A755,$E$4:$E$1510,"Loss"),-('Guide &amp; Settings'!$C$42/($F755-1))*$Z755)))</f>
        <v>0</v>
      </c>
      <c r="AB755" s="126">
        <f t="shared" si="236"/>
        <v>0</v>
      </c>
      <c r="AC755" s="126" t="str">
        <f>IF($D755="","",IF($AD755=0,0,IF(COUNTIFS($D$4:$D755,$D755,$B$4:$B755,$B755)&gt;1,0,IF($B755&lt;'Guide &amp; Settings'!$C$50,0,IF(($B755-$AD755)/7-'Guide &amp; Settings'!$C$48&gt;=0,(INT(($B755-$AD755)/7-'Guide &amp; Settings'!$C$48)+1)*'Guide &amp; Settings'!$C$49,0)))))</f>
        <v/>
      </c>
      <c r="AD755" s="142">
        <f t="shared" si="237"/>
        <v>0</v>
      </c>
      <c r="AE755">
        <f t="shared" si="238"/>
        <v>0</v>
      </c>
      <c r="AF755">
        <f t="shared" si="239"/>
        <v>0</v>
      </c>
    </row>
    <row r="756" spans="1:32" x14ac:dyDescent="0.2">
      <c r="A756" s="117"/>
      <c r="B756" s="118"/>
      <c r="C756" s="119"/>
      <c r="D756" s="119"/>
      <c r="E756" s="117"/>
      <c r="F756" s="120">
        <f t="shared" si="220"/>
        <v>0</v>
      </c>
      <c r="G756" s="121" t="str">
        <f t="shared" si="221"/>
        <v/>
      </c>
      <c r="H756" s="122">
        <f>IF($D756="",0,IFERROR(LOOKUP(2,1/(($D$3:D755=$D756)*($A$3:A755&lt;$A756)),$N$3:N755),'Guide &amp; Settings'!$C$41))</f>
        <v>0</v>
      </c>
      <c r="I756" s="123">
        <f t="shared" si="222"/>
        <v>0</v>
      </c>
      <c r="J756" s="124">
        <f>IF($D756="",0,IF($F756&lt;2,0,IF($E756="Win",('Guide &amp; Settings'!$C$42/(($F756-1)*COUNTIFS($A$4:$A$1510,$A756,$E$4:$E$1510,"Win")))*SUMIFS($X$4:$X$1510,$A$4:$A$1510,$A756,$E$4:$E$1510,"Loss"),-('Guide &amp; Settings'!$C$42/($F756-1))*$X756)))</f>
        <v>0</v>
      </c>
      <c r="K756" s="124">
        <f>IF($D756="",0,'Guide &amp; Settings'!$C$43*(IF($E756="Win",1,0)-$I756))</f>
        <v>0</v>
      </c>
      <c r="L756" s="125">
        <f>IF($D756="",0,'Guide &amp; Settings'!$C$44*IF($F756&gt;=3,$F756,0))</f>
        <v>0</v>
      </c>
      <c r="M756" s="124">
        <f t="shared" si="223"/>
        <v>0</v>
      </c>
      <c r="N756" s="122">
        <f t="shared" si="224"/>
        <v>0</v>
      </c>
      <c r="O756" s="121" t="str">
        <f t="shared" si="225"/>
        <v/>
      </c>
      <c r="P756">
        <f t="shared" si="226"/>
        <v>0</v>
      </c>
      <c r="Q756">
        <f t="shared" si="227"/>
        <v>0</v>
      </c>
      <c r="R756">
        <f t="shared" si="228"/>
        <v>0</v>
      </c>
      <c r="S756">
        <f t="shared" si="229"/>
        <v>0</v>
      </c>
      <c r="T756" s="89">
        <f t="shared" si="230"/>
        <v>0</v>
      </c>
      <c r="U756" s="126">
        <f>IF($D756="",0,IFERROR(LOOKUP(2,1/(($D$3:D755=$D756)*($C$3:C755=$C756)*($A$3:A755&lt;$A756)),$AB$3:AB755),1000))</f>
        <v>0</v>
      </c>
      <c r="V756" s="126">
        <f t="shared" si="231"/>
        <v>0</v>
      </c>
      <c r="W756">
        <f t="shared" si="232"/>
        <v>0</v>
      </c>
      <c r="X756">
        <f t="shared" si="233"/>
        <v>0</v>
      </c>
      <c r="Y756">
        <f t="shared" si="234"/>
        <v>0</v>
      </c>
      <c r="Z756">
        <f t="shared" si="235"/>
        <v>0</v>
      </c>
      <c r="AA756">
        <f>IF($D756="",0,IF($F756&lt;2,0,IF($E756="Win",('Guide &amp; Settings'!$C$42/(($F756-1)*COUNTIFS($A$4:$A$1510,$A756,$E$4:$E$1510,"Win")))*SUMIFS($Z$4:$Z$1510,$A$4:$A$1510,$A756,$E$4:$E$1510,"Loss"),-('Guide &amp; Settings'!$C$42/($F756-1))*$Z756)))</f>
        <v>0</v>
      </c>
      <c r="AB756" s="126">
        <f t="shared" si="236"/>
        <v>0</v>
      </c>
      <c r="AC756" s="126" t="str">
        <f>IF($D756="","",IF($AD756=0,0,IF(COUNTIFS($D$4:$D756,$D756,$B$4:$B756,$B756)&gt;1,0,IF($B756&lt;'Guide &amp; Settings'!$C$50,0,IF(($B756-$AD756)/7-'Guide &amp; Settings'!$C$48&gt;=0,(INT(($B756-$AD756)/7-'Guide &amp; Settings'!$C$48)+1)*'Guide &amp; Settings'!$C$49,0)))))</f>
        <v/>
      </c>
      <c r="AD756" s="142">
        <f t="shared" si="237"/>
        <v>0</v>
      </c>
      <c r="AE756">
        <f t="shared" si="238"/>
        <v>0</v>
      </c>
      <c r="AF756">
        <f t="shared" si="239"/>
        <v>0</v>
      </c>
    </row>
    <row r="757" spans="1:32" x14ac:dyDescent="0.2">
      <c r="A757" s="117"/>
      <c r="B757" s="118"/>
      <c r="C757" s="119"/>
      <c r="D757" s="119"/>
      <c r="E757" s="117"/>
      <c r="F757" s="120">
        <f t="shared" si="220"/>
        <v>0</v>
      </c>
      <c r="G757" s="121" t="str">
        <f t="shared" si="221"/>
        <v/>
      </c>
      <c r="H757" s="122">
        <f>IF($D757="",0,IFERROR(LOOKUP(2,1/(($D$3:D756=$D757)*($A$3:A756&lt;$A757)),$N$3:N756),'Guide &amp; Settings'!$C$41))</f>
        <v>0</v>
      </c>
      <c r="I757" s="123">
        <f t="shared" si="222"/>
        <v>0</v>
      </c>
      <c r="J757" s="124">
        <f>IF($D757="",0,IF($F757&lt;2,0,IF($E757="Win",('Guide &amp; Settings'!$C$42/(($F757-1)*COUNTIFS($A$4:$A$1510,$A757,$E$4:$E$1510,"Win")))*SUMIFS($X$4:$X$1510,$A$4:$A$1510,$A757,$E$4:$E$1510,"Loss"),-('Guide &amp; Settings'!$C$42/($F757-1))*$X757)))</f>
        <v>0</v>
      </c>
      <c r="K757" s="124">
        <f>IF($D757="",0,'Guide &amp; Settings'!$C$43*(IF($E757="Win",1,0)-$I757))</f>
        <v>0</v>
      </c>
      <c r="L757" s="125">
        <f>IF($D757="",0,'Guide &amp; Settings'!$C$44*IF($F757&gt;=3,$F757,0))</f>
        <v>0</v>
      </c>
      <c r="M757" s="124">
        <f t="shared" si="223"/>
        <v>0</v>
      </c>
      <c r="N757" s="122">
        <f t="shared" si="224"/>
        <v>0</v>
      </c>
      <c r="O757" s="121" t="str">
        <f t="shared" si="225"/>
        <v/>
      </c>
      <c r="P757">
        <f t="shared" si="226"/>
        <v>0</v>
      </c>
      <c r="Q757">
        <f t="shared" si="227"/>
        <v>0</v>
      </c>
      <c r="R757">
        <f t="shared" si="228"/>
        <v>0</v>
      </c>
      <c r="S757">
        <f t="shared" si="229"/>
        <v>0</v>
      </c>
      <c r="T757" s="89">
        <f t="shared" si="230"/>
        <v>0</v>
      </c>
      <c r="U757" s="126">
        <f>IF($D757="",0,IFERROR(LOOKUP(2,1/(($D$3:D756=$D757)*($C$3:C756=$C757)*($A$3:A756&lt;$A757)),$AB$3:AB756),1000))</f>
        <v>0</v>
      </c>
      <c r="V757" s="126">
        <f t="shared" si="231"/>
        <v>0</v>
      </c>
      <c r="W757">
        <f t="shared" si="232"/>
        <v>0</v>
      </c>
      <c r="X757">
        <f t="shared" si="233"/>
        <v>0</v>
      </c>
      <c r="Y757">
        <f t="shared" si="234"/>
        <v>0</v>
      </c>
      <c r="Z757">
        <f t="shared" si="235"/>
        <v>0</v>
      </c>
      <c r="AA757">
        <f>IF($D757="",0,IF($F757&lt;2,0,IF($E757="Win",('Guide &amp; Settings'!$C$42/(($F757-1)*COUNTIFS($A$4:$A$1510,$A757,$E$4:$E$1510,"Win")))*SUMIFS($Z$4:$Z$1510,$A$4:$A$1510,$A757,$E$4:$E$1510,"Loss"),-('Guide &amp; Settings'!$C$42/($F757-1))*$Z757)))</f>
        <v>0</v>
      </c>
      <c r="AB757" s="126">
        <f t="shared" si="236"/>
        <v>0</v>
      </c>
      <c r="AC757" s="126" t="str">
        <f>IF($D757="","",IF($AD757=0,0,IF(COUNTIFS($D$4:$D757,$D757,$B$4:$B757,$B757)&gt;1,0,IF($B757&lt;'Guide &amp; Settings'!$C$50,0,IF(($B757-$AD757)/7-'Guide &amp; Settings'!$C$48&gt;=0,(INT(($B757-$AD757)/7-'Guide &amp; Settings'!$C$48)+1)*'Guide &amp; Settings'!$C$49,0)))))</f>
        <v/>
      </c>
      <c r="AD757" s="142">
        <f t="shared" si="237"/>
        <v>0</v>
      </c>
      <c r="AE757">
        <f t="shared" si="238"/>
        <v>0</v>
      </c>
      <c r="AF757">
        <f t="shared" si="239"/>
        <v>0</v>
      </c>
    </row>
    <row r="758" spans="1:32" x14ac:dyDescent="0.2">
      <c r="A758" s="117"/>
      <c r="B758" s="118"/>
      <c r="C758" s="119"/>
      <c r="D758" s="119"/>
      <c r="E758" s="117"/>
      <c r="F758" s="120">
        <f t="shared" si="220"/>
        <v>0</v>
      </c>
      <c r="G758" s="121" t="str">
        <f t="shared" si="221"/>
        <v/>
      </c>
      <c r="H758" s="122">
        <f>IF($D758="",0,IFERROR(LOOKUP(2,1/(($D$3:D757=$D758)*($A$3:A757&lt;$A758)),$N$3:N757),'Guide &amp; Settings'!$C$41))</f>
        <v>0</v>
      </c>
      <c r="I758" s="123">
        <f t="shared" si="222"/>
        <v>0</v>
      </c>
      <c r="J758" s="124">
        <f>IF($D758="",0,IF($F758&lt;2,0,IF($E758="Win",('Guide &amp; Settings'!$C$42/(($F758-1)*COUNTIFS($A$4:$A$1510,$A758,$E$4:$E$1510,"Win")))*SUMIFS($X$4:$X$1510,$A$4:$A$1510,$A758,$E$4:$E$1510,"Loss"),-('Guide &amp; Settings'!$C$42/($F758-1))*$X758)))</f>
        <v>0</v>
      </c>
      <c r="K758" s="124">
        <f>IF($D758="",0,'Guide &amp; Settings'!$C$43*(IF($E758="Win",1,0)-$I758))</f>
        <v>0</v>
      </c>
      <c r="L758" s="125">
        <f>IF($D758="",0,'Guide &amp; Settings'!$C$44*IF($F758&gt;=3,$F758,0))</f>
        <v>0</v>
      </c>
      <c r="M758" s="124">
        <f t="shared" si="223"/>
        <v>0</v>
      </c>
      <c r="N758" s="122">
        <f t="shared" si="224"/>
        <v>0</v>
      </c>
      <c r="O758" s="121" t="str">
        <f t="shared" si="225"/>
        <v/>
      </c>
      <c r="P758">
        <f t="shared" si="226"/>
        <v>0</v>
      </c>
      <c r="Q758">
        <f t="shared" si="227"/>
        <v>0</v>
      </c>
      <c r="R758">
        <f t="shared" si="228"/>
        <v>0</v>
      </c>
      <c r="S758">
        <f t="shared" si="229"/>
        <v>0</v>
      </c>
      <c r="T758" s="89">
        <f t="shared" si="230"/>
        <v>0</v>
      </c>
      <c r="U758" s="126">
        <f>IF($D758="",0,IFERROR(LOOKUP(2,1/(($D$3:D757=$D758)*($C$3:C757=$C758)*($A$3:A757&lt;$A758)),$AB$3:AB757),1000))</f>
        <v>0</v>
      </c>
      <c r="V758" s="126">
        <f t="shared" si="231"/>
        <v>0</v>
      </c>
      <c r="W758">
        <f t="shared" si="232"/>
        <v>0</v>
      </c>
      <c r="X758">
        <f t="shared" si="233"/>
        <v>0</v>
      </c>
      <c r="Y758">
        <f t="shared" si="234"/>
        <v>0</v>
      </c>
      <c r="Z758">
        <f t="shared" si="235"/>
        <v>0</v>
      </c>
      <c r="AA758">
        <f>IF($D758="",0,IF($F758&lt;2,0,IF($E758="Win",('Guide &amp; Settings'!$C$42/(($F758-1)*COUNTIFS($A$4:$A$1510,$A758,$E$4:$E$1510,"Win")))*SUMIFS($Z$4:$Z$1510,$A$4:$A$1510,$A758,$E$4:$E$1510,"Loss"),-('Guide &amp; Settings'!$C$42/($F758-1))*$Z758)))</f>
        <v>0</v>
      </c>
      <c r="AB758" s="126">
        <f t="shared" si="236"/>
        <v>0</v>
      </c>
      <c r="AC758" s="126" t="str">
        <f>IF($D758="","",IF($AD758=0,0,IF(COUNTIFS($D$4:$D758,$D758,$B$4:$B758,$B758)&gt;1,0,IF($B758&lt;'Guide &amp; Settings'!$C$50,0,IF(($B758-$AD758)/7-'Guide &amp; Settings'!$C$48&gt;=0,(INT(($B758-$AD758)/7-'Guide &amp; Settings'!$C$48)+1)*'Guide &amp; Settings'!$C$49,0)))))</f>
        <v/>
      </c>
      <c r="AD758" s="142">
        <f t="shared" si="237"/>
        <v>0</v>
      </c>
      <c r="AE758">
        <f t="shared" si="238"/>
        <v>0</v>
      </c>
      <c r="AF758">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42">
        <f t="shared" si="237"/>
        <v>0</v>
      </c>
      <c r="AE759">
        <f t="shared" si="238"/>
        <v>0</v>
      </c>
      <c r="AF759">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42">
        <f t="shared" si="237"/>
        <v>0</v>
      </c>
      <c r="AE760">
        <f t="shared" si="238"/>
        <v>0</v>
      </c>
      <c r="AF760">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42">
        <f t="shared" si="237"/>
        <v>0</v>
      </c>
      <c r="AE761">
        <f t="shared" si="238"/>
        <v>0</v>
      </c>
      <c r="AF761">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42">
        <f t="shared" si="237"/>
        <v>0</v>
      </c>
      <c r="AE762">
        <f t="shared" si="238"/>
        <v>0</v>
      </c>
      <c r="AF762">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42">
        <f t="shared" si="237"/>
        <v>0</v>
      </c>
      <c r="AE763">
        <f t="shared" si="238"/>
        <v>0</v>
      </c>
      <c r="AF763">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42">
        <f t="shared" si="237"/>
        <v>0</v>
      </c>
      <c r="AE764">
        <f t="shared" si="238"/>
        <v>0</v>
      </c>
      <c r="AF764">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42">
        <f t="shared" si="237"/>
        <v>0</v>
      </c>
      <c r="AE765">
        <f t="shared" si="238"/>
        <v>0</v>
      </c>
      <c r="AF765">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42">
        <f t="shared" si="237"/>
        <v>0</v>
      </c>
      <c r="AE766">
        <f t="shared" si="238"/>
        <v>0</v>
      </c>
      <c r="AF766">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42">
        <f t="shared" si="237"/>
        <v>0</v>
      </c>
      <c r="AE767">
        <f t="shared" si="238"/>
        <v>0</v>
      </c>
      <c r="AF7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42">
        <f t="shared" si="237"/>
        <v>0</v>
      </c>
      <c r="AE768">
        <f t="shared" si="238"/>
        <v>0</v>
      </c>
      <c r="AF768">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42">
        <f t="shared" si="237"/>
        <v>0</v>
      </c>
      <c r="AE769">
        <f t="shared" si="238"/>
        <v>0</v>
      </c>
      <c r="AF769">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42">
        <f t="shared" si="237"/>
        <v>0</v>
      </c>
      <c r="AE770">
        <f t="shared" si="238"/>
        <v>0</v>
      </c>
      <c r="AF770">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42">
        <f t="shared" si="237"/>
        <v>0</v>
      </c>
      <c r="AE771">
        <f t="shared" si="238"/>
        <v>0</v>
      </c>
      <c r="AF771">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42">
        <f t="shared" ref="AD772:AD835" si="257">IF($D772="",0,SUMPRODUCT(MAX(($D$4:$D$1510=$D772)*($B$4:$B$1510&lt;$B772)*$B$4:$B$1510)))</f>
        <v>0</v>
      </c>
      <c r="AE772">
        <f t="shared" ref="AE772:AE835" si="258">IF($D772="",0,COUNTIFS($A$4:$A$1510,$A772,$E$4:$E$1510,"Win"))</f>
        <v>0</v>
      </c>
      <c r="AF772">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42">
        <f t="shared" si="257"/>
        <v>0</v>
      </c>
      <c r="AE773">
        <f t="shared" si="258"/>
        <v>0</v>
      </c>
      <c r="AF773">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42">
        <f t="shared" si="257"/>
        <v>0</v>
      </c>
      <c r="AE774">
        <f t="shared" si="258"/>
        <v>0</v>
      </c>
      <c r="AF774">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42">
        <f t="shared" si="257"/>
        <v>0</v>
      </c>
      <c r="AE775">
        <f t="shared" si="258"/>
        <v>0</v>
      </c>
      <c r="AF775">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42">
        <f t="shared" si="257"/>
        <v>0</v>
      </c>
      <c r="AE776">
        <f t="shared" si="258"/>
        <v>0</v>
      </c>
      <c r="AF776">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42">
        <f t="shared" si="257"/>
        <v>0</v>
      </c>
      <c r="AE777">
        <f t="shared" si="258"/>
        <v>0</v>
      </c>
      <c r="AF77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42">
        <f t="shared" si="257"/>
        <v>0</v>
      </c>
      <c r="AE778">
        <f t="shared" si="258"/>
        <v>0</v>
      </c>
      <c r="AF778">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42">
        <f t="shared" si="257"/>
        <v>0</v>
      </c>
      <c r="AE779">
        <f t="shared" si="258"/>
        <v>0</v>
      </c>
      <c r="AF779">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42">
        <f t="shared" si="257"/>
        <v>0</v>
      </c>
      <c r="AE780">
        <f t="shared" si="258"/>
        <v>0</v>
      </c>
      <c r="AF780">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42">
        <f t="shared" si="257"/>
        <v>0</v>
      </c>
      <c r="AE781">
        <f t="shared" si="258"/>
        <v>0</v>
      </c>
      <c r="AF781">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42">
        <f t="shared" si="257"/>
        <v>0</v>
      </c>
      <c r="AE782">
        <f t="shared" si="258"/>
        <v>0</v>
      </c>
      <c r="AF782">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42">
        <f t="shared" si="257"/>
        <v>0</v>
      </c>
      <c r="AE783">
        <f t="shared" si="258"/>
        <v>0</v>
      </c>
      <c r="AF783">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42">
        <f t="shared" si="257"/>
        <v>0</v>
      </c>
      <c r="AE784">
        <f t="shared" si="258"/>
        <v>0</v>
      </c>
      <c r="AF784">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42">
        <f t="shared" si="257"/>
        <v>0</v>
      </c>
      <c r="AE785">
        <f t="shared" si="258"/>
        <v>0</v>
      </c>
      <c r="AF785">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42">
        <f t="shared" si="257"/>
        <v>0</v>
      </c>
      <c r="AE786">
        <f t="shared" si="258"/>
        <v>0</v>
      </c>
      <c r="AF786">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42">
        <f t="shared" si="257"/>
        <v>0</v>
      </c>
      <c r="AE787">
        <f t="shared" si="258"/>
        <v>0</v>
      </c>
      <c r="AF78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42">
        <f t="shared" si="257"/>
        <v>0</v>
      </c>
      <c r="AE788">
        <f t="shared" si="258"/>
        <v>0</v>
      </c>
      <c r="AF788">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42">
        <f t="shared" si="257"/>
        <v>0</v>
      </c>
      <c r="AE789">
        <f t="shared" si="258"/>
        <v>0</v>
      </c>
      <c r="AF789">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42">
        <f t="shared" si="257"/>
        <v>0</v>
      </c>
      <c r="AE790">
        <f t="shared" si="258"/>
        <v>0</v>
      </c>
      <c r="AF790">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42">
        <f t="shared" si="257"/>
        <v>0</v>
      </c>
      <c r="AE791">
        <f t="shared" si="258"/>
        <v>0</v>
      </c>
      <c r="AF791">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42">
        <f t="shared" si="257"/>
        <v>0</v>
      </c>
      <c r="AE792">
        <f t="shared" si="258"/>
        <v>0</v>
      </c>
      <c r="AF792">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42">
        <f t="shared" si="257"/>
        <v>0</v>
      </c>
      <c r="AE793">
        <f t="shared" si="258"/>
        <v>0</v>
      </c>
      <c r="AF793">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42">
        <f t="shared" si="257"/>
        <v>0</v>
      </c>
      <c r="AE794">
        <f t="shared" si="258"/>
        <v>0</v>
      </c>
      <c r="AF794">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42">
        <f t="shared" si="257"/>
        <v>0</v>
      </c>
      <c r="AE795">
        <f t="shared" si="258"/>
        <v>0</v>
      </c>
      <c r="AF795">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42">
        <f t="shared" si="257"/>
        <v>0</v>
      </c>
      <c r="AE796">
        <f t="shared" si="258"/>
        <v>0</v>
      </c>
      <c r="AF796">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42">
        <f t="shared" si="257"/>
        <v>0</v>
      </c>
      <c r="AE797">
        <f t="shared" si="258"/>
        <v>0</v>
      </c>
      <c r="AF79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42">
        <f t="shared" si="257"/>
        <v>0</v>
      </c>
      <c r="AE798">
        <f t="shared" si="258"/>
        <v>0</v>
      </c>
      <c r="AF798">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42">
        <f t="shared" si="257"/>
        <v>0</v>
      </c>
      <c r="AE799">
        <f t="shared" si="258"/>
        <v>0</v>
      </c>
      <c r="AF799">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42">
        <f t="shared" si="257"/>
        <v>0</v>
      </c>
      <c r="AE800">
        <f t="shared" si="258"/>
        <v>0</v>
      </c>
      <c r="AF800">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42">
        <f t="shared" si="257"/>
        <v>0</v>
      </c>
      <c r="AE801">
        <f t="shared" si="258"/>
        <v>0</v>
      </c>
      <c r="AF801">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42">
        <f t="shared" si="257"/>
        <v>0</v>
      </c>
      <c r="AE802">
        <f t="shared" si="258"/>
        <v>0</v>
      </c>
      <c r="AF802">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42">
        <f t="shared" si="257"/>
        <v>0</v>
      </c>
      <c r="AE803">
        <f t="shared" si="258"/>
        <v>0</v>
      </c>
      <c r="AF803">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42">
        <f t="shared" si="257"/>
        <v>0</v>
      </c>
      <c r="AE804">
        <f t="shared" si="258"/>
        <v>0</v>
      </c>
      <c r="AF804">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42">
        <f t="shared" si="257"/>
        <v>0</v>
      </c>
      <c r="AE805">
        <f t="shared" si="258"/>
        <v>0</v>
      </c>
      <c r="AF805">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42">
        <f t="shared" si="257"/>
        <v>0</v>
      </c>
      <c r="AE806">
        <f t="shared" si="258"/>
        <v>0</v>
      </c>
      <c r="AF806">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42">
        <f t="shared" si="257"/>
        <v>0</v>
      </c>
      <c r="AE807">
        <f t="shared" si="258"/>
        <v>0</v>
      </c>
      <c r="AF80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42">
        <f t="shared" si="257"/>
        <v>0</v>
      </c>
      <c r="AE808">
        <f t="shared" si="258"/>
        <v>0</v>
      </c>
      <c r="AF808">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42">
        <f t="shared" si="257"/>
        <v>0</v>
      </c>
      <c r="AE809">
        <f t="shared" si="258"/>
        <v>0</v>
      </c>
      <c r="AF809">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42">
        <f t="shared" si="257"/>
        <v>0</v>
      </c>
      <c r="AE810">
        <f t="shared" si="258"/>
        <v>0</v>
      </c>
      <c r="AF810">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42">
        <f t="shared" si="257"/>
        <v>0</v>
      </c>
      <c r="AE811">
        <f t="shared" si="258"/>
        <v>0</v>
      </c>
      <c r="AF811">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42">
        <f t="shared" si="257"/>
        <v>0</v>
      </c>
      <c r="AE812">
        <f t="shared" si="258"/>
        <v>0</v>
      </c>
      <c r="AF812">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42">
        <f t="shared" si="257"/>
        <v>0</v>
      </c>
      <c r="AE813">
        <f t="shared" si="258"/>
        <v>0</v>
      </c>
      <c r="AF813">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42">
        <f t="shared" si="257"/>
        <v>0</v>
      </c>
      <c r="AE814">
        <f t="shared" si="258"/>
        <v>0</v>
      </c>
      <c r="AF814">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42">
        <f t="shared" si="257"/>
        <v>0</v>
      </c>
      <c r="AE815">
        <f t="shared" si="258"/>
        <v>0</v>
      </c>
      <c r="AF815">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42">
        <f t="shared" si="257"/>
        <v>0</v>
      </c>
      <c r="AE816">
        <f t="shared" si="258"/>
        <v>0</v>
      </c>
      <c r="AF816">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42">
        <f t="shared" si="257"/>
        <v>0</v>
      </c>
      <c r="AE817">
        <f t="shared" si="258"/>
        <v>0</v>
      </c>
      <c r="AF81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42">
        <f t="shared" si="257"/>
        <v>0</v>
      </c>
      <c r="AE818">
        <f t="shared" si="258"/>
        <v>0</v>
      </c>
      <c r="AF818">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42">
        <f t="shared" si="257"/>
        <v>0</v>
      </c>
      <c r="AE819">
        <f t="shared" si="258"/>
        <v>0</v>
      </c>
      <c r="AF819">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42">
        <f t="shared" si="257"/>
        <v>0</v>
      </c>
      <c r="AE820">
        <f t="shared" si="258"/>
        <v>0</v>
      </c>
      <c r="AF820">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42">
        <f t="shared" si="257"/>
        <v>0</v>
      </c>
      <c r="AE821">
        <f t="shared" si="258"/>
        <v>0</v>
      </c>
      <c r="AF821">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42">
        <f t="shared" si="257"/>
        <v>0</v>
      </c>
      <c r="AE822">
        <f t="shared" si="258"/>
        <v>0</v>
      </c>
      <c r="AF822">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42">
        <f t="shared" si="257"/>
        <v>0</v>
      </c>
      <c r="AE823">
        <f t="shared" si="258"/>
        <v>0</v>
      </c>
      <c r="AF823">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42">
        <f t="shared" si="257"/>
        <v>0</v>
      </c>
      <c r="AE824">
        <f t="shared" si="258"/>
        <v>0</v>
      </c>
      <c r="AF824">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42">
        <f t="shared" si="257"/>
        <v>0</v>
      </c>
      <c r="AE825">
        <f t="shared" si="258"/>
        <v>0</v>
      </c>
      <c r="AF825">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42">
        <f t="shared" si="257"/>
        <v>0</v>
      </c>
      <c r="AE826">
        <f t="shared" si="258"/>
        <v>0</v>
      </c>
      <c r="AF826">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42">
        <f t="shared" si="257"/>
        <v>0</v>
      </c>
      <c r="AE827">
        <f t="shared" si="258"/>
        <v>0</v>
      </c>
      <c r="AF82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42">
        <f t="shared" si="257"/>
        <v>0</v>
      </c>
      <c r="AE828">
        <f t="shared" si="258"/>
        <v>0</v>
      </c>
      <c r="AF828">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42">
        <f t="shared" si="257"/>
        <v>0</v>
      </c>
      <c r="AE829">
        <f t="shared" si="258"/>
        <v>0</v>
      </c>
      <c r="AF829">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42">
        <f t="shared" si="257"/>
        <v>0</v>
      </c>
      <c r="AE830">
        <f t="shared" si="258"/>
        <v>0</v>
      </c>
      <c r="AF830">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42">
        <f t="shared" si="257"/>
        <v>0</v>
      </c>
      <c r="AE831">
        <f t="shared" si="258"/>
        <v>0</v>
      </c>
      <c r="AF831">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42">
        <f t="shared" si="257"/>
        <v>0</v>
      </c>
      <c r="AE832">
        <f t="shared" si="258"/>
        <v>0</v>
      </c>
      <c r="AF832">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42">
        <f t="shared" si="257"/>
        <v>0</v>
      </c>
      <c r="AE833">
        <f t="shared" si="258"/>
        <v>0</v>
      </c>
      <c r="AF833">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42">
        <f t="shared" si="257"/>
        <v>0</v>
      </c>
      <c r="AE834">
        <f t="shared" si="258"/>
        <v>0</v>
      </c>
      <c r="AF834">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42">
        <f t="shared" si="257"/>
        <v>0</v>
      </c>
      <c r="AE835">
        <f t="shared" si="258"/>
        <v>0</v>
      </c>
      <c r="AF835">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42">
        <f t="shared" ref="AD836:AD899" si="277">IF($D836="",0,SUMPRODUCT(MAX(($D$4:$D$1510=$D836)*($B$4:$B$1510&lt;$B836)*$B$4:$B$1510)))</f>
        <v>0</v>
      </c>
      <c r="AE836">
        <f t="shared" ref="AE836:AE899" si="278">IF($D836="",0,COUNTIFS($A$4:$A$1510,$A836,$E$4:$E$1510,"Win"))</f>
        <v>0</v>
      </c>
      <c r="AF836">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42">
        <f t="shared" si="277"/>
        <v>0</v>
      </c>
      <c r="AE837">
        <f t="shared" si="278"/>
        <v>0</v>
      </c>
      <c r="AF83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42">
        <f t="shared" si="277"/>
        <v>0</v>
      </c>
      <c r="AE838">
        <f t="shared" si="278"/>
        <v>0</v>
      </c>
      <c r="AF838">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42">
        <f t="shared" si="277"/>
        <v>0</v>
      </c>
      <c r="AE839">
        <f t="shared" si="278"/>
        <v>0</v>
      </c>
      <c r="AF839">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42">
        <f t="shared" si="277"/>
        <v>0</v>
      </c>
      <c r="AE840">
        <f t="shared" si="278"/>
        <v>0</v>
      </c>
      <c r="AF840">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42">
        <f t="shared" si="277"/>
        <v>0</v>
      </c>
      <c r="AE841">
        <f t="shared" si="278"/>
        <v>0</v>
      </c>
      <c r="AF841">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42">
        <f t="shared" si="277"/>
        <v>0</v>
      </c>
      <c r="AE842">
        <f t="shared" si="278"/>
        <v>0</v>
      </c>
      <c r="AF842">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42">
        <f t="shared" si="277"/>
        <v>0</v>
      </c>
      <c r="AE843">
        <f t="shared" si="278"/>
        <v>0</v>
      </c>
      <c r="AF843">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42">
        <f t="shared" si="277"/>
        <v>0</v>
      </c>
      <c r="AE844">
        <f t="shared" si="278"/>
        <v>0</v>
      </c>
      <c r="AF844">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42">
        <f t="shared" si="277"/>
        <v>0</v>
      </c>
      <c r="AE845">
        <f t="shared" si="278"/>
        <v>0</v>
      </c>
      <c r="AF845">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42">
        <f t="shared" si="277"/>
        <v>0</v>
      </c>
      <c r="AE846">
        <f t="shared" si="278"/>
        <v>0</v>
      </c>
      <c r="AF846">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42">
        <f t="shared" si="277"/>
        <v>0</v>
      </c>
      <c r="AE847">
        <f t="shared" si="278"/>
        <v>0</v>
      </c>
      <c r="AF84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42">
        <f t="shared" si="277"/>
        <v>0</v>
      </c>
      <c r="AE848">
        <f t="shared" si="278"/>
        <v>0</v>
      </c>
      <c r="AF848">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42">
        <f t="shared" si="277"/>
        <v>0</v>
      </c>
      <c r="AE849">
        <f t="shared" si="278"/>
        <v>0</v>
      </c>
      <c r="AF849">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42">
        <f t="shared" si="277"/>
        <v>0</v>
      </c>
      <c r="AE850">
        <f t="shared" si="278"/>
        <v>0</v>
      </c>
      <c r="AF850">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42">
        <f t="shared" si="277"/>
        <v>0</v>
      </c>
      <c r="AE851">
        <f t="shared" si="278"/>
        <v>0</v>
      </c>
      <c r="AF851">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42">
        <f t="shared" si="277"/>
        <v>0</v>
      </c>
      <c r="AE852">
        <f t="shared" si="278"/>
        <v>0</v>
      </c>
      <c r="AF852">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42">
        <f t="shared" si="277"/>
        <v>0</v>
      </c>
      <c r="AE853">
        <f t="shared" si="278"/>
        <v>0</v>
      </c>
      <c r="AF853">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42">
        <f t="shared" si="277"/>
        <v>0</v>
      </c>
      <c r="AE854">
        <f t="shared" si="278"/>
        <v>0</v>
      </c>
      <c r="AF854">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42">
        <f t="shared" si="277"/>
        <v>0</v>
      </c>
      <c r="AE855">
        <f t="shared" si="278"/>
        <v>0</v>
      </c>
      <c r="AF855">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42">
        <f t="shared" si="277"/>
        <v>0</v>
      </c>
      <c r="AE856">
        <f t="shared" si="278"/>
        <v>0</v>
      </c>
      <c r="AF856">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42">
        <f t="shared" si="277"/>
        <v>0</v>
      </c>
      <c r="AE857">
        <f t="shared" si="278"/>
        <v>0</v>
      </c>
      <c r="AF85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42">
        <f t="shared" si="277"/>
        <v>0</v>
      </c>
      <c r="AE858">
        <f t="shared" si="278"/>
        <v>0</v>
      </c>
      <c r="AF858">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42">
        <f t="shared" si="277"/>
        <v>0</v>
      </c>
      <c r="AE859">
        <f t="shared" si="278"/>
        <v>0</v>
      </c>
      <c r="AF859">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42">
        <f t="shared" si="277"/>
        <v>0</v>
      </c>
      <c r="AE860">
        <f t="shared" si="278"/>
        <v>0</v>
      </c>
      <c r="AF860">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42">
        <f t="shared" si="277"/>
        <v>0</v>
      </c>
      <c r="AE861">
        <f t="shared" si="278"/>
        <v>0</v>
      </c>
      <c r="AF861">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42">
        <f t="shared" si="277"/>
        <v>0</v>
      </c>
      <c r="AE862">
        <f t="shared" si="278"/>
        <v>0</v>
      </c>
      <c r="AF862">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42">
        <f t="shared" si="277"/>
        <v>0</v>
      </c>
      <c r="AE863">
        <f t="shared" si="278"/>
        <v>0</v>
      </c>
      <c r="AF863">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42">
        <f t="shared" si="277"/>
        <v>0</v>
      </c>
      <c r="AE864">
        <f t="shared" si="278"/>
        <v>0</v>
      </c>
      <c r="AF864">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42">
        <f t="shared" si="277"/>
        <v>0</v>
      </c>
      <c r="AE865">
        <f t="shared" si="278"/>
        <v>0</v>
      </c>
      <c r="AF865">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42">
        <f t="shared" si="277"/>
        <v>0</v>
      </c>
      <c r="AE866">
        <f t="shared" si="278"/>
        <v>0</v>
      </c>
      <c r="AF866">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42">
        <f t="shared" si="277"/>
        <v>0</v>
      </c>
      <c r="AE867">
        <f t="shared" si="278"/>
        <v>0</v>
      </c>
      <c r="AF8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42">
        <f t="shared" si="277"/>
        <v>0</v>
      </c>
      <c r="AE868">
        <f t="shared" si="278"/>
        <v>0</v>
      </c>
      <c r="AF868">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42">
        <f t="shared" si="277"/>
        <v>0</v>
      </c>
      <c r="AE869">
        <f t="shared" si="278"/>
        <v>0</v>
      </c>
      <c r="AF869">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42">
        <f t="shared" si="277"/>
        <v>0</v>
      </c>
      <c r="AE870">
        <f t="shared" si="278"/>
        <v>0</v>
      </c>
      <c r="AF870">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42">
        <f t="shared" si="277"/>
        <v>0</v>
      </c>
      <c r="AE871">
        <f t="shared" si="278"/>
        <v>0</v>
      </c>
      <c r="AF871">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42">
        <f t="shared" si="277"/>
        <v>0</v>
      </c>
      <c r="AE872">
        <f t="shared" si="278"/>
        <v>0</v>
      </c>
      <c r="AF872">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42">
        <f t="shared" si="277"/>
        <v>0</v>
      </c>
      <c r="AE873">
        <f t="shared" si="278"/>
        <v>0</v>
      </c>
      <c r="AF873">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42">
        <f t="shared" si="277"/>
        <v>0</v>
      </c>
      <c r="AE874">
        <f t="shared" si="278"/>
        <v>0</v>
      </c>
      <c r="AF874">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42">
        <f t="shared" si="277"/>
        <v>0</v>
      </c>
      <c r="AE875">
        <f t="shared" si="278"/>
        <v>0</v>
      </c>
      <c r="AF875">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42">
        <f t="shared" si="277"/>
        <v>0</v>
      </c>
      <c r="AE876">
        <f t="shared" si="278"/>
        <v>0</v>
      </c>
      <c r="AF876">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42">
        <f t="shared" si="277"/>
        <v>0</v>
      </c>
      <c r="AE877">
        <f t="shared" si="278"/>
        <v>0</v>
      </c>
      <c r="AF87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42">
        <f t="shared" si="277"/>
        <v>0</v>
      </c>
      <c r="AE878">
        <f t="shared" si="278"/>
        <v>0</v>
      </c>
      <c r="AF878">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42">
        <f t="shared" si="277"/>
        <v>0</v>
      </c>
      <c r="AE879">
        <f t="shared" si="278"/>
        <v>0</v>
      </c>
      <c r="AF879">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42">
        <f t="shared" si="277"/>
        <v>0</v>
      </c>
      <c r="AE880">
        <f t="shared" si="278"/>
        <v>0</v>
      </c>
      <c r="AF880">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42">
        <f t="shared" si="277"/>
        <v>0</v>
      </c>
      <c r="AE881">
        <f t="shared" si="278"/>
        <v>0</v>
      </c>
      <c r="AF881">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42">
        <f t="shared" si="277"/>
        <v>0</v>
      </c>
      <c r="AE882">
        <f t="shared" si="278"/>
        <v>0</v>
      </c>
      <c r="AF882">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42">
        <f t="shared" si="277"/>
        <v>0</v>
      </c>
      <c r="AE883">
        <f t="shared" si="278"/>
        <v>0</v>
      </c>
      <c r="AF883">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42">
        <f t="shared" si="277"/>
        <v>0</v>
      </c>
      <c r="AE884">
        <f t="shared" si="278"/>
        <v>0</v>
      </c>
      <c r="AF884">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42">
        <f t="shared" si="277"/>
        <v>0</v>
      </c>
      <c r="AE885">
        <f t="shared" si="278"/>
        <v>0</v>
      </c>
      <c r="AF885">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42">
        <f t="shared" si="277"/>
        <v>0</v>
      </c>
      <c r="AE886">
        <f t="shared" si="278"/>
        <v>0</v>
      </c>
      <c r="AF886">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42">
        <f t="shared" si="277"/>
        <v>0</v>
      </c>
      <c r="AE887">
        <f t="shared" si="278"/>
        <v>0</v>
      </c>
      <c r="AF88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42">
        <f t="shared" si="277"/>
        <v>0</v>
      </c>
      <c r="AE888">
        <f t="shared" si="278"/>
        <v>0</v>
      </c>
      <c r="AF888">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42">
        <f t="shared" si="277"/>
        <v>0</v>
      </c>
      <c r="AE889">
        <f t="shared" si="278"/>
        <v>0</v>
      </c>
      <c r="AF889">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42">
        <f t="shared" si="277"/>
        <v>0</v>
      </c>
      <c r="AE890">
        <f t="shared" si="278"/>
        <v>0</v>
      </c>
      <c r="AF890">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42">
        <f t="shared" si="277"/>
        <v>0</v>
      </c>
      <c r="AE891">
        <f t="shared" si="278"/>
        <v>0</v>
      </c>
      <c r="AF891">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42">
        <f t="shared" si="277"/>
        <v>0</v>
      </c>
      <c r="AE892">
        <f t="shared" si="278"/>
        <v>0</v>
      </c>
      <c r="AF892">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42">
        <f t="shared" si="277"/>
        <v>0</v>
      </c>
      <c r="AE893">
        <f t="shared" si="278"/>
        <v>0</v>
      </c>
      <c r="AF893">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42">
        <f t="shared" si="277"/>
        <v>0</v>
      </c>
      <c r="AE894">
        <f t="shared" si="278"/>
        <v>0</v>
      </c>
      <c r="AF894">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42">
        <f t="shared" si="277"/>
        <v>0</v>
      </c>
      <c r="AE895">
        <f t="shared" si="278"/>
        <v>0</v>
      </c>
      <c r="AF895">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42">
        <f t="shared" si="277"/>
        <v>0</v>
      </c>
      <c r="AE896">
        <f t="shared" si="278"/>
        <v>0</v>
      </c>
      <c r="AF896">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42">
        <f t="shared" si="277"/>
        <v>0</v>
      </c>
      <c r="AE897">
        <f t="shared" si="278"/>
        <v>0</v>
      </c>
      <c r="AF89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42">
        <f t="shared" si="277"/>
        <v>0</v>
      </c>
      <c r="AE898">
        <f t="shared" si="278"/>
        <v>0</v>
      </c>
      <c r="AF898">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42">
        <f t="shared" si="277"/>
        <v>0</v>
      </c>
      <c r="AE899">
        <f t="shared" si="278"/>
        <v>0</v>
      </c>
      <c r="AF899">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42">
        <f t="shared" ref="AD900:AD963" si="297">IF($D900="",0,SUMPRODUCT(MAX(($D$4:$D$1510=$D900)*($B$4:$B$1510&lt;$B900)*$B$4:$B$1510)))</f>
        <v>0</v>
      </c>
      <c r="AE900">
        <f t="shared" ref="AE900:AE963" si="298">IF($D900="",0,COUNTIFS($A$4:$A$1510,$A900,$E$4:$E$1510,"Win"))</f>
        <v>0</v>
      </c>
      <c r="AF900">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42">
        <f t="shared" si="297"/>
        <v>0</v>
      </c>
      <c r="AE901">
        <f t="shared" si="298"/>
        <v>0</v>
      </c>
      <c r="AF901">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42">
        <f t="shared" si="297"/>
        <v>0</v>
      </c>
      <c r="AE902">
        <f t="shared" si="298"/>
        <v>0</v>
      </c>
      <c r="AF902">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42">
        <f t="shared" si="297"/>
        <v>0</v>
      </c>
      <c r="AE903">
        <f t="shared" si="298"/>
        <v>0</v>
      </c>
      <c r="AF903">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42">
        <f t="shared" si="297"/>
        <v>0</v>
      </c>
      <c r="AE904">
        <f t="shared" si="298"/>
        <v>0</v>
      </c>
      <c r="AF904">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42">
        <f t="shared" si="297"/>
        <v>0</v>
      </c>
      <c r="AE905">
        <f t="shared" si="298"/>
        <v>0</v>
      </c>
      <c r="AF905">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42">
        <f t="shared" si="297"/>
        <v>0</v>
      </c>
      <c r="AE906">
        <f t="shared" si="298"/>
        <v>0</v>
      </c>
      <c r="AF906">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42">
        <f t="shared" si="297"/>
        <v>0</v>
      </c>
      <c r="AE907">
        <f t="shared" si="298"/>
        <v>0</v>
      </c>
      <c r="AF90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42">
        <f t="shared" si="297"/>
        <v>0</v>
      </c>
      <c r="AE908">
        <f t="shared" si="298"/>
        <v>0</v>
      </c>
      <c r="AF908">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42">
        <f t="shared" si="297"/>
        <v>0</v>
      </c>
      <c r="AE909">
        <f t="shared" si="298"/>
        <v>0</v>
      </c>
      <c r="AF909">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42">
        <f t="shared" si="297"/>
        <v>0</v>
      </c>
      <c r="AE910">
        <f t="shared" si="298"/>
        <v>0</v>
      </c>
      <c r="AF910">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42">
        <f t="shared" si="297"/>
        <v>0</v>
      </c>
      <c r="AE911">
        <f t="shared" si="298"/>
        <v>0</v>
      </c>
      <c r="AF911">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42">
        <f t="shared" si="297"/>
        <v>0</v>
      </c>
      <c r="AE912">
        <f t="shared" si="298"/>
        <v>0</v>
      </c>
      <c r="AF912">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42">
        <f t="shared" si="297"/>
        <v>0</v>
      </c>
      <c r="AE913">
        <f t="shared" si="298"/>
        <v>0</v>
      </c>
      <c r="AF913">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42">
        <f t="shared" si="297"/>
        <v>0</v>
      </c>
      <c r="AE914">
        <f t="shared" si="298"/>
        <v>0</v>
      </c>
      <c r="AF914">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42">
        <f t="shared" si="297"/>
        <v>0</v>
      </c>
      <c r="AE915">
        <f t="shared" si="298"/>
        <v>0</v>
      </c>
      <c r="AF915">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42">
        <f t="shared" si="297"/>
        <v>0</v>
      </c>
      <c r="AE916">
        <f t="shared" si="298"/>
        <v>0</v>
      </c>
      <c r="AF916">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42">
        <f t="shared" si="297"/>
        <v>0</v>
      </c>
      <c r="AE917">
        <f t="shared" si="298"/>
        <v>0</v>
      </c>
      <c r="AF91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42">
        <f t="shared" si="297"/>
        <v>0</v>
      </c>
      <c r="AE918">
        <f t="shared" si="298"/>
        <v>0</v>
      </c>
      <c r="AF918">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42">
        <f t="shared" si="297"/>
        <v>0</v>
      </c>
      <c r="AE919">
        <f t="shared" si="298"/>
        <v>0</v>
      </c>
      <c r="AF919">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42">
        <f t="shared" si="297"/>
        <v>0</v>
      </c>
      <c r="AE920">
        <f t="shared" si="298"/>
        <v>0</v>
      </c>
      <c r="AF920">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42">
        <f t="shared" si="297"/>
        <v>0</v>
      </c>
      <c r="AE921">
        <f t="shared" si="298"/>
        <v>0</v>
      </c>
      <c r="AF921">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42">
        <f t="shared" si="297"/>
        <v>0</v>
      </c>
      <c r="AE922">
        <f t="shared" si="298"/>
        <v>0</v>
      </c>
      <c r="AF922">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42">
        <f t="shared" si="297"/>
        <v>0</v>
      </c>
      <c r="AE923">
        <f t="shared" si="298"/>
        <v>0</v>
      </c>
      <c r="AF923">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42">
        <f t="shared" si="297"/>
        <v>0</v>
      </c>
      <c r="AE924">
        <f t="shared" si="298"/>
        <v>0</v>
      </c>
      <c r="AF924">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42">
        <f t="shared" si="297"/>
        <v>0</v>
      </c>
      <c r="AE925">
        <f t="shared" si="298"/>
        <v>0</v>
      </c>
      <c r="AF925">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42">
        <f t="shared" si="297"/>
        <v>0</v>
      </c>
      <c r="AE926">
        <f t="shared" si="298"/>
        <v>0</v>
      </c>
      <c r="AF926">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42">
        <f t="shared" si="297"/>
        <v>0</v>
      </c>
      <c r="AE927">
        <f t="shared" si="298"/>
        <v>0</v>
      </c>
      <c r="AF92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42">
        <f t="shared" si="297"/>
        <v>0</v>
      </c>
      <c r="AE928">
        <f t="shared" si="298"/>
        <v>0</v>
      </c>
      <c r="AF928">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42">
        <f t="shared" si="297"/>
        <v>0</v>
      </c>
      <c r="AE929">
        <f t="shared" si="298"/>
        <v>0</v>
      </c>
      <c r="AF929">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42">
        <f t="shared" si="297"/>
        <v>0</v>
      </c>
      <c r="AE930">
        <f t="shared" si="298"/>
        <v>0</v>
      </c>
      <c r="AF930">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42">
        <f t="shared" si="297"/>
        <v>0</v>
      </c>
      <c r="AE931">
        <f t="shared" si="298"/>
        <v>0</v>
      </c>
      <c r="AF931">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42">
        <f t="shared" si="297"/>
        <v>0</v>
      </c>
      <c r="AE932">
        <f t="shared" si="298"/>
        <v>0</v>
      </c>
      <c r="AF932">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42">
        <f t="shared" si="297"/>
        <v>0</v>
      </c>
      <c r="AE933">
        <f t="shared" si="298"/>
        <v>0</v>
      </c>
      <c r="AF933">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42">
        <f t="shared" si="297"/>
        <v>0</v>
      </c>
      <c r="AE934">
        <f t="shared" si="298"/>
        <v>0</v>
      </c>
      <c r="AF934">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42">
        <f t="shared" si="297"/>
        <v>0</v>
      </c>
      <c r="AE935">
        <f t="shared" si="298"/>
        <v>0</v>
      </c>
      <c r="AF935">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42">
        <f t="shared" si="297"/>
        <v>0</v>
      </c>
      <c r="AE936">
        <f t="shared" si="298"/>
        <v>0</v>
      </c>
      <c r="AF936">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42">
        <f t="shared" si="297"/>
        <v>0</v>
      </c>
      <c r="AE937">
        <f t="shared" si="298"/>
        <v>0</v>
      </c>
      <c r="AF93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42">
        <f t="shared" si="297"/>
        <v>0</v>
      </c>
      <c r="AE938">
        <f t="shared" si="298"/>
        <v>0</v>
      </c>
      <c r="AF938">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42">
        <f t="shared" si="297"/>
        <v>0</v>
      </c>
      <c r="AE939">
        <f t="shared" si="298"/>
        <v>0</v>
      </c>
      <c r="AF939">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42">
        <f t="shared" si="297"/>
        <v>0</v>
      </c>
      <c r="AE940">
        <f t="shared" si="298"/>
        <v>0</v>
      </c>
      <c r="AF940">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42">
        <f t="shared" si="297"/>
        <v>0</v>
      </c>
      <c r="AE941">
        <f t="shared" si="298"/>
        <v>0</v>
      </c>
      <c r="AF941">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42">
        <f t="shared" si="297"/>
        <v>0</v>
      </c>
      <c r="AE942">
        <f t="shared" si="298"/>
        <v>0</v>
      </c>
      <c r="AF942">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42">
        <f t="shared" si="297"/>
        <v>0</v>
      </c>
      <c r="AE943">
        <f t="shared" si="298"/>
        <v>0</v>
      </c>
      <c r="AF943">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42">
        <f t="shared" si="297"/>
        <v>0</v>
      </c>
      <c r="AE944">
        <f t="shared" si="298"/>
        <v>0</v>
      </c>
      <c r="AF944">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42">
        <f t="shared" si="297"/>
        <v>0</v>
      </c>
      <c r="AE945">
        <f t="shared" si="298"/>
        <v>0</v>
      </c>
      <c r="AF945">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42">
        <f t="shared" si="297"/>
        <v>0</v>
      </c>
      <c r="AE946">
        <f t="shared" si="298"/>
        <v>0</v>
      </c>
      <c r="AF946">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42">
        <f t="shared" si="297"/>
        <v>0</v>
      </c>
      <c r="AE947">
        <f t="shared" si="298"/>
        <v>0</v>
      </c>
      <c r="AF94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42">
        <f t="shared" si="297"/>
        <v>0</v>
      </c>
      <c r="AE948">
        <f t="shared" si="298"/>
        <v>0</v>
      </c>
      <c r="AF948">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42">
        <f t="shared" si="297"/>
        <v>0</v>
      </c>
      <c r="AE949">
        <f t="shared" si="298"/>
        <v>0</v>
      </c>
      <c r="AF949">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42">
        <f t="shared" si="297"/>
        <v>0</v>
      </c>
      <c r="AE950">
        <f t="shared" si="298"/>
        <v>0</v>
      </c>
      <c r="AF950">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42">
        <f t="shared" si="297"/>
        <v>0</v>
      </c>
      <c r="AE951">
        <f t="shared" si="298"/>
        <v>0</v>
      </c>
      <c r="AF951">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42">
        <f t="shared" si="297"/>
        <v>0</v>
      </c>
      <c r="AE952">
        <f t="shared" si="298"/>
        <v>0</v>
      </c>
      <c r="AF952">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42">
        <f t="shared" si="297"/>
        <v>0</v>
      </c>
      <c r="AE953">
        <f t="shared" si="298"/>
        <v>0</v>
      </c>
      <c r="AF953">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42">
        <f t="shared" si="297"/>
        <v>0</v>
      </c>
      <c r="AE954">
        <f t="shared" si="298"/>
        <v>0</v>
      </c>
      <c r="AF954">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42">
        <f t="shared" si="297"/>
        <v>0</v>
      </c>
      <c r="AE955">
        <f t="shared" si="298"/>
        <v>0</v>
      </c>
      <c r="AF955">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42">
        <f t="shared" si="297"/>
        <v>0</v>
      </c>
      <c r="AE956">
        <f t="shared" si="298"/>
        <v>0</v>
      </c>
      <c r="AF956">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42">
        <f t="shared" si="297"/>
        <v>0</v>
      </c>
      <c r="AE957">
        <f t="shared" si="298"/>
        <v>0</v>
      </c>
      <c r="AF95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42">
        <f t="shared" si="297"/>
        <v>0</v>
      </c>
      <c r="AE958">
        <f t="shared" si="298"/>
        <v>0</v>
      </c>
      <c r="AF958">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42">
        <f t="shared" si="297"/>
        <v>0</v>
      </c>
      <c r="AE959">
        <f t="shared" si="298"/>
        <v>0</v>
      </c>
      <c r="AF959">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42">
        <f t="shared" si="297"/>
        <v>0</v>
      </c>
      <c r="AE960">
        <f t="shared" si="298"/>
        <v>0</v>
      </c>
      <c r="AF960">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42">
        <f t="shared" si="297"/>
        <v>0</v>
      </c>
      <c r="AE961">
        <f t="shared" si="298"/>
        <v>0</v>
      </c>
      <c r="AF961">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42">
        <f t="shared" si="297"/>
        <v>0</v>
      </c>
      <c r="AE962">
        <f t="shared" si="298"/>
        <v>0</v>
      </c>
      <c r="AF962">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42">
        <f t="shared" si="297"/>
        <v>0</v>
      </c>
      <c r="AE963">
        <f t="shared" si="298"/>
        <v>0</v>
      </c>
      <c r="AF963">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42">
        <f t="shared" ref="AD964:AD1027" si="317">IF($D964="",0,SUMPRODUCT(MAX(($D$4:$D$1510=$D964)*($B$4:$B$1510&lt;$B964)*$B$4:$B$1510)))</f>
        <v>0</v>
      </c>
      <c r="AE964">
        <f t="shared" ref="AE964:AE1027" si="318">IF($D964="",0,COUNTIFS($A$4:$A$1510,$A964,$E$4:$E$1510,"Win"))</f>
        <v>0</v>
      </c>
      <c r="AF964">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42">
        <f t="shared" si="317"/>
        <v>0</v>
      </c>
      <c r="AE965">
        <f t="shared" si="318"/>
        <v>0</v>
      </c>
      <c r="AF965">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42">
        <f t="shared" si="317"/>
        <v>0</v>
      </c>
      <c r="AE966">
        <f t="shared" si="318"/>
        <v>0</v>
      </c>
      <c r="AF966">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42">
        <f t="shared" si="317"/>
        <v>0</v>
      </c>
      <c r="AE967">
        <f t="shared" si="318"/>
        <v>0</v>
      </c>
      <c r="AF9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42">
        <f t="shared" si="317"/>
        <v>0</v>
      </c>
      <c r="AE968">
        <f t="shared" si="318"/>
        <v>0</v>
      </c>
      <c r="AF968">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42">
        <f t="shared" si="317"/>
        <v>0</v>
      </c>
      <c r="AE969">
        <f t="shared" si="318"/>
        <v>0</v>
      </c>
      <c r="AF969">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42">
        <f t="shared" si="317"/>
        <v>0</v>
      </c>
      <c r="AE970">
        <f t="shared" si="318"/>
        <v>0</v>
      </c>
      <c r="AF970">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42">
        <f t="shared" si="317"/>
        <v>0</v>
      </c>
      <c r="AE971">
        <f t="shared" si="318"/>
        <v>0</v>
      </c>
      <c r="AF971">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42">
        <f t="shared" si="317"/>
        <v>0</v>
      </c>
      <c r="AE972">
        <f t="shared" si="318"/>
        <v>0</v>
      </c>
      <c r="AF972">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42">
        <f t="shared" si="317"/>
        <v>0</v>
      </c>
      <c r="AE973">
        <f t="shared" si="318"/>
        <v>0</v>
      </c>
      <c r="AF973">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42">
        <f t="shared" si="317"/>
        <v>0</v>
      </c>
      <c r="AE974">
        <f t="shared" si="318"/>
        <v>0</v>
      </c>
      <c r="AF974">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42">
        <f t="shared" si="317"/>
        <v>0</v>
      </c>
      <c r="AE975">
        <f t="shared" si="318"/>
        <v>0</v>
      </c>
      <c r="AF975">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42">
        <f t="shared" si="317"/>
        <v>0</v>
      </c>
      <c r="AE976">
        <f t="shared" si="318"/>
        <v>0</v>
      </c>
      <c r="AF976">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42">
        <f t="shared" si="317"/>
        <v>0</v>
      </c>
      <c r="AE977">
        <f t="shared" si="318"/>
        <v>0</v>
      </c>
      <c r="AF97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42">
        <f t="shared" si="317"/>
        <v>0</v>
      </c>
      <c r="AE978">
        <f t="shared" si="318"/>
        <v>0</v>
      </c>
      <c r="AF978">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42">
        <f t="shared" si="317"/>
        <v>0</v>
      </c>
      <c r="AE979">
        <f t="shared" si="318"/>
        <v>0</v>
      </c>
      <c r="AF979">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42">
        <f t="shared" si="317"/>
        <v>0</v>
      </c>
      <c r="AE980">
        <f t="shared" si="318"/>
        <v>0</v>
      </c>
      <c r="AF980">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42">
        <f t="shared" si="317"/>
        <v>0</v>
      </c>
      <c r="AE981">
        <f t="shared" si="318"/>
        <v>0</v>
      </c>
      <c r="AF981">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42">
        <f t="shared" si="317"/>
        <v>0</v>
      </c>
      <c r="AE982">
        <f t="shared" si="318"/>
        <v>0</v>
      </c>
      <c r="AF982">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42">
        <f t="shared" si="317"/>
        <v>0</v>
      </c>
      <c r="AE983">
        <f t="shared" si="318"/>
        <v>0</v>
      </c>
      <c r="AF983">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42">
        <f t="shared" si="317"/>
        <v>0</v>
      </c>
      <c r="AE984">
        <f t="shared" si="318"/>
        <v>0</v>
      </c>
      <c r="AF984">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42">
        <f t="shared" si="317"/>
        <v>0</v>
      </c>
      <c r="AE985">
        <f t="shared" si="318"/>
        <v>0</v>
      </c>
      <c r="AF985">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42">
        <f t="shared" si="317"/>
        <v>0</v>
      </c>
      <c r="AE986">
        <f t="shared" si="318"/>
        <v>0</v>
      </c>
      <c r="AF986">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42">
        <f t="shared" si="317"/>
        <v>0</v>
      </c>
      <c r="AE987">
        <f t="shared" si="318"/>
        <v>0</v>
      </c>
      <c r="AF98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42">
        <f t="shared" si="317"/>
        <v>0</v>
      </c>
      <c r="AE988">
        <f t="shared" si="318"/>
        <v>0</v>
      </c>
      <c r="AF988">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42">
        <f t="shared" si="317"/>
        <v>0</v>
      </c>
      <c r="AE989">
        <f t="shared" si="318"/>
        <v>0</v>
      </c>
      <c r="AF989">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42">
        <f t="shared" si="317"/>
        <v>0</v>
      </c>
      <c r="AE990">
        <f t="shared" si="318"/>
        <v>0</v>
      </c>
      <c r="AF990">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42">
        <f t="shared" si="317"/>
        <v>0</v>
      </c>
      <c r="AE991">
        <f t="shared" si="318"/>
        <v>0</v>
      </c>
      <c r="AF991">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42">
        <f t="shared" si="317"/>
        <v>0</v>
      </c>
      <c r="AE992">
        <f t="shared" si="318"/>
        <v>0</v>
      </c>
      <c r="AF992">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42">
        <f t="shared" si="317"/>
        <v>0</v>
      </c>
      <c r="AE993">
        <f t="shared" si="318"/>
        <v>0</v>
      </c>
      <c r="AF993">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42">
        <f t="shared" si="317"/>
        <v>0</v>
      </c>
      <c r="AE994">
        <f t="shared" si="318"/>
        <v>0</v>
      </c>
      <c r="AF994">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42">
        <f t="shared" si="317"/>
        <v>0</v>
      </c>
      <c r="AE995">
        <f t="shared" si="318"/>
        <v>0</v>
      </c>
      <c r="AF995">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42">
        <f t="shared" si="317"/>
        <v>0</v>
      </c>
      <c r="AE996">
        <f t="shared" si="318"/>
        <v>0</v>
      </c>
      <c r="AF996">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42">
        <f t="shared" si="317"/>
        <v>0</v>
      </c>
      <c r="AE997">
        <f t="shared" si="318"/>
        <v>0</v>
      </c>
      <c r="AF99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42">
        <f t="shared" si="317"/>
        <v>0</v>
      </c>
      <c r="AE998">
        <f t="shared" si="318"/>
        <v>0</v>
      </c>
      <c r="AF998">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42">
        <f t="shared" si="317"/>
        <v>0</v>
      </c>
      <c r="AE999">
        <f t="shared" si="318"/>
        <v>0</v>
      </c>
      <c r="AF999">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42">
        <f t="shared" si="317"/>
        <v>0</v>
      </c>
      <c r="AE1000">
        <f t="shared" si="318"/>
        <v>0</v>
      </c>
      <c r="AF1000">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42">
        <f t="shared" si="317"/>
        <v>0</v>
      </c>
      <c r="AE1001">
        <f t="shared" si="318"/>
        <v>0</v>
      </c>
      <c r="AF1001">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42">
        <f t="shared" si="317"/>
        <v>0</v>
      </c>
      <c r="AE1002">
        <f t="shared" si="318"/>
        <v>0</v>
      </c>
      <c r="AF1002">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42">
        <f t="shared" si="317"/>
        <v>0</v>
      </c>
      <c r="AE1003">
        <f t="shared" si="318"/>
        <v>0</v>
      </c>
      <c r="AF1003">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42">
        <f t="shared" si="317"/>
        <v>0</v>
      </c>
      <c r="AE1004">
        <f t="shared" si="318"/>
        <v>0</v>
      </c>
      <c r="AF1004">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42">
        <f t="shared" si="317"/>
        <v>0</v>
      </c>
      <c r="AE1005">
        <f t="shared" si="318"/>
        <v>0</v>
      </c>
      <c r="AF1005">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42">
        <f t="shared" si="317"/>
        <v>0</v>
      </c>
      <c r="AE1006">
        <f t="shared" si="318"/>
        <v>0</v>
      </c>
      <c r="AF1006">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42">
        <f t="shared" si="317"/>
        <v>0</v>
      </c>
      <c r="AE1007">
        <f t="shared" si="318"/>
        <v>0</v>
      </c>
      <c r="AF100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42">
        <f t="shared" si="317"/>
        <v>0</v>
      </c>
      <c r="AE1008">
        <f t="shared" si="318"/>
        <v>0</v>
      </c>
      <c r="AF1008">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42">
        <f t="shared" si="317"/>
        <v>0</v>
      </c>
      <c r="AE1009">
        <f t="shared" si="318"/>
        <v>0</v>
      </c>
      <c r="AF1009">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42">
        <f t="shared" si="317"/>
        <v>0</v>
      </c>
      <c r="AE1010">
        <f t="shared" si="318"/>
        <v>0</v>
      </c>
      <c r="AF1010">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42">
        <f t="shared" si="317"/>
        <v>0</v>
      </c>
      <c r="AE1011">
        <f t="shared" si="318"/>
        <v>0</v>
      </c>
      <c r="AF1011">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42">
        <f t="shared" si="317"/>
        <v>0</v>
      </c>
      <c r="AE1012">
        <f t="shared" si="318"/>
        <v>0</v>
      </c>
      <c r="AF1012">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42">
        <f t="shared" si="317"/>
        <v>0</v>
      </c>
      <c r="AE1013">
        <f t="shared" si="318"/>
        <v>0</v>
      </c>
      <c r="AF1013">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42">
        <f t="shared" si="317"/>
        <v>0</v>
      </c>
      <c r="AE1014">
        <f t="shared" si="318"/>
        <v>0</v>
      </c>
      <c r="AF1014">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42">
        <f t="shared" si="317"/>
        <v>0</v>
      </c>
      <c r="AE1015">
        <f t="shared" si="318"/>
        <v>0</v>
      </c>
      <c r="AF1015">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42">
        <f t="shared" si="317"/>
        <v>0</v>
      </c>
      <c r="AE1016">
        <f t="shared" si="318"/>
        <v>0</v>
      </c>
      <c r="AF1016">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42">
        <f t="shared" si="317"/>
        <v>0</v>
      </c>
      <c r="AE1017">
        <f t="shared" si="318"/>
        <v>0</v>
      </c>
      <c r="AF101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42">
        <f t="shared" si="317"/>
        <v>0</v>
      </c>
      <c r="AE1018">
        <f t="shared" si="318"/>
        <v>0</v>
      </c>
      <c r="AF1018">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42">
        <f t="shared" si="317"/>
        <v>0</v>
      </c>
      <c r="AE1019">
        <f t="shared" si="318"/>
        <v>0</v>
      </c>
      <c r="AF1019">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42">
        <f t="shared" si="317"/>
        <v>0</v>
      </c>
      <c r="AE1020">
        <f t="shared" si="318"/>
        <v>0</v>
      </c>
      <c r="AF1020">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42">
        <f t="shared" si="317"/>
        <v>0</v>
      </c>
      <c r="AE1021">
        <f t="shared" si="318"/>
        <v>0</v>
      </c>
      <c r="AF1021">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42">
        <f t="shared" si="317"/>
        <v>0</v>
      </c>
      <c r="AE1022">
        <f t="shared" si="318"/>
        <v>0</v>
      </c>
      <c r="AF1022">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42">
        <f t="shared" si="317"/>
        <v>0</v>
      </c>
      <c r="AE1023">
        <f t="shared" si="318"/>
        <v>0</v>
      </c>
      <c r="AF1023">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42">
        <f t="shared" si="317"/>
        <v>0</v>
      </c>
      <c r="AE1024">
        <f t="shared" si="318"/>
        <v>0</v>
      </c>
      <c r="AF1024">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42">
        <f t="shared" si="317"/>
        <v>0</v>
      </c>
      <c r="AE1025">
        <f t="shared" si="318"/>
        <v>0</v>
      </c>
      <c r="AF1025">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42">
        <f t="shared" si="317"/>
        <v>0</v>
      </c>
      <c r="AE1026">
        <f t="shared" si="318"/>
        <v>0</v>
      </c>
      <c r="AF1026">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42">
        <f t="shared" si="317"/>
        <v>0</v>
      </c>
      <c r="AE1027">
        <f t="shared" si="318"/>
        <v>0</v>
      </c>
      <c r="AF102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42">
        <f t="shared" ref="AD1028:AD1091" si="337">IF($D1028="",0,SUMPRODUCT(MAX(($D$4:$D$1510=$D1028)*($B$4:$B$1510&lt;$B1028)*$B$4:$B$1510)))</f>
        <v>0</v>
      </c>
      <c r="AE1028">
        <f t="shared" ref="AE1028:AE1091" si="338">IF($D1028="",0,COUNTIFS($A$4:$A$1510,$A1028,$E$4:$E$1510,"Win"))</f>
        <v>0</v>
      </c>
      <c r="AF1028">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42">
        <f t="shared" si="337"/>
        <v>0</v>
      </c>
      <c r="AE1029">
        <f t="shared" si="338"/>
        <v>0</v>
      </c>
      <c r="AF1029">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42">
        <f t="shared" si="337"/>
        <v>0</v>
      </c>
      <c r="AE1030">
        <f t="shared" si="338"/>
        <v>0</v>
      </c>
      <c r="AF1030">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42">
        <f t="shared" si="337"/>
        <v>0</v>
      </c>
      <c r="AE1031">
        <f t="shared" si="338"/>
        <v>0</v>
      </c>
      <c r="AF1031">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42">
        <f t="shared" si="337"/>
        <v>0</v>
      </c>
      <c r="AE1032">
        <f t="shared" si="338"/>
        <v>0</v>
      </c>
      <c r="AF1032">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42">
        <f t="shared" si="337"/>
        <v>0</v>
      </c>
      <c r="AE1033">
        <f t="shared" si="338"/>
        <v>0</v>
      </c>
      <c r="AF1033">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42">
        <f t="shared" si="337"/>
        <v>0</v>
      </c>
      <c r="AE1034">
        <f t="shared" si="338"/>
        <v>0</v>
      </c>
      <c r="AF1034">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42">
        <f t="shared" si="337"/>
        <v>0</v>
      </c>
      <c r="AE1035">
        <f t="shared" si="338"/>
        <v>0</v>
      </c>
      <c r="AF1035">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42">
        <f t="shared" si="337"/>
        <v>0</v>
      </c>
      <c r="AE1036">
        <f t="shared" si="338"/>
        <v>0</v>
      </c>
      <c r="AF1036">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42">
        <f t="shared" si="337"/>
        <v>0</v>
      </c>
      <c r="AE1037">
        <f t="shared" si="338"/>
        <v>0</v>
      </c>
      <c r="AF103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42">
        <f t="shared" si="337"/>
        <v>0</v>
      </c>
      <c r="AE1038">
        <f t="shared" si="338"/>
        <v>0</v>
      </c>
      <c r="AF1038">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42">
        <f t="shared" si="337"/>
        <v>0</v>
      </c>
      <c r="AE1039">
        <f t="shared" si="338"/>
        <v>0</v>
      </c>
      <c r="AF1039">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42">
        <f t="shared" si="337"/>
        <v>0</v>
      </c>
      <c r="AE1040">
        <f t="shared" si="338"/>
        <v>0</v>
      </c>
      <c r="AF1040">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42">
        <f t="shared" si="337"/>
        <v>0</v>
      </c>
      <c r="AE1041">
        <f t="shared" si="338"/>
        <v>0</v>
      </c>
      <c r="AF1041">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42">
        <f t="shared" si="337"/>
        <v>0</v>
      </c>
      <c r="AE1042">
        <f t="shared" si="338"/>
        <v>0</v>
      </c>
      <c r="AF1042">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42">
        <f t="shared" si="337"/>
        <v>0</v>
      </c>
      <c r="AE1043">
        <f t="shared" si="338"/>
        <v>0</v>
      </c>
      <c r="AF1043">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42">
        <f t="shared" si="337"/>
        <v>0</v>
      </c>
      <c r="AE1044">
        <f t="shared" si="338"/>
        <v>0</v>
      </c>
      <c r="AF1044">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42">
        <f t="shared" si="337"/>
        <v>0</v>
      </c>
      <c r="AE1045">
        <f t="shared" si="338"/>
        <v>0</v>
      </c>
      <c r="AF1045">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42">
        <f t="shared" si="337"/>
        <v>0</v>
      </c>
      <c r="AE1046">
        <f t="shared" si="338"/>
        <v>0</v>
      </c>
      <c r="AF1046">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42">
        <f t="shared" si="337"/>
        <v>0</v>
      </c>
      <c r="AE1047">
        <f t="shared" si="338"/>
        <v>0</v>
      </c>
      <c r="AF104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42">
        <f t="shared" si="337"/>
        <v>0</v>
      </c>
      <c r="AE1048">
        <f t="shared" si="338"/>
        <v>0</v>
      </c>
      <c r="AF1048">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42">
        <f t="shared" si="337"/>
        <v>0</v>
      </c>
      <c r="AE1049">
        <f t="shared" si="338"/>
        <v>0</v>
      </c>
      <c r="AF1049">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42">
        <f t="shared" si="337"/>
        <v>0</v>
      </c>
      <c r="AE1050">
        <f t="shared" si="338"/>
        <v>0</v>
      </c>
      <c r="AF1050">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42">
        <f t="shared" si="337"/>
        <v>0</v>
      </c>
      <c r="AE1051">
        <f t="shared" si="338"/>
        <v>0</v>
      </c>
      <c r="AF1051">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42">
        <f t="shared" si="337"/>
        <v>0</v>
      </c>
      <c r="AE1052">
        <f t="shared" si="338"/>
        <v>0</v>
      </c>
      <c r="AF1052">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42">
        <f t="shared" si="337"/>
        <v>0</v>
      </c>
      <c r="AE1053">
        <f t="shared" si="338"/>
        <v>0</v>
      </c>
      <c r="AF1053">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42">
        <f t="shared" si="337"/>
        <v>0</v>
      </c>
      <c r="AE1054">
        <f t="shared" si="338"/>
        <v>0</v>
      </c>
      <c r="AF1054">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42">
        <f t="shared" si="337"/>
        <v>0</v>
      </c>
      <c r="AE1055">
        <f t="shared" si="338"/>
        <v>0</v>
      </c>
      <c r="AF1055">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42">
        <f t="shared" si="337"/>
        <v>0</v>
      </c>
      <c r="AE1056">
        <f t="shared" si="338"/>
        <v>0</v>
      </c>
      <c r="AF1056">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42">
        <f t="shared" si="337"/>
        <v>0</v>
      </c>
      <c r="AE1057">
        <f t="shared" si="338"/>
        <v>0</v>
      </c>
      <c r="AF105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42">
        <f t="shared" si="337"/>
        <v>0</v>
      </c>
      <c r="AE1058">
        <f t="shared" si="338"/>
        <v>0</v>
      </c>
      <c r="AF1058">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42">
        <f t="shared" si="337"/>
        <v>0</v>
      </c>
      <c r="AE1059">
        <f t="shared" si="338"/>
        <v>0</v>
      </c>
      <c r="AF1059">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42">
        <f t="shared" si="337"/>
        <v>0</v>
      </c>
      <c r="AE1060">
        <f t="shared" si="338"/>
        <v>0</v>
      </c>
      <c r="AF1060">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42">
        <f t="shared" si="337"/>
        <v>0</v>
      </c>
      <c r="AE1061">
        <f t="shared" si="338"/>
        <v>0</v>
      </c>
      <c r="AF1061">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42">
        <f t="shared" si="337"/>
        <v>0</v>
      </c>
      <c r="AE1062">
        <f t="shared" si="338"/>
        <v>0</v>
      </c>
      <c r="AF1062">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42">
        <f t="shared" si="337"/>
        <v>0</v>
      </c>
      <c r="AE1063">
        <f t="shared" si="338"/>
        <v>0</v>
      </c>
      <c r="AF1063">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42">
        <f t="shared" si="337"/>
        <v>0</v>
      </c>
      <c r="AE1064">
        <f t="shared" si="338"/>
        <v>0</v>
      </c>
      <c r="AF1064">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42">
        <f t="shared" si="337"/>
        <v>0</v>
      </c>
      <c r="AE1065">
        <f t="shared" si="338"/>
        <v>0</v>
      </c>
      <c r="AF1065">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42">
        <f t="shared" si="337"/>
        <v>0</v>
      </c>
      <c r="AE1066">
        <f t="shared" si="338"/>
        <v>0</v>
      </c>
      <c r="AF1066">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42">
        <f t="shared" si="337"/>
        <v>0</v>
      </c>
      <c r="AE1067">
        <f t="shared" si="338"/>
        <v>0</v>
      </c>
      <c r="AF10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42">
        <f t="shared" si="337"/>
        <v>0</v>
      </c>
      <c r="AE1068">
        <f t="shared" si="338"/>
        <v>0</v>
      </c>
      <c r="AF1068">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42">
        <f t="shared" si="337"/>
        <v>0</v>
      </c>
      <c r="AE1069">
        <f t="shared" si="338"/>
        <v>0</v>
      </c>
      <c r="AF1069">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42">
        <f t="shared" si="337"/>
        <v>0</v>
      </c>
      <c r="AE1070">
        <f t="shared" si="338"/>
        <v>0</v>
      </c>
      <c r="AF1070">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42">
        <f t="shared" si="337"/>
        <v>0</v>
      </c>
      <c r="AE1071">
        <f t="shared" si="338"/>
        <v>0</v>
      </c>
      <c r="AF1071">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42">
        <f t="shared" si="337"/>
        <v>0</v>
      </c>
      <c r="AE1072">
        <f t="shared" si="338"/>
        <v>0</v>
      </c>
      <c r="AF1072">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42">
        <f t="shared" si="337"/>
        <v>0</v>
      </c>
      <c r="AE1073">
        <f t="shared" si="338"/>
        <v>0</v>
      </c>
      <c r="AF1073">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42">
        <f t="shared" si="337"/>
        <v>0</v>
      </c>
      <c r="AE1074">
        <f t="shared" si="338"/>
        <v>0</v>
      </c>
      <c r="AF1074">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42">
        <f t="shared" si="337"/>
        <v>0</v>
      </c>
      <c r="AE1075">
        <f t="shared" si="338"/>
        <v>0</v>
      </c>
      <c r="AF1075">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42">
        <f t="shared" si="337"/>
        <v>0</v>
      </c>
      <c r="AE1076">
        <f t="shared" si="338"/>
        <v>0</v>
      </c>
      <c r="AF1076">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42">
        <f t="shared" si="337"/>
        <v>0</v>
      </c>
      <c r="AE1077">
        <f t="shared" si="338"/>
        <v>0</v>
      </c>
      <c r="AF107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42">
        <f t="shared" si="337"/>
        <v>0</v>
      </c>
      <c r="AE1078">
        <f t="shared" si="338"/>
        <v>0</v>
      </c>
      <c r="AF1078">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42">
        <f t="shared" si="337"/>
        <v>0</v>
      </c>
      <c r="AE1079">
        <f t="shared" si="338"/>
        <v>0</v>
      </c>
      <c r="AF1079">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42">
        <f t="shared" si="337"/>
        <v>0</v>
      </c>
      <c r="AE1080">
        <f t="shared" si="338"/>
        <v>0</v>
      </c>
      <c r="AF1080">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42">
        <f t="shared" si="337"/>
        <v>0</v>
      </c>
      <c r="AE1081">
        <f t="shared" si="338"/>
        <v>0</v>
      </c>
      <c r="AF1081">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42">
        <f t="shared" si="337"/>
        <v>0</v>
      </c>
      <c r="AE1082">
        <f t="shared" si="338"/>
        <v>0</v>
      </c>
      <c r="AF1082">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42">
        <f t="shared" si="337"/>
        <v>0</v>
      </c>
      <c r="AE1083">
        <f t="shared" si="338"/>
        <v>0</v>
      </c>
      <c r="AF1083">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42">
        <f t="shared" si="337"/>
        <v>0</v>
      </c>
      <c r="AE1084">
        <f t="shared" si="338"/>
        <v>0</v>
      </c>
      <c r="AF1084">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42">
        <f t="shared" si="337"/>
        <v>0</v>
      </c>
      <c r="AE1085">
        <f t="shared" si="338"/>
        <v>0</v>
      </c>
      <c r="AF1085">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42">
        <f t="shared" si="337"/>
        <v>0</v>
      </c>
      <c r="AE1086">
        <f t="shared" si="338"/>
        <v>0</v>
      </c>
      <c r="AF1086">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42">
        <f t="shared" si="337"/>
        <v>0</v>
      </c>
      <c r="AE1087">
        <f t="shared" si="338"/>
        <v>0</v>
      </c>
      <c r="AF108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42">
        <f t="shared" si="337"/>
        <v>0</v>
      </c>
      <c r="AE1088">
        <f t="shared" si="338"/>
        <v>0</v>
      </c>
      <c r="AF1088">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42">
        <f t="shared" si="337"/>
        <v>0</v>
      </c>
      <c r="AE1089">
        <f t="shared" si="338"/>
        <v>0</v>
      </c>
      <c r="AF1089">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42">
        <f t="shared" si="337"/>
        <v>0</v>
      </c>
      <c r="AE1090">
        <f t="shared" si="338"/>
        <v>0</v>
      </c>
      <c r="AF1090">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42">
        <f t="shared" si="337"/>
        <v>0</v>
      </c>
      <c r="AE1091">
        <f t="shared" si="338"/>
        <v>0</v>
      </c>
      <c r="AF1091">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42">
        <f t="shared" ref="AD1092:AD1155" si="357">IF($D1092="",0,SUMPRODUCT(MAX(($D$4:$D$1510=$D1092)*($B$4:$B$1510&lt;$B1092)*$B$4:$B$1510)))</f>
        <v>0</v>
      </c>
      <c r="AE1092">
        <f t="shared" ref="AE1092:AE1155" si="358">IF($D1092="",0,COUNTIFS($A$4:$A$1510,$A1092,$E$4:$E$1510,"Win"))</f>
        <v>0</v>
      </c>
      <c r="AF1092">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42">
        <f t="shared" si="357"/>
        <v>0</v>
      </c>
      <c r="AE1093">
        <f t="shared" si="358"/>
        <v>0</v>
      </c>
      <c r="AF1093">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42">
        <f t="shared" si="357"/>
        <v>0</v>
      </c>
      <c r="AE1094">
        <f t="shared" si="358"/>
        <v>0</v>
      </c>
      <c r="AF1094">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42">
        <f t="shared" si="357"/>
        <v>0</v>
      </c>
      <c r="AE1095">
        <f t="shared" si="358"/>
        <v>0</v>
      </c>
      <c r="AF1095">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42">
        <f t="shared" si="357"/>
        <v>0</v>
      </c>
      <c r="AE1096">
        <f t="shared" si="358"/>
        <v>0</v>
      </c>
      <c r="AF1096">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42">
        <f t="shared" si="357"/>
        <v>0</v>
      </c>
      <c r="AE1097">
        <f t="shared" si="358"/>
        <v>0</v>
      </c>
      <c r="AF109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42">
        <f t="shared" si="357"/>
        <v>0</v>
      </c>
      <c r="AE1098">
        <f t="shared" si="358"/>
        <v>0</v>
      </c>
      <c r="AF1098">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42">
        <f t="shared" si="357"/>
        <v>0</v>
      </c>
      <c r="AE1099">
        <f t="shared" si="358"/>
        <v>0</v>
      </c>
      <c r="AF1099">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42">
        <f t="shared" si="357"/>
        <v>0</v>
      </c>
      <c r="AE1100">
        <f t="shared" si="358"/>
        <v>0</v>
      </c>
      <c r="AF1100">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42">
        <f t="shared" si="357"/>
        <v>0</v>
      </c>
      <c r="AE1101">
        <f t="shared" si="358"/>
        <v>0</v>
      </c>
      <c r="AF1101">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42">
        <f t="shared" si="357"/>
        <v>0</v>
      </c>
      <c r="AE1102">
        <f t="shared" si="358"/>
        <v>0</v>
      </c>
      <c r="AF1102">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42">
        <f t="shared" si="357"/>
        <v>0</v>
      </c>
      <c r="AE1103">
        <f t="shared" si="358"/>
        <v>0</v>
      </c>
      <c r="AF1103">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42">
        <f t="shared" si="357"/>
        <v>0</v>
      </c>
      <c r="AE1104">
        <f t="shared" si="358"/>
        <v>0</v>
      </c>
      <c r="AF1104">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42">
        <f t="shared" si="357"/>
        <v>0</v>
      </c>
      <c r="AE1105">
        <f t="shared" si="358"/>
        <v>0</v>
      </c>
      <c r="AF1105">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42">
        <f t="shared" si="357"/>
        <v>0</v>
      </c>
      <c r="AE1106">
        <f t="shared" si="358"/>
        <v>0</v>
      </c>
      <c r="AF1106">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42">
        <f t="shared" si="357"/>
        <v>0</v>
      </c>
      <c r="AE1107">
        <f t="shared" si="358"/>
        <v>0</v>
      </c>
      <c r="AF110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42">
        <f t="shared" si="357"/>
        <v>0</v>
      </c>
      <c r="AE1108">
        <f t="shared" si="358"/>
        <v>0</v>
      </c>
      <c r="AF1108">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42">
        <f t="shared" si="357"/>
        <v>0</v>
      </c>
      <c r="AE1109">
        <f t="shared" si="358"/>
        <v>0</v>
      </c>
      <c r="AF1109">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42">
        <f t="shared" si="357"/>
        <v>0</v>
      </c>
      <c r="AE1110">
        <f t="shared" si="358"/>
        <v>0</v>
      </c>
      <c r="AF1110">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42">
        <f t="shared" si="357"/>
        <v>0</v>
      </c>
      <c r="AE1111">
        <f t="shared" si="358"/>
        <v>0</v>
      </c>
      <c r="AF1111">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42">
        <f t="shared" si="357"/>
        <v>0</v>
      </c>
      <c r="AE1112">
        <f t="shared" si="358"/>
        <v>0</v>
      </c>
      <c r="AF1112">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42">
        <f t="shared" si="357"/>
        <v>0</v>
      </c>
      <c r="AE1113">
        <f t="shared" si="358"/>
        <v>0</v>
      </c>
      <c r="AF1113">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42">
        <f t="shared" si="357"/>
        <v>0</v>
      </c>
      <c r="AE1114">
        <f t="shared" si="358"/>
        <v>0</v>
      </c>
      <c r="AF1114">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42">
        <f t="shared" si="357"/>
        <v>0</v>
      </c>
      <c r="AE1115">
        <f t="shared" si="358"/>
        <v>0</v>
      </c>
      <c r="AF1115">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42">
        <f t="shared" si="357"/>
        <v>0</v>
      </c>
      <c r="AE1116">
        <f t="shared" si="358"/>
        <v>0</v>
      </c>
      <c r="AF1116">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42">
        <f t="shared" si="357"/>
        <v>0</v>
      </c>
      <c r="AE1117">
        <f t="shared" si="358"/>
        <v>0</v>
      </c>
      <c r="AF111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42">
        <f t="shared" si="357"/>
        <v>0</v>
      </c>
      <c r="AE1118">
        <f t="shared" si="358"/>
        <v>0</v>
      </c>
      <c r="AF1118">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42">
        <f t="shared" si="357"/>
        <v>0</v>
      </c>
      <c r="AE1119">
        <f t="shared" si="358"/>
        <v>0</v>
      </c>
      <c r="AF1119">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42">
        <f t="shared" si="357"/>
        <v>0</v>
      </c>
      <c r="AE1120">
        <f t="shared" si="358"/>
        <v>0</v>
      </c>
      <c r="AF1120">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42">
        <f t="shared" si="357"/>
        <v>0</v>
      </c>
      <c r="AE1121">
        <f t="shared" si="358"/>
        <v>0</v>
      </c>
      <c r="AF1121">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42">
        <f t="shared" si="357"/>
        <v>0</v>
      </c>
      <c r="AE1122">
        <f t="shared" si="358"/>
        <v>0</v>
      </c>
      <c r="AF1122">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42">
        <f t="shared" si="357"/>
        <v>0</v>
      </c>
      <c r="AE1123">
        <f t="shared" si="358"/>
        <v>0</v>
      </c>
      <c r="AF1123">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42">
        <f t="shared" si="357"/>
        <v>0</v>
      </c>
      <c r="AE1124">
        <f t="shared" si="358"/>
        <v>0</v>
      </c>
      <c r="AF1124">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42">
        <f t="shared" si="357"/>
        <v>0</v>
      </c>
      <c r="AE1125">
        <f t="shared" si="358"/>
        <v>0</v>
      </c>
      <c r="AF1125">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42">
        <f t="shared" si="357"/>
        <v>0</v>
      </c>
      <c r="AE1126">
        <f t="shared" si="358"/>
        <v>0</v>
      </c>
      <c r="AF1126">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42">
        <f t="shared" si="357"/>
        <v>0</v>
      </c>
      <c r="AE1127">
        <f t="shared" si="358"/>
        <v>0</v>
      </c>
      <c r="AF112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42">
        <f t="shared" si="357"/>
        <v>0</v>
      </c>
      <c r="AE1128">
        <f t="shared" si="358"/>
        <v>0</v>
      </c>
      <c r="AF1128">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42">
        <f t="shared" si="357"/>
        <v>0</v>
      </c>
      <c r="AE1129">
        <f t="shared" si="358"/>
        <v>0</v>
      </c>
      <c r="AF1129">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42">
        <f t="shared" si="357"/>
        <v>0</v>
      </c>
      <c r="AE1130">
        <f t="shared" si="358"/>
        <v>0</v>
      </c>
      <c r="AF1130">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42">
        <f t="shared" si="357"/>
        <v>0</v>
      </c>
      <c r="AE1131">
        <f t="shared" si="358"/>
        <v>0</v>
      </c>
      <c r="AF1131">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42">
        <f t="shared" si="357"/>
        <v>0</v>
      </c>
      <c r="AE1132">
        <f t="shared" si="358"/>
        <v>0</v>
      </c>
      <c r="AF1132">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42">
        <f t="shared" si="357"/>
        <v>0</v>
      </c>
      <c r="AE1133">
        <f t="shared" si="358"/>
        <v>0</v>
      </c>
      <c r="AF1133">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42">
        <f t="shared" si="357"/>
        <v>0</v>
      </c>
      <c r="AE1134">
        <f t="shared" si="358"/>
        <v>0</v>
      </c>
      <c r="AF1134">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42">
        <f t="shared" si="357"/>
        <v>0</v>
      </c>
      <c r="AE1135">
        <f t="shared" si="358"/>
        <v>0</v>
      </c>
      <c r="AF1135">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42">
        <f t="shared" si="357"/>
        <v>0</v>
      </c>
      <c r="AE1136">
        <f t="shared" si="358"/>
        <v>0</v>
      </c>
      <c r="AF1136">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42">
        <f t="shared" si="357"/>
        <v>0</v>
      </c>
      <c r="AE1137">
        <f t="shared" si="358"/>
        <v>0</v>
      </c>
      <c r="AF113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42">
        <f t="shared" si="357"/>
        <v>0</v>
      </c>
      <c r="AE1138">
        <f t="shared" si="358"/>
        <v>0</v>
      </c>
      <c r="AF1138">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42">
        <f t="shared" si="357"/>
        <v>0</v>
      </c>
      <c r="AE1139">
        <f t="shared" si="358"/>
        <v>0</v>
      </c>
      <c r="AF1139">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42">
        <f t="shared" si="357"/>
        <v>0</v>
      </c>
      <c r="AE1140">
        <f t="shared" si="358"/>
        <v>0</v>
      </c>
      <c r="AF1140">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42">
        <f t="shared" si="357"/>
        <v>0</v>
      </c>
      <c r="AE1141">
        <f t="shared" si="358"/>
        <v>0</v>
      </c>
      <c r="AF1141">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42">
        <f t="shared" si="357"/>
        <v>0</v>
      </c>
      <c r="AE1142">
        <f t="shared" si="358"/>
        <v>0</v>
      </c>
      <c r="AF1142">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42">
        <f t="shared" si="357"/>
        <v>0</v>
      </c>
      <c r="AE1143">
        <f t="shared" si="358"/>
        <v>0</v>
      </c>
      <c r="AF1143">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42">
        <f t="shared" si="357"/>
        <v>0</v>
      </c>
      <c r="AE1144">
        <f t="shared" si="358"/>
        <v>0</v>
      </c>
      <c r="AF1144">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42">
        <f t="shared" si="357"/>
        <v>0</v>
      </c>
      <c r="AE1145">
        <f t="shared" si="358"/>
        <v>0</v>
      </c>
      <c r="AF1145">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42">
        <f t="shared" si="357"/>
        <v>0</v>
      </c>
      <c r="AE1146">
        <f t="shared" si="358"/>
        <v>0</v>
      </c>
      <c r="AF1146">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42">
        <f t="shared" si="357"/>
        <v>0</v>
      </c>
      <c r="AE1147">
        <f t="shared" si="358"/>
        <v>0</v>
      </c>
      <c r="AF114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42">
        <f t="shared" si="357"/>
        <v>0</v>
      </c>
      <c r="AE1148">
        <f t="shared" si="358"/>
        <v>0</v>
      </c>
      <c r="AF1148">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42">
        <f t="shared" si="357"/>
        <v>0</v>
      </c>
      <c r="AE1149">
        <f t="shared" si="358"/>
        <v>0</v>
      </c>
      <c r="AF1149">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42">
        <f t="shared" si="357"/>
        <v>0</v>
      </c>
      <c r="AE1150">
        <f t="shared" si="358"/>
        <v>0</v>
      </c>
      <c r="AF1150">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42">
        <f t="shared" si="357"/>
        <v>0</v>
      </c>
      <c r="AE1151">
        <f t="shared" si="358"/>
        <v>0</v>
      </c>
      <c r="AF1151">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42">
        <f t="shared" si="357"/>
        <v>0</v>
      </c>
      <c r="AE1152">
        <f t="shared" si="358"/>
        <v>0</v>
      </c>
      <c r="AF1152">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42">
        <f t="shared" si="357"/>
        <v>0</v>
      </c>
      <c r="AE1153">
        <f t="shared" si="358"/>
        <v>0</v>
      </c>
      <c r="AF1153">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42">
        <f t="shared" si="357"/>
        <v>0</v>
      </c>
      <c r="AE1154">
        <f t="shared" si="358"/>
        <v>0</v>
      </c>
      <c r="AF1154">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42">
        <f t="shared" si="357"/>
        <v>0</v>
      </c>
      <c r="AE1155">
        <f t="shared" si="358"/>
        <v>0</v>
      </c>
      <c r="AF1155">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42">
        <f t="shared" ref="AD1156:AD1219" si="377">IF($D1156="",0,SUMPRODUCT(MAX(($D$4:$D$1510=$D1156)*($B$4:$B$1510&lt;$B1156)*$B$4:$B$1510)))</f>
        <v>0</v>
      </c>
      <c r="AE1156">
        <f t="shared" ref="AE1156:AE1219" si="378">IF($D1156="",0,COUNTIFS($A$4:$A$1510,$A1156,$E$4:$E$1510,"Win"))</f>
        <v>0</v>
      </c>
      <c r="AF1156">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42">
        <f t="shared" si="377"/>
        <v>0</v>
      </c>
      <c r="AE1157">
        <f t="shared" si="378"/>
        <v>0</v>
      </c>
      <c r="AF115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42">
        <f t="shared" si="377"/>
        <v>0</v>
      </c>
      <c r="AE1158">
        <f t="shared" si="378"/>
        <v>0</v>
      </c>
      <c r="AF1158">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42">
        <f t="shared" si="377"/>
        <v>0</v>
      </c>
      <c r="AE1159">
        <f t="shared" si="378"/>
        <v>0</v>
      </c>
      <c r="AF1159">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42">
        <f t="shared" si="377"/>
        <v>0</v>
      </c>
      <c r="AE1160">
        <f t="shared" si="378"/>
        <v>0</v>
      </c>
      <c r="AF1160">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42">
        <f t="shared" si="377"/>
        <v>0</v>
      </c>
      <c r="AE1161">
        <f t="shared" si="378"/>
        <v>0</v>
      </c>
      <c r="AF1161">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42">
        <f t="shared" si="377"/>
        <v>0</v>
      </c>
      <c r="AE1162">
        <f t="shared" si="378"/>
        <v>0</v>
      </c>
      <c r="AF1162">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42">
        <f t="shared" si="377"/>
        <v>0</v>
      </c>
      <c r="AE1163">
        <f t="shared" si="378"/>
        <v>0</v>
      </c>
      <c r="AF1163">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42">
        <f t="shared" si="377"/>
        <v>0</v>
      </c>
      <c r="AE1164">
        <f t="shared" si="378"/>
        <v>0</v>
      </c>
      <c r="AF1164">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42">
        <f t="shared" si="377"/>
        <v>0</v>
      </c>
      <c r="AE1165">
        <f t="shared" si="378"/>
        <v>0</v>
      </c>
      <c r="AF1165">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42">
        <f t="shared" si="377"/>
        <v>0</v>
      </c>
      <c r="AE1166">
        <f t="shared" si="378"/>
        <v>0</v>
      </c>
      <c r="AF1166">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42">
        <f t="shared" si="377"/>
        <v>0</v>
      </c>
      <c r="AE1167">
        <f t="shared" si="378"/>
        <v>0</v>
      </c>
      <c r="AF1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42">
        <f t="shared" si="377"/>
        <v>0</v>
      </c>
      <c r="AE1168">
        <f t="shared" si="378"/>
        <v>0</v>
      </c>
      <c r="AF1168">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42">
        <f t="shared" si="377"/>
        <v>0</v>
      </c>
      <c r="AE1169">
        <f t="shared" si="378"/>
        <v>0</v>
      </c>
      <c r="AF1169">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42">
        <f t="shared" si="377"/>
        <v>0</v>
      </c>
      <c r="AE1170">
        <f t="shared" si="378"/>
        <v>0</v>
      </c>
      <c r="AF1170">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42">
        <f t="shared" si="377"/>
        <v>0</v>
      </c>
      <c r="AE1171">
        <f t="shared" si="378"/>
        <v>0</v>
      </c>
      <c r="AF1171">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42">
        <f t="shared" si="377"/>
        <v>0</v>
      </c>
      <c r="AE1172">
        <f t="shared" si="378"/>
        <v>0</v>
      </c>
      <c r="AF1172">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42">
        <f t="shared" si="377"/>
        <v>0</v>
      </c>
      <c r="AE1173">
        <f t="shared" si="378"/>
        <v>0</v>
      </c>
      <c r="AF1173">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42">
        <f t="shared" si="377"/>
        <v>0</v>
      </c>
      <c r="AE1174">
        <f t="shared" si="378"/>
        <v>0</v>
      </c>
      <c r="AF1174">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42">
        <f t="shared" si="377"/>
        <v>0</v>
      </c>
      <c r="AE1175">
        <f t="shared" si="378"/>
        <v>0</v>
      </c>
      <c r="AF1175">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42">
        <f t="shared" si="377"/>
        <v>0</v>
      </c>
      <c r="AE1176">
        <f t="shared" si="378"/>
        <v>0</v>
      </c>
      <c r="AF1176">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42">
        <f t="shared" si="377"/>
        <v>0</v>
      </c>
      <c r="AE1177">
        <f t="shared" si="378"/>
        <v>0</v>
      </c>
      <c r="AF117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42">
        <f t="shared" si="377"/>
        <v>0</v>
      </c>
      <c r="AE1178">
        <f t="shared" si="378"/>
        <v>0</v>
      </c>
      <c r="AF1178">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42">
        <f t="shared" si="377"/>
        <v>0</v>
      </c>
      <c r="AE1179">
        <f t="shared" si="378"/>
        <v>0</v>
      </c>
      <c r="AF1179">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42">
        <f t="shared" si="377"/>
        <v>0</v>
      </c>
      <c r="AE1180">
        <f t="shared" si="378"/>
        <v>0</v>
      </c>
      <c r="AF1180">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42">
        <f t="shared" si="377"/>
        <v>0</v>
      </c>
      <c r="AE1181">
        <f t="shared" si="378"/>
        <v>0</v>
      </c>
      <c r="AF1181">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42">
        <f t="shared" si="377"/>
        <v>0</v>
      </c>
      <c r="AE1182">
        <f t="shared" si="378"/>
        <v>0</v>
      </c>
      <c r="AF1182">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42">
        <f t="shared" si="377"/>
        <v>0</v>
      </c>
      <c r="AE1183">
        <f t="shared" si="378"/>
        <v>0</v>
      </c>
      <c r="AF1183">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42">
        <f t="shared" si="377"/>
        <v>0</v>
      </c>
      <c r="AE1184">
        <f t="shared" si="378"/>
        <v>0</v>
      </c>
      <c r="AF1184">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42">
        <f t="shared" si="377"/>
        <v>0</v>
      </c>
      <c r="AE1185">
        <f t="shared" si="378"/>
        <v>0</v>
      </c>
      <c r="AF1185">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42">
        <f t="shared" si="377"/>
        <v>0</v>
      </c>
      <c r="AE1186">
        <f t="shared" si="378"/>
        <v>0</v>
      </c>
      <c r="AF1186">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42">
        <f t="shared" si="377"/>
        <v>0</v>
      </c>
      <c r="AE1187">
        <f t="shared" si="378"/>
        <v>0</v>
      </c>
      <c r="AF118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42">
        <f t="shared" si="377"/>
        <v>0</v>
      </c>
      <c r="AE1188">
        <f t="shared" si="378"/>
        <v>0</v>
      </c>
      <c r="AF1188">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42">
        <f t="shared" si="377"/>
        <v>0</v>
      </c>
      <c r="AE1189">
        <f t="shared" si="378"/>
        <v>0</v>
      </c>
      <c r="AF1189">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42">
        <f t="shared" si="377"/>
        <v>0</v>
      </c>
      <c r="AE1190">
        <f t="shared" si="378"/>
        <v>0</v>
      </c>
      <c r="AF1190">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42">
        <f t="shared" si="377"/>
        <v>0</v>
      </c>
      <c r="AE1191">
        <f t="shared" si="378"/>
        <v>0</v>
      </c>
      <c r="AF1191">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42">
        <f t="shared" si="377"/>
        <v>0</v>
      </c>
      <c r="AE1192">
        <f t="shared" si="378"/>
        <v>0</v>
      </c>
      <c r="AF1192">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42">
        <f t="shared" si="377"/>
        <v>0</v>
      </c>
      <c r="AE1193">
        <f t="shared" si="378"/>
        <v>0</v>
      </c>
      <c r="AF1193">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42">
        <f t="shared" si="377"/>
        <v>0</v>
      </c>
      <c r="AE1194">
        <f t="shared" si="378"/>
        <v>0</v>
      </c>
      <c r="AF1194">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42">
        <f t="shared" si="377"/>
        <v>0</v>
      </c>
      <c r="AE1195">
        <f t="shared" si="378"/>
        <v>0</v>
      </c>
      <c r="AF1195">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42">
        <f t="shared" si="377"/>
        <v>0</v>
      </c>
      <c r="AE1196">
        <f t="shared" si="378"/>
        <v>0</v>
      </c>
      <c r="AF1196">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42">
        <f t="shared" si="377"/>
        <v>0</v>
      </c>
      <c r="AE1197">
        <f t="shared" si="378"/>
        <v>0</v>
      </c>
      <c r="AF119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42">
        <f t="shared" si="377"/>
        <v>0</v>
      </c>
      <c r="AE1198">
        <f t="shared" si="378"/>
        <v>0</v>
      </c>
      <c r="AF1198">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42">
        <f t="shared" si="377"/>
        <v>0</v>
      </c>
      <c r="AE1199">
        <f t="shared" si="378"/>
        <v>0</v>
      </c>
      <c r="AF1199">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42">
        <f t="shared" si="377"/>
        <v>0</v>
      </c>
      <c r="AE1200">
        <f t="shared" si="378"/>
        <v>0</v>
      </c>
      <c r="AF1200">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42">
        <f t="shared" si="377"/>
        <v>0</v>
      </c>
      <c r="AE1201">
        <f t="shared" si="378"/>
        <v>0</v>
      </c>
      <c r="AF1201">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42">
        <f t="shared" si="377"/>
        <v>0</v>
      </c>
      <c r="AE1202">
        <f t="shared" si="378"/>
        <v>0</v>
      </c>
      <c r="AF1202">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42">
        <f t="shared" si="377"/>
        <v>0</v>
      </c>
      <c r="AE1203">
        <f t="shared" si="378"/>
        <v>0</v>
      </c>
      <c r="AF1203">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42">
        <f t="shared" si="377"/>
        <v>0</v>
      </c>
      <c r="AE1204">
        <f t="shared" si="378"/>
        <v>0</v>
      </c>
      <c r="AF1204">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42">
        <f t="shared" si="377"/>
        <v>0</v>
      </c>
      <c r="AE1205">
        <f t="shared" si="378"/>
        <v>0</v>
      </c>
      <c r="AF1205">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42">
        <f t="shared" si="377"/>
        <v>0</v>
      </c>
      <c r="AE1206">
        <f t="shared" si="378"/>
        <v>0</v>
      </c>
      <c r="AF1206">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42">
        <f t="shared" si="377"/>
        <v>0</v>
      </c>
      <c r="AE1207">
        <f t="shared" si="378"/>
        <v>0</v>
      </c>
      <c r="AF120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42">
        <f t="shared" si="377"/>
        <v>0</v>
      </c>
      <c r="AE1208">
        <f t="shared" si="378"/>
        <v>0</v>
      </c>
      <c r="AF1208">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42">
        <f t="shared" si="377"/>
        <v>0</v>
      </c>
      <c r="AE1209">
        <f t="shared" si="378"/>
        <v>0</v>
      </c>
      <c r="AF1209">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42">
        <f t="shared" si="377"/>
        <v>0</v>
      </c>
      <c r="AE1210">
        <f t="shared" si="378"/>
        <v>0</v>
      </c>
      <c r="AF1210">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42">
        <f t="shared" si="377"/>
        <v>0</v>
      </c>
      <c r="AE1211">
        <f t="shared" si="378"/>
        <v>0</v>
      </c>
      <c r="AF1211">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42">
        <f t="shared" si="377"/>
        <v>0</v>
      </c>
      <c r="AE1212">
        <f t="shared" si="378"/>
        <v>0</v>
      </c>
      <c r="AF1212">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42">
        <f t="shared" si="377"/>
        <v>0</v>
      </c>
      <c r="AE1213">
        <f t="shared" si="378"/>
        <v>0</v>
      </c>
      <c r="AF1213">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42">
        <f t="shared" si="377"/>
        <v>0</v>
      </c>
      <c r="AE1214">
        <f t="shared" si="378"/>
        <v>0</v>
      </c>
      <c r="AF1214">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42">
        <f t="shared" si="377"/>
        <v>0</v>
      </c>
      <c r="AE1215">
        <f t="shared" si="378"/>
        <v>0</v>
      </c>
      <c r="AF1215">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42">
        <f t="shared" si="377"/>
        <v>0</v>
      </c>
      <c r="AE1216">
        <f t="shared" si="378"/>
        <v>0</v>
      </c>
      <c r="AF1216">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42">
        <f t="shared" si="377"/>
        <v>0</v>
      </c>
      <c r="AE1217">
        <f t="shared" si="378"/>
        <v>0</v>
      </c>
      <c r="AF121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42">
        <f t="shared" si="377"/>
        <v>0</v>
      </c>
      <c r="AE1218">
        <f t="shared" si="378"/>
        <v>0</v>
      </c>
      <c r="AF1218">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42">
        <f t="shared" si="377"/>
        <v>0</v>
      </c>
      <c r="AE1219">
        <f t="shared" si="378"/>
        <v>0</v>
      </c>
      <c r="AF1219">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42">
        <f t="shared" ref="AD1220:AD1283" si="397">IF($D1220="",0,SUMPRODUCT(MAX(($D$4:$D$1510=$D1220)*($B$4:$B$1510&lt;$B1220)*$B$4:$B$1510)))</f>
        <v>0</v>
      </c>
      <c r="AE1220">
        <f t="shared" ref="AE1220:AE1283" si="398">IF($D1220="",0,COUNTIFS($A$4:$A$1510,$A1220,$E$4:$E$1510,"Win"))</f>
        <v>0</v>
      </c>
      <c r="AF1220">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42">
        <f t="shared" si="397"/>
        <v>0</v>
      </c>
      <c r="AE1221">
        <f t="shared" si="398"/>
        <v>0</v>
      </c>
      <c r="AF1221">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42">
        <f t="shared" si="397"/>
        <v>0</v>
      </c>
      <c r="AE1222">
        <f t="shared" si="398"/>
        <v>0</v>
      </c>
      <c r="AF1222">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42">
        <f t="shared" si="397"/>
        <v>0</v>
      </c>
      <c r="AE1223">
        <f t="shared" si="398"/>
        <v>0</v>
      </c>
      <c r="AF1223">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42">
        <f t="shared" si="397"/>
        <v>0</v>
      </c>
      <c r="AE1224">
        <f t="shared" si="398"/>
        <v>0</v>
      </c>
      <c r="AF1224">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42">
        <f t="shared" si="397"/>
        <v>0</v>
      </c>
      <c r="AE1225">
        <f t="shared" si="398"/>
        <v>0</v>
      </c>
      <c r="AF1225">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42">
        <f t="shared" si="397"/>
        <v>0</v>
      </c>
      <c r="AE1226">
        <f t="shared" si="398"/>
        <v>0</v>
      </c>
      <c r="AF1226">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42">
        <f t="shared" si="397"/>
        <v>0</v>
      </c>
      <c r="AE1227">
        <f t="shared" si="398"/>
        <v>0</v>
      </c>
      <c r="AF122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42">
        <f t="shared" si="397"/>
        <v>0</v>
      </c>
      <c r="AE1228">
        <f t="shared" si="398"/>
        <v>0</v>
      </c>
      <c r="AF1228">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42">
        <f t="shared" si="397"/>
        <v>0</v>
      </c>
      <c r="AE1229">
        <f t="shared" si="398"/>
        <v>0</v>
      </c>
      <c r="AF1229">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42">
        <f t="shared" si="397"/>
        <v>0</v>
      </c>
      <c r="AE1230">
        <f t="shared" si="398"/>
        <v>0</v>
      </c>
      <c r="AF1230">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42">
        <f t="shared" si="397"/>
        <v>0</v>
      </c>
      <c r="AE1231">
        <f t="shared" si="398"/>
        <v>0</v>
      </c>
      <c r="AF1231">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42">
        <f t="shared" si="397"/>
        <v>0</v>
      </c>
      <c r="AE1232">
        <f t="shared" si="398"/>
        <v>0</v>
      </c>
      <c r="AF1232">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42">
        <f t="shared" si="397"/>
        <v>0</v>
      </c>
      <c r="AE1233">
        <f t="shared" si="398"/>
        <v>0</v>
      </c>
      <c r="AF1233">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42">
        <f t="shared" si="397"/>
        <v>0</v>
      </c>
      <c r="AE1234">
        <f t="shared" si="398"/>
        <v>0</v>
      </c>
      <c r="AF1234">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42">
        <f t="shared" si="397"/>
        <v>0</v>
      </c>
      <c r="AE1235">
        <f t="shared" si="398"/>
        <v>0</v>
      </c>
      <c r="AF1235">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42">
        <f t="shared" si="397"/>
        <v>0</v>
      </c>
      <c r="AE1236">
        <f t="shared" si="398"/>
        <v>0</v>
      </c>
      <c r="AF1236">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42">
        <f t="shared" si="397"/>
        <v>0</v>
      </c>
      <c r="AE1237">
        <f t="shared" si="398"/>
        <v>0</v>
      </c>
      <c r="AF123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42">
        <f t="shared" si="397"/>
        <v>0</v>
      </c>
      <c r="AE1238">
        <f t="shared" si="398"/>
        <v>0</v>
      </c>
      <c r="AF1238">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42">
        <f t="shared" si="397"/>
        <v>0</v>
      </c>
      <c r="AE1239">
        <f t="shared" si="398"/>
        <v>0</v>
      </c>
      <c r="AF1239">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42">
        <f t="shared" si="397"/>
        <v>0</v>
      </c>
      <c r="AE1240">
        <f t="shared" si="398"/>
        <v>0</v>
      </c>
      <c r="AF1240">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42">
        <f t="shared" si="397"/>
        <v>0</v>
      </c>
      <c r="AE1241">
        <f t="shared" si="398"/>
        <v>0</v>
      </c>
      <c r="AF1241">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42">
        <f t="shared" si="397"/>
        <v>0</v>
      </c>
      <c r="AE1242">
        <f t="shared" si="398"/>
        <v>0</v>
      </c>
      <c r="AF1242">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42">
        <f t="shared" si="397"/>
        <v>0</v>
      </c>
      <c r="AE1243">
        <f t="shared" si="398"/>
        <v>0</v>
      </c>
      <c r="AF1243">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42">
        <f t="shared" si="397"/>
        <v>0</v>
      </c>
      <c r="AE1244">
        <f t="shared" si="398"/>
        <v>0</v>
      </c>
      <c r="AF1244">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42">
        <f t="shared" si="397"/>
        <v>0</v>
      </c>
      <c r="AE1245">
        <f t="shared" si="398"/>
        <v>0</v>
      </c>
      <c r="AF1245">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42">
        <f t="shared" si="397"/>
        <v>0</v>
      </c>
      <c r="AE1246">
        <f t="shared" si="398"/>
        <v>0</v>
      </c>
      <c r="AF1246">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42">
        <f t="shared" si="397"/>
        <v>0</v>
      </c>
      <c r="AE1247">
        <f t="shared" si="398"/>
        <v>0</v>
      </c>
      <c r="AF124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42">
        <f t="shared" si="397"/>
        <v>0</v>
      </c>
      <c r="AE1248">
        <f t="shared" si="398"/>
        <v>0</v>
      </c>
      <c r="AF1248">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42">
        <f t="shared" si="397"/>
        <v>0</v>
      </c>
      <c r="AE1249">
        <f t="shared" si="398"/>
        <v>0</v>
      </c>
      <c r="AF1249">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42">
        <f t="shared" si="397"/>
        <v>0</v>
      </c>
      <c r="AE1250">
        <f t="shared" si="398"/>
        <v>0</v>
      </c>
      <c r="AF1250">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42">
        <f t="shared" si="397"/>
        <v>0</v>
      </c>
      <c r="AE1251">
        <f t="shared" si="398"/>
        <v>0</v>
      </c>
      <c r="AF1251">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42">
        <f t="shared" si="397"/>
        <v>0</v>
      </c>
      <c r="AE1252">
        <f t="shared" si="398"/>
        <v>0</v>
      </c>
      <c r="AF1252">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42">
        <f t="shared" si="397"/>
        <v>0</v>
      </c>
      <c r="AE1253">
        <f t="shared" si="398"/>
        <v>0</v>
      </c>
      <c r="AF1253">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42">
        <f t="shared" si="397"/>
        <v>0</v>
      </c>
      <c r="AE1254">
        <f t="shared" si="398"/>
        <v>0</v>
      </c>
      <c r="AF1254">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42">
        <f t="shared" si="397"/>
        <v>0</v>
      </c>
      <c r="AE1255">
        <f t="shared" si="398"/>
        <v>0</v>
      </c>
      <c r="AF1255">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42">
        <f t="shared" si="397"/>
        <v>0</v>
      </c>
      <c r="AE1256">
        <f t="shared" si="398"/>
        <v>0</v>
      </c>
      <c r="AF1256">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42">
        <f t="shared" si="397"/>
        <v>0</v>
      </c>
      <c r="AE1257">
        <f t="shared" si="398"/>
        <v>0</v>
      </c>
      <c r="AF125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42">
        <f t="shared" si="397"/>
        <v>0</v>
      </c>
      <c r="AE1258">
        <f t="shared" si="398"/>
        <v>0</v>
      </c>
      <c r="AF1258">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42">
        <f t="shared" si="397"/>
        <v>0</v>
      </c>
      <c r="AE1259">
        <f t="shared" si="398"/>
        <v>0</v>
      </c>
      <c r="AF1259">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42">
        <f t="shared" si="397"/>
        <v>0</v>
      </c>
      <c r="AE1260">
        <f t="shared" si="398"/>
        <v>0</v>
      </c>
      <c r="AF1260">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42">
        <f t="shared" si="397"/>
        <v>0</v>
      </c>
      <c r="AE1261">
        <f t="shared" si="398"/>
        <v>0</v>
      </c>
      <c r="AF1261">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42">
        <f t="shared" si="397"/>
        <v>0</v>
      </c>
      <c r="AE1262">
        <f t="shared" si="398"/>
        <v>0</v>
      </c>
      <c r="AF1262">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42">
        <f t="shared" si="397"/>
        <v>0</v>
      </c>
      <c r="AE1263">
        <f t="shared" si="398"/>
        <v>0</v>
      </c>
      <c r="AF1263">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42">
        <f t="shared" si="397"/>
        <v>0</v>
      </c>
      <c r="AE1264">
        <f t="shared" si="398"/>
        <v>0</v>
      </c>
      <c r="AF1264">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42">
        <f t="shared" si="397"/>
        <v>0</v>
      </c>
      <c r="AE1265">
        <f t="shared" si="398"/>
        <v>0</v>
      </c>
      <c r="AF1265">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42">
        <f t="shared" si="397"/>
        <v>0</v>
      </c>
      <c r="AE1266">
        <f t="shared" si="398"/>
        <v>0</v>
      </c>
      <c r="AF1266">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42">
        <f t="shared" si="397"/>
        <v>0</v>
      </c>
      <c r="AE1267">
        <f t="shared" si="398"/>
        <v>0</v>
      </c>
      <c r="AF12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42">
        <f t="shared" si="397"/>
        <v>0</v>
      </c>
      <c r="AE1268">
        <f t="shared" si="398"/>
        <v>0</v>
      </c>
      <c r="AF1268">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42">
        <f t="shared" si="397"/>
        <v>0</v>
      </c>
      <c r="AE1269">
        <f t="shared" si="398"/>
        <v>0</v>
      </c>
      <c r="AF1269">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42">
        <f t="shared" si="397"/>
        <v>0</v>
      </c>
      <c r="AE1270">
        <f t="shared" si="398"/>
        <v>0</v>
      </c>
      <c r="AF1270">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42">
        <f t="shared" si="397"/>
        <v>0</v>
      </c>
      <c r="AE1271">
        <f t="shared" si="398"/>
        <v>0</v>
      </c>
      <c r="AF1271">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42">
        <f t="shared" si="397"/>
        <v>0</v>
      </c>
      <c r="AE1272">
        <f t="shared" si="398"/>
        <v>0</v>
      </c>
      <c r="AF1272">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42">
        <f t="shared" si="397"/>
        <v>0</v>
      </c>
      <c r="AE1273">
        <f t="shared" si="398"/>
        <v>0</v>
      </c>
      <c r="AF1273">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42">
        <f t="shared" si="397"/>
        <v>0</v>
      </c>
      <c r="AE1274">
        <f t="shared" si="398"/>
        <v>0</v>
      </c>
      <c r="AF1274">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42">
        <f t="shared" si="397"/>
        <v>0</v>
      </c>
      <c r="AE1275">
        <f t="shared" si="398"/>
        <v>0</v>
      </c>
      <c r="AF1275">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42">
        <f t="shared" si="397"/>
        <v>0</v>
      </c>
      <c r="AE1276">
        <f t="shared" si="398"/>
        <v>0</v>
      </c>
      <c r="AF1276">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42">
        <f t="shared" si="397"/>
        <v>0</v>
      </c>
      <c r="AE1277">
        <f t="shared" si="398"/>
        <v>0</v>
      </c>
      <c r="AF127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42">
        <f t="shared" si="397"/>
        <v>0</v>
      </c>
      <c r="AE1278">
        <f t="shared" si="398"/>
        <v>0</v>
      </c>
      <c r="AF1278">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42">
        <f t="shared" si="397"/>
        <v>0</v>
      </c>
      <c r="AE1279">
        <f t="shared" si="398"/>
        <v>0</v>
      </c>
      <c r="AF1279">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42">
        <f t="shared" si="397"/>
        <v>0</v>
      </c>
      <c r="AE1280">
        <f t="shared" si="398"/>
        <v>0</v>
      </c>
      <c r="AF1280">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42">
        <f t="shared" si="397"/>
        <v>0</v>
      </c>
      <c r="AE1281">
        <f t="shared" si="398"/>
        <v>0</v>
      </c>
      <c r="AF1281">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42">
        <f t="shared" si="397"/>
        <v>0</v>
      </c>
      <c r="AE1282">
        <f t="shared" si="398"/>
        <v>0</v>
      </c>
      <c r="AF1282">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42">
        <f t="shared" si="397"/>
        <v>0</v>
      </c>
      <c r="AE1283">
        <f t="shared" si="398"/>
        <v>0</v>
      </c>
      <c r="AF1283">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42">
        <f t="shared" ref="AD1284:AD1347" si="417">IF($D1284="",0,SUMPRODUCT(MAX(($D$4:$D$1510=$D1284)*($B$4:$B$1510&lt;$B1284)*$B$4:$B$1510)))</f>
        <v>0</v>
      </c>
      <c r="AE1284">
        <f t="shared" ref="AE1284:AE1347" si="418">IF($D1284="",0,COUNTIFS($A$4:$A$1510,$A1284,$E$4:$E$1510,"Win"))</f>
        <v>0</v>
      </c>
      <c r="AF1284">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42">
        <f t="shared" si="417"/>
        <v>0</v>
      </c>
      <c r="AE1285">
        <f t="shared" si="418"/>
        <v>0</v>
      </c>
      <c r="AF1285">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42">
        <f t="shared" si="417"/>
        <v>0</v>
      </c>
      <c r="AE1286">
        <f t="shared" si="418"/>
        <v>0</v>
      </c>
      <c r="AF1286">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42">
        <f t="shared" si="417"/>
        <v>0</v>
      </c>
      <c r="AE1287">
        <f t="shared" si="418"/>
        <v>0</v>
      </c>
      <c r="AF128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42">
        <f t="shared" si="417"/>
        <v>0</v>
      </c>
      <c r="AE1288">
        <f t="shared" si="418"/>
        <v>0</v>
      </c>
      <c r="AF1288">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42">
        <f t="shared" si="417"/>
        <v>0</v>
      </c>
      <c r="AE1289">
        <f t="shared" si="418"/>
        <v>0</v>
      </c>
      <c r="AF1289">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42">
        <f t="shared" si="417"/>
        <v>0</v>
      </c>
      <c r="AE1290">
        <f t="shared" si="418"/>
        <v>0</v>
      </c>
      <c r="AF1290">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42">
        <f t="shared" si="417"/>
        <v>0</v>
      </c>
      <c r="AE1291">
        <f t="shared" si="418"/>
        <v>0</v>
      </c>
      <c r="AF1291">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42">
        <f t="shared" si="417"/>
        <v>0</v>
      </c>
      <c r="AE1292">
        <f t="shared" si="418"/>
        <v>0</v>
      </c>
      <c r="AF1292">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42">
        <f t="shared" si="417"/>
        <v>0</v>
      </c>
      <c r="AE1293">
        <f t="shared" si="418"/>
        <v>0</v>
      </c>
      <c r="AF1293">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42">
        <f t="shared" si="417"/>
        <v>0</v>
      </c>
      <c r="AE1294">
        <f t="shared" si="418"/>
        <v>0</v>
      </c>
      <c r="AF1294">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42">
        <f t="shared" si="417"/>
        <v>0</v>
      </c>
      <c r="AE1295">
        <f t="shared" si="418"/>
        <v>0</v>
      </c>
      <c r="AF1295">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42">
        <f t="shared" si="417"/>
        <v>0</v>
      </c>
      <c r="AE1296">
        <f t="shared" si="418"/>
        <v>0</v>
      </c>
      <c r="AF1296">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42">
        <f t="shared" si="417"/>
        <v>0</v>
      </c>
      <c r="AE1297">
        <f t="shared" si="418"/>
        <v>0</v>
      </c>
      <c r="AF129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42">
        <f t="shared" si="417"/>
        <v>0</v>
      </c>
      <c r="AE1298">
        <f t="shared" si="418"/>
        <v>0</v>
      </c>
      <c r="AF1298">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42">
        <f t="shared" si="417"/>
        <v>0</v>
      </c>
      <c r="AE1299">
        <f t="shared" si="418"/>
        <v>0</v>
      </c>
      <c r="AF1299">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42">
        <f t="shared" si="417"/>
        <v>0</v>
      </c>
      <c r="AE1300">
        <f t="shared" si="418"/>
        <v>0</v>
      </c>
      <c r="AF1300">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42">
        <f t="shared" si="417"/>
        <v>0</v>
      </c>
      <c r="AE1301">
        <f t="shared" si="418"/>
        <v>0</v>
      </c>
      <c r="AF1301">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42">
        <f t="shared" si="417"/>
        <v>0</v>
      </c>
      <c r="AE1302">
        <f t="shared" si="418"/>
        <v>0</v>
      </c>
      <c r="AF1302">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42">
        <f t="shared" si="417"/>
        <v>0</v>
      </c>
      <c r="AE1303">
        <f t="shared" si="418"/>
        <v>0</v>
      </c>
      <c r="AF1303">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42">
        <f t="shared" si="417"/>
        <v>0</v>
      </c>
      <c r="AE1304">
        <f t="shared" si="418"/>
        <v>0</v>
      </c>
      <c r="AF1304">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42">
        <f t="shared" si="417"/>
        <v>0</v>
      </c>
      <c r="AE1305">
        <f t="shared" si="418"/>
        <v>0</v>
      </c>
      <c r="AF1305">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42">
        <f t="shared" si="417"/>
        <v>0</v>
      </c>
      <c r="AE1306">
        <f t="shared" si="418"/>
        <v>0</v>
      </c>
      <c r="AF1306">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42">
        <f t="shared" si="417"/>
        <v>0</v>
      </c>
      <c r="AE1307">
        <f t="shared" si="418"/>
        <v>0</v>
      </c>
      <c r="AF130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42">
        <f t="shared" si="417"/>
        <v>0</v>
      </c>
      <c r="AE1308">
        <f t="shared" si="418"/>
        <v>0</v>
      </c>
      <c r="AF1308">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42">
        <f t="shared" si="417"/>
        <v>0</v>
      </c>
      <c r="AE1309">
        <f t="shared" si="418"/>
        <v>0</v>
      </c>
      <c r="AF1309">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42">
        <f t="shared" si="417"/>
        <v>0</v>
      </c>
      <c r="AE1310">
        <f t="shared" si="418"/>
        <v>0</v>
      </c>
      <c r="AF1310">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42">
        <f t="shared" si="417"/>
        <v>0</v>
      </c>
      <c r="AE1311">
        <f t="shared" si="418"/>
        <v>0</v>
      </c>
      <c r="AF1311">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42">
        <f t="shared" si="417"/>
        <v>0</v>
      </c>
      <c r="AE1312">
        <f t="shared" si="418"/>
        <v>0</v>
      </c>
      <c r="AF1312">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42">
        <f t="shared" si="417"/>
        <v>0</v>
      </c>
      <c r="AE1313">
        <f t="shared" si="418"/>
        <v>0</v>
      </c>
      <c r="AF1313">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42">
        <f t="shared" si="417"/>
        <v>0</v>
      </c>
      <c r="AE1314">
        <f t="shared" si="418"/>
        <v>0</v>
      </c>
      <c r="AF1314">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42">
        <f t="shared" si="417"/>
        <v>0</v>
      </c>
      <c r="AE1315">
        <f t="shared" si="418"/>
        <v>0</v>
      </c>
      <c r="AF1315">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42">
        <f t="shared" si="417"/>
        <v>0</v>
      </c>
      <c r="AE1316">
        <f t="shared" si="418"/>
        <v>0</v>
      </c>
      <c r="AF1316">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42">
        <f t="shared" si="417"/>
        <v>0</v>
      </c>
      <c r="AE1317">
        <f t="shared" si="418"/>
        <v>0</v>
      </c>
      <c r="AF131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42">
        <f t="shared" si="417"/>
        <v>0</v>
      </c>
      <c r="AE1318">
        <f t="shared" si="418"/>
        <v>0</v>
      </c>
      <c r="AF1318">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42">
        <f t="shared" si="417"/>
        <v>0</v>
      </c>
      <c r="AE1319">
        <f t="shared" si="418"/>
        <v>0</v>
      </c>
      <c r="AF1319">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42">
        <f t="shared" si="417"/>
        <v>0</v>
      </c>
      <c r="AE1320">
        <f t="shared" si="418"/>
        <v>0</v>
      </c>
      <c r="AF1320">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42">
        <f t="shared" si="417"/>
        <v>0</v>
      </c>
      <c r="AE1321">
        <f t="shared" si="418"/>
        <v>0</v>
      </c>
      <c r="AF1321">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42">
        <f t="shared" si="417"/>
        <v>0</v>
      </c>
      <c r="AE1322">
        <f t="shared" si="418"/>
        <v>0</v>
      </c>
      <c r="AF1322">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42">
        <f t="shared" si="417"/>
        <v>0</v>
      </c>
      <c r="AE1323">
        <f t="shared" si="418"/>
        <v>0</v>
      </c>
      <c r="AF1323">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42">
        <f t="shared" si="417"/>
        <v>0</v>
      </c>
      <c r="AE1324">
        <f t="shared" si="418"/>
        <v>0</v>
      </c>
      <c r="AF1324">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42">
        <f t="shared" si="417"/>
        <v>0</v>
      </c>
      <c r="AE1325">
        <f t="shared" si="418"/>
        <v>0</v>
      </c>
      <c r="AF1325">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42">
        <f t="shared" si="417"/>
        <v>0</v>
      </c>
      <c r="AE1326">
        <f t="shared" si="418"/>
        <v>0</v>
      </c>
      <c r="AF1326">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42">
        <f t="shared" si="417"/>
        <v>0</v>
      </c>
      <c r="AE1327">
        <f t="shared" si="418"/>
        <v>0</v>
      </c>
      <c r="AF132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42">
        <f t="shared" si="417"/>
        <v>0</v>
      </c>
      <c r="AE1328">
        <f t="shared" si="418"/>
        <v>0</v>
      </c>
      <c r="AF1328">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42">
        <f t="shared" si="417"/>
        <v>0</v>
      </c>
      <c r="AE1329">
        <f t="shared" si="418"/>
        <v>0</v>
      </c>
      <c r="AF1329">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42">
        <f t="shared" si="417"/>
        <v>0</v>
      </c>
      <c r="AE1330">
        <f t="shared" si="418"/>
        <v>0</v>
      </c>
      <c r="AF1330">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42">
        <f t="shared" si="417"/>
        <v>0</v>
      </c>
      <c r="AE1331">
        <f t="shared" si="418"/>
        <v>0</v>
      </c>
      <c r="AF1331">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42">
        <f t="shared" si="417"/>
        <v>0</v>
      </c>
      <c r="AE1332">
        <f t="shared" si="418"/>
        <v>0</v>
      </c>
      <c r="AF1332">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42">
        <f t="shared" si="417"/>
        <v>0</v>
      </c>
      <c r="AE1333">
        <f t="shared" si="418"/>
        <v>0</v>
      </c>
      <c r="AF1333">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42">
        <f t="shared" si="417"/>
        <v>0</v>
      </c>
      <c r="AE1334">
        <f t="shared" si="418"/>
        <v>0</v>
      </c>
      <c r="AF1334">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42">
        <f t="shared" si="417"/>
        <v>0</v>
      </c>
      <c r="AE1335">
        <f t="shared" si="418"/>
        <v>0</v>
      </c>
      <c r="AF1335">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42">
        <f t="shared" si="417"/>
        <v>0</v>
      </c>
      <c r="AE1336">
        <f t="shared" si="418"/>
        <v>0</v>
      </c>
      <c r="AF1336">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42">
        <f t="shared" si="417"/>
        <v>0</v>
      </c>
      <c r="AE1337">
        <f t="shared" si="418"/>
        <v>0</v>
      </c>
      <c r="AF133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42">
        <f t="shared" si="417"/>
        <v>0</v>
      </c>
      <c r="AE1338">
        <f t="shared" si="418"/>
        <v>0</v>
      </c>
      <c r="AF1338">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42">
        <f t="shared" si="417"/>
        <v>0</v>
      </c>
      <c r="AE1339">
        <f t="shared" si="418"/>
        <v>0</v>
      </c>
      <c r="AF1339">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42">
        <f t="shared" si="417"/>
        <v>0</v>
      </c>
      <c r="AE1340">
        <f t="shared" si="418"/>
        <v>0</v>
      </c>
      <c r="AF1340">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42">
        <f t="shared" si="417"/>
        <v>0</v>
      </c>
      <c r="AE1341">
        <f t="shared" si="418"/>
        <v>0</v>
      </c>
      <c r="AF1341">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42">
        <f t="shared" si="417"/>
        <v>0</v>
      </c>
      <c r="AE1342">
        <f t="shared" si="418"/>
        <v>0</v>
      </c>
      <c r="AF1342">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42">
        <f t="shared" si="417"/>
        <v>0</v>
      </c>
      <c r="AE1343">
        <f t="shared" si="418"/>
        <v>0</v>
      </c>
      <c r="AF1343">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42">
        <f t="shared" si="417"/>
        <v>0</v>
      </c>
      <c r="AE1344">
        <f t="shared" si="418"/>
        <v>0</v>
      </c>
      <c r="AF1344">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42">
        <f t="shared" si="417"/>
        <v>0</v>
      </c>
      <c r="AE1345">
        <f t="shared" si="418"/>
        <v>0</v>
      </c>
      <c r="AF1345">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42">
        <f t="shared" si="417"/>
        <v>0</v>
      </c>
      <c r="AE1346">
        <f t="shared" si="418"/>
        <v>0</v>
      </c>
      <c r="AF1346">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42">
        <f t="shared" si="417"/>
        <v>0</v>
      </c>
      <c r="AE1347">
        <f t="shared" si="418"/>
        <v>0</v>
      </c>
      <c r="AF134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42">
        <f t="shared" ref="AD1348:AD1411" si="437">IF($D1348="",0,SUMPRODUCT(MAX(($D$4:$D$1510=$D1348)*($B$4:$B$1510&lt;$B1348)*$B$4:$B$1510)))</f>
        <v>0</v>
      </c>
      <c r="AE1348">
        <f t="shared" ref="AE1348:AE1411" si="438">IF($D1348="",0,COUNTIFS($A$4:$A$1510,$A1348,$E$4:$E$1510,"Win"))</f>
        <v>0</v>
      </c>
      <c r="AF1348">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42">
        <f t="shared" si="437"/>
        <v>0</v>
      </c>
      <c r="AE1349">
        <f t="shared" si="438"/>
        <v>0</v>
      </c>
      <c r="AF1349">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42">
        <f t="shared" si="437"/>
        <v>0</v>
      </c>
      <c r="AE1350">
        <f t="shared" si="438"/>
        <v>0</v>
      </c>
      <c r="AF1350">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42">
        <f t="shared" si="437"/>
        <v>0</v>
      </c>
      <c r="AE1351">
        <f t="shared" si="438"/>
        <v>0</v>
      </c>
      <c r="AF1351">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42">
        <f t="shared" si="437"/>
        <v>0</v>
      </c>
      <c r="AE1352">
        <f t="shared" si="438"/>
        <v>0</v>
      </c>
      <c r="AF1352">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42">
        <f t="shared" si="437"/>
        <v>0</v>
      </c>
      <c r="AE1353">
        <f t="shared" si="438"/>
        <v>0</v>
      </c>
      <c r="AF1353">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42">
        <f t="shared" si="437"/>
        <v>0</v>
      </c>
      <c r="AE1354">
        <f t="shared" si="438"/>
        <v>0</v>
      </c>
      <c r="AF1354">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42">
        <f t="shared" si="437"/>
        <v>0</v>
      </c>
      <c r="AE1355">
        <f t="shared" si="438"/>
        <v>0</v>
      </c>
      <c r="AF1355">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42">
        <f t="shared" si="437"/>
        <v>0</v>
      </c>
      <c r="AE1356">
        <f t="shared" si="438"/>
        <v>0</v>
      </c>
      <c r="AF1356">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42">
        <f t="shared" si="437"/>
        <v>0</v>
      </c>
      <c r="AE1357">
        <f t="shared" si="438"/>
        <v>0</v>
      </c>
      <c r="AF135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42">
        <f t="shared" si="437"/>
        <v>0</v>
      </c>
      <c r="AE1358">
        <f t="shared" si="438"/>
        <v>0</v>
      </c>
      <c r="AF1358">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42">
        <f t="shared" si="437"/>
        <v>0</v>
      </c>
      <c r="AE1359">
        <f t="shared" si="438"/>
        <v>0</v>
      </c>
      <c r="AF1359">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42">
        <f t="shared" si="437"/>
        <v>0</v>
      </c>
      <c r="AE1360">
        <f t="shared" si="438"/>
        <v>0</v>
      </c>
      <c r="AF1360">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42">
        <f t="shared" si="437"/>
        <v>0</v>
      </c>
      <c r="AE1361">
        <f t="shared" si="438"/>
        <v>0</v>
      </c>
      <c r="AF1361">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42">
        <f t="shared" si="437"/>
        <v>0</v>
      </c>
      <c r="AE1362">
        <f t="shared" si="438"/>
        <v>0</v>
      </c>
      <c r="AF1362">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42">
        <f t="shared" si="437"/>
        <v>0</v>
      </c>
      <c r="AE1363">
        <f t="shared" si="438"/>
        <v>0</v>
      </c>
      <c r="AF1363">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42">
        <f t="shared" si="437"/>
        <v>0</v>
      </c>
      <c r="AE1364">
        <f t="shared" si="438"/>
        <v>0</v>
      </c>
      <c r="AF1364">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42">
        <f t="shared" si="437"/>
        <v>0</v>
      </c>
      <c r="AE1365">
        <f t="shared" si="438"/>
        <v>0</v>
      </c>
      <c r="AF1365">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42">
        <f t="shared" si="437"/>
        <v>0</v>
      </c>
      <c r="AE1366">
        <f t="shared" si="438"/>
        <v>0</v>
      </c>
      <c r="AF1366">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42">
        <f t="shared" si="437"/>
        <v>0</v>
      </c>
      <c r="AE1367">
        <f t="shared" si="438"/>
        <v>0</v>
      </c>
      <c r="AF13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42">
        <f t="shared" si="437"/>
        <v>0</v>
      </c>
      <c r="AE1368">
        <f t="shared" si="438"/>
        <v>0</v>
      </c>
      <c r="AF1368">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42">
        <f t="shared" si="437"/>
        <v>0</v>
      </c>
      <c r="AE1369">
        <f t="shared" si="438"/>
        <v>0</v>
      </c>
      <c r="AF1369">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42">
        <f t="shared" si="437"/>
        <v>0</v>
      </c>
      <c r="AE1370">
        <f t="shared" si="438"/>
        <v>0</v>
      </c>
      <c r="AF1370">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42">
        <f t="shared" si="437"/>
        <v>0</v>
      </c>
      <c r="AE1371">
        <f t="shared" si="438"/>
        <v>0</v>
      </c>
      <c r="AF1371">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42">
        <f t="shared" si="437"/>
        <v>0</v>
      </c>
      <c r="AE1372">
        <f t="shared" si="438"/>
        <v>0</v>
      </c>
      <c r="AF1372">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42">
        <f t="shared" si="437"/>
        <v>0</v>
      </c>
      <c r="AE1373">
        <f t="shared" si="438"/>
        <v>0</v>
      </c>
      <c r="AF1373">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42">
        <f t="shared" si="437"/>
        <v>0</v>
      </c>
      <c r="AE1374">
        <f t="shared" si="438"/>
        <v>0</v>
      </c>
      <c r="AF1374">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42">
        <f t="shared" si="437"/>
        <v>0</v>
      </c>
      <c r="AE1375">
        <f t="shared" si="438"/>
        <v>0</v>
      </c>
      <c r="AF1375">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42">
        <f t="shared" si="437"/>
        <v>0</v>
      </c>
      <c r="AE1376">
        <f t="shared" si="438"/>
        <v>0</v>
      </c>
      <c r="AF1376">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42">
        <f t="shared" si="437"/>
        <v>0</v>
      </c>
      <c r="AE1377">
        <f t="shared" si="438"/>
        <v>0</v>
      </c>
      <c r="AF137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42">
        <f t="shared" si="437"/>
        <v>0</v>
      </c>
      <c r="AE1378">
        <f t="shared" si="438"/>
        <v>0</v>
      </c>
      <c r="AF1378">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42">
        <f t="shared" si="437"/>
        <v>0</v>
      </c>
      <c r="AE1379">
        <f t="shared" si="438"/>
        <v>0</v>
      </c>
      <c r="AF1379">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42">
        <f t="shared" si="437"/>
        <v>0</v>
      </c>
      <c r="AE1380">
        <f t="shared" si="438"/>
        <v>0</v>
      </c>
      <c r="AF1380">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42">
        <f t="shared" si="437"/>
        <v>0</v>
      </c>
      <c r="AE1381">
        <f t="shared" si="438"/>
        <v>0</v>
      </c>
      <c r="AF1381">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42">
        <f t="shared" si="437"/>
        <v>0</v>
      </c>
      <c r="AE1382">
        <f t="shared" si="438"/>
        <v>0</v>
      </c>
      <c r="AF1382">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42">
        <f t="shared" si="437"/>
        <v>0</v>
      </c>
      <c r="AE1383">
        <f t="shared" si="438"/>
        <v>0</v>
      </c>
      <c r="AF1383">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42">
        <f t="shared" si="437"/>
        <v>0</v>
      </c>
      <c r="AE1384">
        <f t="shared" si="438"/>
        <v>0</v>
      </c>
      <c r="AF1384">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42">
        <f t="shared" si="437"/>
        <v>0</v>
      </c>
      <c r="AE1385">
        <f t="shared" si="438"/>
        <v>0</v>
      </c>
      <c r="AF1385">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42">
        <f t="shared" si="437"/>
        <v>0</v>
      </c>
      <c r="AE1386">
        <f t="shared" si="438"/>
        <v>0</v>
      </c>
      <c r="AF1386">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42">
        <f t="shared" si="437"/>
        <v>0</v>
      </c>
      <c r="AE1387">
        <f t="shared" si="438"/>
        <v>0</v>
      </c>
      <c r="AF138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42">
        <f t="shared" si="437"/>
        <v>0</v>
      </c>
      <c r="AE1388">
        <f t="shared" si="438"/>
        <v>0</v>
      </c>
      <c r="AF1388">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42">
        <f t="shared" si="437"/>
        <v>0</v>
      </c>
      <c r="AE1389">
        <f t="shared" si="438"/>
        <v>0</v>
      </c>
      <c r="AF1389">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42">
        <f t="shared" si="437"/>
        <v>0</v>
      </c>
      <c r="AE1390">
        <f t="shared" si="438"/>
        <v>0</v>
      </c>
      <c r="AF1390">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42">
        <f t="shared" si="437"/>
        <v>0</v>
      </c>
      <c r="AE1391">
        <f t="shared" si="438"/>
        <v>0</v>
      </c>
      <c r="AF1391">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42">
        <f t="shared" si="437"/>
        <v>0</v>
      </c>
      <c r="AE1392">
        <f t="shared" si="438"/>
        <v>0</v>
      </c>
      <c r="AF1392">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42">
        <f t="shared" si="437"/>
        <v>0</v>
      </c>
      <c r="AE1393">
        <f t="shared" si="438"/>
        <v>0</v>
      </c>
      <c r="AF1393">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42">
        <f t="shared" si="437"/>
        <v>0</v>
      </c>
      <c r="AE1394">
        <f t="shared" si="438"/>
        <v>0</v>
      </c>
      <c r="AF1394">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42">
        <f t="shared" si="437"/>
        <v>0</v>
      </c>
      <c r="AE1395">
        <f t="shared" si="438"/>
        <v>0</v>
      </c>
      <c r="AF1395">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42">
        <f t="shared" si="437"/>
        <v>0</v>
      </c>
      <c r="AE1396">
        <f t="shared" si="438"/>
        <v>0</v>
      </c>
      <c r="AF1396">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42">
        <f t="shared" si="437"/>
        <v>0</v>
      </c>
      <c r="AE1397">
        <f t="shared" si="438"/>
        <v>0</v>
      </c>
      <c r="AF139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42">
        <f t="shared" si="437"/>
        <v>0</v>
      </c>
      <c r="AE1398">
        <f t="shared" si="438"/>
        <v>0</v>
      </c>
      <c r="AF1398">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42">
        <f t="shared" si="437"/>
        <v>0</v>
      </c>
      <c r="AE1399">
        <f t="shared" si="438"/>
        <v>0</v>
      </c>
      <c r="AF1399">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42">
        <f t="shared" si="437"/>
        <v>0</v>
      </c>
      <c r="AE1400">
        <f t="shared" si="438"/>
        <v>0</v>
      </c>
      <c r="AF1400">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42">
        <f t="shared" si="437"/>
        <v>0</v>
      </c>
      <c r="AE1401">
        <f t="shared" si="438"/>
        <v>0</v>
      </c>
      <c r="AF1401">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42">
        <f t="shared" si="437"/>
        <v>0</v>
      </c>
      <c r="AE1402">
        <f t="shared" si="438"/>
        <v>0</v>
      </c>
      <c r="AF1402">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42">
        <f t="shared" si="437"/>
        <v>0</v>
      </c>
      <c r="AE1403">
        <f t="shared" si="438"/>
        <v>0</v>
      </c>
      <c r="AF1403">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42">
        <f t="shared" si="437"/>
        <v>0</v>
      </c>
      <c r="AE1404">
        <f t="shared" si="438"/>
        <v>0</v>
      </c>
      <c r="AF1404">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42">
        <f t="shared" si="437"/>
        <v>0</v>
      </c>
      <c r="AE1405">
        <f t="shared" si="438"/>
        <v>0</v>
      </c>
      <c r="AF1405">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42">
        <f t="shared" si="437"/>
        <v>0</v>
      </c>
      <c r="AE1406">
        <f t="shared" si="438"/>
        <v>0</v>
      </c>
      <c r="AF1406">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42">
        <f t="shared" si="437"/>
        <v>0</v>
      </c>
      <c r="AE1407">
        <f t="shared" si="438"/>
        <v>0</v>
      </c>
      <c r="AF140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42">
        <f t="shared" si="437"/>
        <v>0</v>
      </c>
      <c r="AE1408">
        <f t="shared" si="438"/>
        <v>0</v>
      </c>
      <c r="AF1408">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42">
        <f t="shared" si="437"/>
        <v>0</v>
      </c>
      <c r="AE1409">
        <f t="shared" si="438"/>
        <v>0</v>
      </c>
      <c r="AF1409">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42">
        <f t="shared" si="437"/>
        <v>0</v>
      </c>
      <c r="AE1410">
        <f t="shared" si="438"/>
        <v>0</v>
      </c>
      <c r="AF1410">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42">
        <f t="shared" si="437"/>
        <v>0</v>
      </c>
      <c r="AE1411">
        <f t="shared" si="438"/>
        <v>0</v>
      </c>
      <c r="AF1411">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42">
        <f t="shared" ref="AD1412:AD1475" si="457">IF($D1412="",0,SUMPRODUCT(MAX(($D$4:$D$1510=$D1412)*($B$4:$B$1510&lt;$B1412)*$B$4:$B$1510)))</f>
        <v>0</v>
      </c>
      <c r="AE1412">
        <f t="shared" ref="AE1412:AE1475" si="458">IF($D1412="",0,COUNTIFS($A$4:$A$1510,$A1412,$E$4:$E$1510,"Win"))</f>
        <v>0</v>
      </c>
      <c r="AF1412">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42">
        <f t="shared" si="457"/>
        <v>0</v>
      </c>
      <c r="AE1413">
        <f t="shared" si="458"/>
        <v>0</v>
      </c>
      <c r="AF1413">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42">
        <f t="shared" si="457"/>
        <v>0</v>
      </c>
      <c r="AE1414">
        <f t="shared" si="458"/>
        <v>0</v>
      </c>
      <c r="AF1414">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42">
        <f t="shared" si="457"/>
        <v>0</v>
      </c>
      <c r="AE1415">
        <f t="shared" si="458"/>
        <v>0</v>
      </c>
      <c r="AF1415">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42">
        <f t="shared" si="457"/>
        <v>0</v>
      </c>
      <c r="AE1416">
        <f t="shared" si="458"/>
        <v>0</v>
      </c>
      <c r="AF1416">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42">
        <f t="shared" si="457"/>
        <v>0</v>
      </c>
      <c r="AE1417">
        <f t="shared" si="458"/>
        <v>0</v>
      </c>
      <c r="AF141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42">
        <f t="shared" si="457"/>
        <v>0</v>
      </c>
      <c r="AE1418">
        <f t="shared" si="458"/>
        <v>0</v>
      </c>
      <c r="AF1418">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42">
        <f t="shared" si="457"/>
        <v>0</v>
      </c>
      <c r="AE1419">
        <f t="shared" si="458"/>
        <v>0</v>
      </c>
      <c r="AF1419">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42">
        <f t="shared" si="457"/>
        <v>0</v>
      </c>
      <c r="AE1420">
        <f t="shared" si="458"/>
        <v>0</v>
      </c>
      <c r="AF1420">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42">
        <f t="shared" si="457"/>
        <v>0</v>
      </c>
      <c r="AE1421">
        <f t="shared" si="458"/>
        <v>0</v>
      </c>
      <c r="AF1421">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42">
        <f t="shared" si="457"/>
        <v>0</v>
      </c>
      <c r="AE1422">
        <f t="shared" si="458"/>
        <v>0</v>
      </c>
      <c r="AF1422">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42">
        <f t="shared" si="457"/>
        <v>0</v>
      </c>
      <c r="AE1423">
        <f t="shared" si="458"/>
        <v>0</v>
      </c>
      <c r="AF1423">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42">
        <f t="shared" si="457"/>
        <v>0</v>
      </c>
      <c r="AE1424">
        <f t="shared" si="458"/>
        <v>0</v>
      </c>
      <c r="AF1424">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42">
        <f t="shared" si="457"/>
        <v>0</v>
      </c>
      <c r="AE1425">
        <f t="shared" si="458"/>
        <v>0</v>
      </c>
      <c r="AF1425">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42">
        <f t="shared" si="457"/>
        <v>0</v>
      </c>
      <c r="AE1426">
        <f t="shared" si="458"/>
        <v>0</v>
      </c>
      <c r="AF1426">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42">
        <f t="shared" si="457"/>
        <v>0</v>
      </c>
      <c r="AE1427">
        <f t="shared" si="458"/>
        <v>0</v>
      </c>
      <c r="AF142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42">
        <f t="shared" si="457"/>
        <v>0</v>
      </c>
      <c r="AE1428">
        <f t="shared" si="458"/>
        <v>0</v>
      </c>
      <c r="AF1428">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42">
        <f t="shared" si="457"/>
        <v>0</v>
      </c>
      <c r="AE1429">
        <f t="shared" si="458"/>
        <v>0</v>
      </c>
      <c r="AF1429">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42">
        <f t="shared" si="457"/>
        <v>0</v>
      </c>
      <c r="AE1430">
        <f t="shared" si="458"/>
        <v>0</v>
      </c>
      <c r="AF1430">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42">
        <f t="shared" si="457"/>
        <v>0</v>
      </c>
      <c r="AE1431">
        <f t="shared" si="458"/>
        <v>0</v>
      </c>
      <c r="AF1431">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42">
        <f t="shared" si="457"/>
        <v>0</v>
      </c>
      <c r="AE1432">
        <f t="shared" si="458"/>
        <v>0</v>
      </c>
      <c r="AF1432">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42">
        <f t="shared" si="457"/>
        <v>0</v>
      </c>
      <c r="AE1433">
        <f t="shared" si="458"/>
        <v>0</v>
      </c>
      <c r="AF1433">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42">
        <f t="shared" si="457"/>
        <v>0</v>
      </c>
      <c r="AE1434">
        <f t="shared" si="458"/>
        <v>0</v>
      </c>
      <c r="AF1434">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42">
        <f t="shared" si="457"/>
        <v>0</v>
      </c>
      <c r="AE1435">
        <f t="shared" si="458"/>
        <v>0</v>
      </c>
      <c r="AF1435">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42">
        <f t="shared" si="457"/>
        <v>0</v>
      </c>
      <c r="AE1436">
        <f t="shared" si="458"/>
        <v>0</v>
      </c>
      <c r="AF1436">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42">
        <f t="shared" si="457"/>
        <v>0</v>
      </c>
      <c r="AE1437">
        <f t="shared" si="458"/>
        <v>0</v>
      </c>
      <c r="AF143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42">
        <f t="shared" si="457"/>
        <v>0</v>
      </c>
      <c r="AE1438">
        <f t="shared" si="458"/>
        <v>0</v>
      </c>
      <c r="AF1438">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42">
        <f t="shared" si="457"/>
        <v>0</v>
      </c>
      <c r="AE1439">
        <f t="shared" si="458"/>
        <v>0</v>
      </c>
      <c r="AF1439">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42">
        <f t="shared" si="457"/>
        <v>0</v>
      </c>
      <c r="AE1440">
        <f t="shared" si="458"/>
        <v>0</v>
      </c>
      <c r="AF1440">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42">
        <f t="shared" si="457"/>
        <v>0</v>
      </c>
      <c r="AE1441">
        <f t="shared" si="458"/>
        <v>0</v>
      </c>
      <c r="AF1441">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42">
        <f t="shared" si="457"/>
        <v>0</v>
      </c>
      <c r="AE1442">
        <f t="shared" si="458"/>
        <v>0</v>
      </c>
      <c r="AF1442">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42">
        <f t="shared" si="457"/>
        <v>0</v>
      </c>
      <c r="AE1443">
        <f t="shared" si="458"/>
        <v>0</v>
      </c>
      <c r="AF1443">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42">
        <f t="shared" si="457"/>
        <v>0</v>
      </c>
      <c r="AE1444">
        <f t="shared" si="458"/>
        <v>0</v>
      </c>
      <c r="AF1444">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42">
        <f t="shared" si="457"/>
        <v>0</v>
      </c>
      <c r="AE1445">
        <f t="shared" si="458"/>
        <v>0</v>
      </c>
      <c r="AF1445">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42">
        <f t="shared" si="457"/>
        <v>0</v>
      </c>
      <c r="AE1446">
        <f t="shared" si="458"/>
        <v>0</v>
      </c>
      <c r="AF1446">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42">
        <f t="shared" si="457"/>
        <v>0</v>
      </c>
      <c r="AE1447">
        <f t="shared" si="458"/>
        <v>0</v>
      </c>
      <c r="AF144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42">
        <f t="shared" si="457"/>
        <v>0</v>
      </c>
      <c r="AE1448">
        <f t="shared" si="458"/>
        <v>0</v>
      </c>
      <c r="AF1448">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42">
        <f t="shared" si="457"/>
        <v>0</v>
      </c>
      <c r="AE1449">
        <f t="shared" si="458"/>
        <v>0</v>
      </c>
      <c r="AF1449">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42">
        <f t="shared" si="457"/>
        <v>0</v>
      </c>
      <c r="AE1450">
        <f t="shared" si="458"/>
        <v>0</v>
      </c>
      <c r="AF1450">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42">
        <f t="shared" si="457"/>
        <v>0</v>
      </c>
      <c r="AE1451">
        <f t="shared" si="458"/>
        <v>0</v>
      </c>
      <c r="AF1451">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42">
        <f t="shared" si="457"/>
        <v>0</v>
      </c>
      <c r="AE1452">
        <f t="shared" si="458"/>
        <v>0</v>
      </c>
      <c r="AF1452">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42">
        <f t="shared" si="457"/>
        <v>0</v>
      </c>
      <c r="AE1453">
        <f t="shared" si="458"/>
        <v>0</v>
      </c>
      <c r="AF1453">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42">
        <f t="shared" si="457"/>
        <v>0</v>
      </c>
      <c r="AE1454">
        <f t="shared" si="458"/>
        <v>0</v>
      </c>
      <c r="AF1454">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42">
        <f t="shared" si="457"/>
        <v>0</v>
      </c>
      <c r="AE1455">
        <f t="shared" si="458"/>
        <v>0</v>
      </c>
      <c r="AF1455">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42">
        <f t="shared" si="457"/>
        <v>0</v>
      </c>
      <c r="AE1456">
        <f t="shared" si="458"/>
        <v>0</v>
      </c>
      <c r="AF1456">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42">
        <f t="shared" si="457"/>
        <v>0</v>
      </c>
      <c r="AE1457">
        <f t="shared" si="458"/>
        <v>0</v>
      </c>
      <c r="AF145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42">
        <f t="shared" si="457"/>
        <v>0</v>
      </c>
      <c r="AE1458">
        <f t="shared" si="458"/>
        <v>0</v>
      </c>
      <c r="AF1458">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42">
        <f t="shared" si="457"/>
        <v>0</v>
      </c>
      <c r="AE1459">
        <f t="shared" si="458"/>
        <v>0</v>
      </c>
      <c r="AF1459">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42">
        <f t="shared" si="457"/>
        <v>0</v>
      </c>
      <c r="AE1460">
        <f t="shared" si="458"/>
        <v>0</v>
      </c>
      <c r="AF1460">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42">
        <f t="shared" si="457"/>
        <v>0</v>
      </c>
      <c r="AE1461">
        <f t="shared" si="458"/>
        <v>0</v>
      </c>
      <c r="AF1461">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42">
        <f t="shared" si="457"/>
        <v>0</v>
      </c>
      <c r="AE1462">
        <f t="shared" si="458"/>
        <v>0</v>
      </c>
      <c r="AF1462">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42">
        <f t="shared" si="457"/>
        <v>0</v>
      </c>
      <c r="AE1463">
        <f t="shared" si="458"/>
        <v>0</v>
      </c>
      <c r="AF1463">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42">
        <f t="shared" si="457"/>
        <v>0</v>
      </c>
      <c r="AE1464">
        <f t="shared" si="458"/>
        <v>0</v>
      </c>
      <c r="AF1464">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42">
        <f t="shared" si="457"/>
        <v>0</v>
      </c>
      <c r="AE1465">
        <f t="shared" si="458"/>
        <v>0</v>
      </c>
      <c r="AF1465">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42">
        <f t="shared" si="457"/>
        <v>0</v>
      </c>
      <c r="AE1466">
        <f t="shared" si="458"/>
        <v>0</v>
      </c>
      <c r="AF1466">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42">
        <f t="shared" si="457"/>
        <v>0</v>
      </c>
      <c r="AE1467">
        <f t="shared" si="458"/>
        <v>0</v>
      </c>
      <c r="AF14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42">
        <f t="shared" si="457"/>
        <v>0</v>
      </c>
      <c r="AE1468">
        <f t="shared" si="458"/>
        <v>0</v>
      </c>
      <c r="AF1468">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42">
        <f t="shared" si="457"/>
        <v>0</v>
      </c>
      <c r="AE1469">
        <f t="shared" si="458"/>
        <v>0</v>
      </c>
      <c r="AF1469">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42">
        <f t="shared" si="457"/>
        <v>0</v>
      </c>
      <c r="AE1470">
        <f t="shared" si="458"/>
        <v>0</v>
      </c>
      <c r="AF1470">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42">
        <f t="shared" si="457"/>
        <v>0</v>
      </c>
      <c r="AE1471">
        <f t="shared" si="458"/>
        <v>0</v>
      </c>
      <c r="AF1471">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42">
        <f t="shared" si="457"/>
        <v>0</v>
      </c>
      <c r="AE1472">
        <f t="shared" si="458"/>
        <v>0</v>
      </c>
      <c r="AF1472">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42">
        <f t="shared" si="457"/>
        <v>0</v>
      </c>
      <c r="AE1473">
        <f t="shared" si="458"/>
        <v>0</v>
      </c>
      <c r="AF1473">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42">
        <f t="shared" si="457"/>
        <v>0</v>
      </c>
      <c r="AE1474">
        <f t="shared" si="458"/>
        <v>0</v>
      </c>
      <c r="AF1474">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42">
        <f t="shared" si="457"/>
        <v>0</v>
      </c>
      <c r="AE1475">
        <f t="shared" si="458"/>
        <v>0</v>
      </c>
      <c r="AF1475">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42">
        <f t="shared" ref="AD1476:AD1510" si="477">IF($D1476="",0,SUMPRODUCT(MAX(($D$4:$D$1510=$D1476)*($B$4:$B$1510&lt;$B1476)*$B$4:$B$1510)))</f>
        <v>0</v>
      </c>
      <c r="AE1476">
        <f t="shared" ref="AE1476:AE1510" si="478">IF($D1476="",0,COUNTIFS($A$4:$A$1510,$A1476,$E$4:$E$1510,"Win"))</f>
        <v>0</v>
      </c>
      <c r="AF1476">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42">
        <f t="shared" si="477"/>
        <v>0</v>
      </c>
      <c r="AE1477">
        <f t="shared" si="478"/>
        <v>0</v>
      </c>
      <c r="AF147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42">
        <f t="shared" si="477"/>
        <v>0</v>
      </c>
      <c r="AE1478">
        <f t="shared" si="478"/>
        <v>0</v>
      </c>
      <c r="AF1478">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42">
        <f t="shared" si="477"/>
        <v>0</v>
      </c>
      <c r="AE1479">
        <f t="shared" si="478"/>
        <v>0</v>
      </c>
      <c r="AF1479">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42">
        <f t="shared" si="477"/>
        <v>0</v>
      </c>
      <c r="AE1480">
        <f t="shared" si="478"/>
        <v>0</v>
      </c>
      <c r="AF1480">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42">
        <f t="shared" si="477"/>
        <v>0</v>
      </c>
      <c r="AE1481">
        <f t="shared" si="478"/>
        <v>0</v>
      </c>
      <c r="AF1481">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42">
        <f t="shared" si="477"/>
        <v>0</v>
      </c>
      <c r="AE1482">
        <f t="shared" si="478"/>
        <v>0</v>
      </c>
      <c r="AF1482">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42">
        <f t="shared" si="477"/>
        <v>0</v>
      </c>
      <c r="AE1483">
        <f t="shared" si="478"/>
        <v>0</v>
      </c>
      <c r="AF1483">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42">
        <f t="shared" si="477"/>
        <v>0</v>
      </c>
      <c r="AE1484">
        <f t="shared" si="478"/>
        <v>0</v>
      </c>
      <c r="AF1484">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42">
        <f t="shared" si="477"/>
        <v>0</v>
      </c>
      <c r="AE1485">
        <f t="shared" si="478"/>
        <v>0</v>
      </c>
      <c r="AF1485">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42">
        <f t="shared" si="477"/>
        <v>0</v>
      </c>
      <c r="AE1486">
        <f t="shared" si="478"/>
        <v>0</v>
      </c>
      <c r="AF1486">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42">
        <f t="shared" si="477"/>
        <v>0</v>
      </c>
      <c r="AE1487">
        <f t="shared" si="478"/>
        <v>0</v>
      </c>
      <c r="AF148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42">
        <f t="shared" si="477"/>
        <v>0</v>
      </c>
      <c r="AE1488">
        <f t="shared" si="478"/>
        <v>0</v>
      </c>
      <c r="AF1488">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42">
        <f t="shared" si="477"/>
        <v>0</v>
      </c>
      <c r="AE1489">
        <f t="shared" si="478"/>
        <v>0</v>
      </c>
      <c r="AF1489">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42">
        <f t="shared" si="477"/>
        <v>0</v>
      </c>
      <c r="AE1490">
        <f t="shared" si="478"/>
        <v>0</v>
      </c>
      <c r="AF1490">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42">
        <f t="shared" si="477"/>
        <v>0</v>
      </c>
      <c r="AE1491">
        <f t="shared" si="478"/>
        <v>0</v>
      </c>
      <c r="AF1491">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42">
        <f t="shared" si="477"/>
        <v>0</v>
      </c>
      <c r="AE1492">
        <f t="shared" si="478"/>
        <v>0</v>
      </c>
      <c r="AF1492">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42">
        <f t="shared" si="477"/>
        <v>0</v>
      </c>
      <c r="AE1493">
        <f t="shared" si="478"/>
        <v>0</v>
      </c>
      <c r="AF1493">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42">
        <f t="shared" si="477"/>
        <v>0</v>
      </c>
      <c r="AE1494">
        <f t="shared" si="478"/>
        <v>0</v>
      </c>
      <c r="AF1494">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42">
        <f t="shared" si="477"/>
        <v>0</v>
      </c>
      <c r="AE1495">
        <f t="shared" si="478"/>
        <v>0</v>
      </c>
      <c r="AF1495">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42">
        <f t="shared" si="477"/>
        <v>0</v>
      </c>
      <c r="AE1496">
        <f t="shared" si="478"/>
        <v>0</v>
      </c>
      <c r="AF1496">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42">
        <f t="shared" si="477"/>
        <v>0</v>
      </c>
      <c r="AE1497">
        <f t="shared" si="478"/>
        <v>0</v>
      </c>
      <c r="AF149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42">
        <f t="shared" si="477"/>
        <v>0</v>
      </c>
      <c r="AE1498">
        <f t="shared" si="478"/>
        <v>0</v>
      </c>
      <c r="AF1498">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42">
        <f t="shared" si="477"/>
        <v>0</v>
      </c>
      <c r="AE1499">
        <f t="shared" si="478"/>
        <v>0</v>
      </c>
      <c r="AF1499">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42">
        <f t="shared" si="477"/>
        <v>0</v>
      </c>
      <c r="AE1500">
        <f t="shared" si="478"/>
        <v>0</v>
      </c>
      <c r="AF1500">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42">
        <f t="shared" si="477"/>
        <v>0</v>
      </c>
      <c r="AE1501">
        <f t="shared" si="478"/>
        <v>0</v>
      </c>
      <c r="AF1501">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42">
        <f t="shared" si="477"/>
        <v>0</v>
      </c>
      <c r="AE1502">
        <f t="shared" si="478"/>
        <v>0</v>
      </c>
      <c r="AF1502">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42">
        <f t="shared" si="477"/>
        <v>0</v>
      </c>
      <c r="AE1503">
        <f t="shared" si="478"/>
        <v>0</v>
      </c>
      <c r="AF1503">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42">
        <f t="shared" si="477"/>
        <v>0</v>
      </c>
      <c r="AE1504">
        <f t="shared" si="478"/>
        <v>0</v>
      </c>
      <c r="AF1504">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42">
        <f t="shared" si="477"/>
        <v>0</v>
      </c>
      <c r="AE1505">
        <f t="shared" si="478"/>
        <v>0</v>
      </c>
      <c r="AF1505">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42">
        <f t="shared" si="477"/>
        <v>0</v>
      </c>
      <c r="AE1506">
        <f t="shared" si="478"/>
        <v>0</v>
      </c>
      <c r="AF1506">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42">
        <f t="shared" si="477"/>
        <v>0</v>
      </c>
      <c r="AE1507">
        <f t="shared" si="478"/>
        <v>0</v>
      </c>
      <c r="AF150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42">
        <f t="shared" si="477"/>
        <v>0</v>
      </c>
      <c r="AE1508">
        <f t="shared" si="478"/>
        <v>0</v>
      </c>
      <c r="AF1508">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42">
        <f t="shared" si="477"/>
        <v>0</v>
      </c>
      <c r="AE1509">
        <f t="shared" si="478"/>
        <v>0</v>
      </c>
      <c r="AF1509">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42">
        <f t="shared" si="477"/>
        <v>0</v>
      </c>
      <c r="AE1510">
        <f t="shared" si="478"/>
        <v>0</v>
      </c>
      <c r="AF1510">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64" t="s">
        <v>373</v>
      </c>
      <c r="B2" s="146"/>
      <c r="C2" s="146"/>
      <c r="D2" s="146"/>
      <c r="E2" s="146"/>
      <c r="F2" s="146"/>
      <c r="G2" s="146"/>
      <c r="H2" s="146"/>
      <c r="I2" s="146"/>
      <c r="J2" s="146"/>
      <c r="K2" s="146"/>
      <c r="L2" s="146"/>
      <c r="M2" s="146"/>
      <c r="N2" s="146"/>
      <c r="O2" s="146"/>
      <c r="P2" s="146"/>
      <c r="Q2" s="146"/>
      <c r="R2" s="146"/>
    </row>
    <row r="3" spans="1:18" ht="15" customHeight="1" x14ac:dyDescent="0.2">
      <c r="A3" s="43" t="s">
        <v>374</v>
      </c>
      <c r="B3" s="127">
        <f>COUNTA($B$6:$O$6)</f>
        <v>14</v>
      </c>
      <c r="C3" s="43" t="s">
        <v>375</v>
      </c>
      <c r="D3" s="127">
        <f>INT($B$3/2)+1</f>
        <v>8</v>
      </c>
      <c r="E3" s="43" t="s">
        <v>376</v>
      </c>
      <c r="F3" s="127">
        <f>ROUNDUP($B$3/2,0)</f>
        <v>7</v>
      </c>
      <c r="H3" s="164" t="s">
        <v>377</v>
      </c>
      <c r="I3" s="146"/>
      <c r="J3" s="146"/>
      <c r="K3" s="146"/>
      <c r="L3" s="146"/>
      <c r="M3" s="146"/>
      <c r="N3" s="146"/>
      <c r="O3" s="146"/>
      <c r="P3" s="146"/>
      <c r="Q3" s="146"/>
      <c r="R3" s="146"/>
    </row>
    <row r="5" spans="1:18" ht="15" customHeight="1" x14ac:dyDescent="0.2">
      <c r="A5" s="162" t="s">
        <v>378</v>
      </c>
      <c r="B5" s="146"/>
      <c r="C5" s="146"/>
      <c r="D5" s="146"/>
      <c r="E5" s="146"/>
      <c r="F5" s="146"/>
      <c r="G5" s="146"/>
      <c r="H5" s="146"/>
      <c r="I5" s="146"/>
      <c r="J5" s="146"/>
      <c r="K5" s="146"/>
      <c r="L5" s="146"/>
      <c r="M5" s="146"/>
      <c r="N5" s="146"/>
      <c r="O5" s="146"/>
      <c r="P5" s="146"/>
      <c r="Q5" s="146"/>
      <c r="R5" s="146"/>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62" t="s">
        <v>387</v>
      </c>
      <c r="B29" s="146"/>
      <c r="C29" s="146"/>
      <c r="D29" s="146"/>
      <c r="E29" s="146"/>
      <c r="F29" s="146"/>
      <c r="G29" s="146"/>
      <c r="H29" s="146"/>
      <c r="I29" s="146"/>
      <c r="J29" s="146"/>
      <c r="K29" s="146"/>
      <c r="L29" s="146"/>
      <c r="M29" s="146"/>
      <c r="N29" s="146"/>
      <c r="O29" s="146"/>
      <c r="P29" s="146"/>
      <c r="Q29" s="146"/>
      <c r="R29" s="146"/>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6" t="s">
        <v>390</v>
      </c>
      <c r="B1" s="146"/>
      <c r="C1" s="146"/>
    </row>
    <row r="2" spans="1:20" ht="40.5" customHeight="1" x14ac:dyDescent="0.2">
      <c r="A2" s="168" t="s">
        <v>391</v>
      </c>
      <c r="B2" s="146"/>
      <c r="C2" s="146"/>
      <c r="D2" s="146"/>
      <c r="E2" s="146"/>
      <c r="F2" s="146"/>
      <c r="G2" s="146"/>
      <c r="H2" s="146"/>
      <c r="I2" s="146"/>
      <c r="J2" s="146"/>
      <c r="K2" s="146"/>
      <c r="L2" s="132"/>
      <c r="M2" s="132"/>
      <c r="N2" s="132"/>
      <c r="O2" s="132"/>
      <c r="P2" s="132"/>
      <c r="Q2" s="132"/>
      <c r="R2" s="132"/>
      <c r="S2" s="132"/>
      <c r="T2" s="132"/>
    </row>
    <row r="3" spans="1:20" x14ac:dyDescent="0.2">
      <c r="A3" s="133" t="s">
        <v>392</v>
      </c>
      <c r="D3" s="167" t="s">
        <v>393</v>
      </c>
      <c r="E3" s="146"/>
      <c r="F3" s="146"/>
      <c r="G3" s="146"/>
      <c r="H3" s="146"/>
      <c r="I3" s="146"/>
      <c r="J3" s="146"/>
      <c r="K3" s="146"/>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46285</v>
      </c>
    </row>
    <row r="4" spans="1:41" ht="15" customHeight="1" x14ac:dyDescent="0.2">
      <c r="A4" t="s">
        <v>416</v>
      </c>
      <c r="B4" s="138">
        <f>MAX('Match Log'!$B$4:$B$1510)</f>
        <v>46292</v>
      </c>
      <c r="C4" t="s">
        <v>417</v>
      </c>
      <c r="D4" s="138">
        <f ca="1">MAX($B$4,TODAY())</f>
        <v>46292</v>
      </c>
    </row>
    <row r="5" spans="1:41" x14ac:dyDescent="0.2">
      <c r="B5" s="137">
        <f ca="1">TODAY()-7</f>
        <v>46285</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1217.5573388632245</v>
      </c>
      <c r="C7">
        <f>IFERROR(INDEX(Engine!$C$2:$C$15,MATCH($A7,Engine!$A$2:$A$15,0)),"")</f>
        <v>1123.3386571798642</v>
      </c>
      <c r="D7">
        <f t="shared" ref="D7:D20" si="0">RANK($B7,$B$7:$B$20)</f>
        <v>3</v>
      </c>
      <c r="E7">
        <f t="shared" ref="E7:E20" si="1">MAX($B$7:$B$20)-$B7</f>
        <v>15.939681841992524</v>
      </c>
      <c r="F7" t="str">
        <f>IFERROR(LOOKUP(2,1/('Match Log'!$D$4:$D$1510=$A7),'Match Log'!$E$4:$E$1510),"")</f>
        <v>Loss</v>
      </c>
      <c r="G7">
        <f>IF($F7="",0,SUMPRODUCT(('Match Log'!$D$4:$D$1510=$A7)*(ROW('Match Log'!$A$4:$A$1510)&gt;SUMPRODUCT(MAX(('Match Log'!$D$4:$D$1510=$A7)*('Match Log'!$E$4:$E$1510&lt;&gt;$F7)*ROW('Match Log'!$A$4:$A$1510))))))</f>
        <v>5</v>
      </c>
      <c r="H7" t="str">
        <f t="shared" ref="H7:H20" si="2">IF($G7=0,"",LEFT($F7,1)&amp;$G7)</f>
        <v>L5</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LLLLL</v>
      </c>
      <c r="J7">
        <f t="shared" ref="J7:J20" ca="1" si="3">$AL7-$AM7+$AN7-$AO7+ROW()/10000000</f>
        <v>1244.4221860966829</v>
      </c>
      <c r="K7">
        <f t="shared" ref="K7:K20" ca="1" si="4">RANK($J7,$J$7:$J$20)</f>
        <v>1</v>
      </c>
      <c r="L7">
        <f t="shared" ref="L7:L20" ca="1" si="5">$K7-RANK($AI7,$AI$7:$AI$20)</f>
        <v>-2</v>
      </c>
      <c r="M7">
        <f t="shared" ref="M7:M20" si="6">SUMPRODUCT(($D$25:$D$724=$A7)*($G$25:$G$724&gt;0.25)*($D$25:$D$724&lt;&gt;""))</f>
        <v>7</v>
      </c>
      <c r="N7">
        <f t="shared" ref="N7:N20" si="7">LEN($I7)-LEN(SUBSTITUTE($I7,"W",""))</f>
        <v>0</v>
      </c>
      <c r="O7">
        <f t="shared" ref="O7:O20" si="8">IF($F7="Win",$G7,0)</f>
        <v>0</v>
      </c>
      <c r="P7">
        <f>IFERROR(SUMPRODUCT(MAX(('Match Log'!$D$4:$D$1510=$A7)*'Match Log'!$B$4:$B$1510)),0)</f>
        <v>46290</v>
      </c>
      <c r="Q7">
        <f t="shared" ref="Q7:Q20" ca="1" si="9">IF($P7=0,"",($D$4-$P7)/7)</f>
        <v>0.2857142857142857</v>
      </c>
      <c r="R7">
        <f ca="1">IF($P7=0,0,IF($Q7&gt;='Guide &amp; Settings'!$C$48,(INT($Q7-'Guide &amp; Settings'!$C$48)+1)*'Guide &amp; Settings'!$C$49,0))</f>
        <v>0</v>
      </c>
      <c r="S7">
        <f ca="1">$B7-$R7-$U7+SUMIF('Poker Stake Ledger'!$C$18:$C$137,$A7,'Poker Stake Ledger'!$K$18:$K$137)</f>
        <v>1196.4573388632245</v>
      </c>
      <c r="T7" t="str">
        <f ca="1">IF($P7=0,"No games",IF($Q7&gt;='Guide &amp; Settings'!$C$48,"Inactive",IF($Q7&gt;='Guide &amp; Settings'!$C$47,"At risk","Active")))</f>
        <v>Active</v>
      </c>
      <c r="U7">
        <f>SUMIF('Match Log'!$D$4:$D$1510,$A7,'Match Log'!$AC$4:$AC$1510)</f>
        <v>10</v>
      </c>
      <c r="V7">
        <f t="shared" ref="V7:V20" si="10">IF($F7="Loss",$G7,0)</f>
        <v>5</v>
      </c>
      <c r="W7">
        <f t="shared" ref="W7:W20" ca="1" si="11">MAX(0,MIN(100,50+($S7-1000)/4))</f>
        <v>99.114334715806137</v>
      </c>
      <c r="X7">
        <f ca="1">IFERROR(INDEX(Dashboard!$G$5:$G$18,MATCH($A7,Dashboard!$B$5:$B$18,0))*100,0)</f>
        <v>47.191011235955052</v>
      </c>
      <c r="Y7">
        <f ca="1">MIN(100,IFERROR(INDEX(Dashboard!$K$5:$K$18,MATCH($A7,Dashboard!$B$5:$B$18,0)),0)/5*50+$AC7/4*50)</f>
        <v>100</v>
      </c>
      <c r="Z7">
        <f t="shared" ref="Z7:Z20" si="12">IFERROR($N7/LEN($I7)*100,0)</f>
        <v>0</v>
      </c>
      <c r="AA7">
        <f t="shared" ref="AA7:AA20" si="13">IF($C7="",0,MAX(0,MIN(100,50+($C7-1000)/4)))</f>
        <v>80.834664294966046</v>
      </c>
      <c r="AB7">
        <f t="shared" ref="AB7:AB20" ca="1" si="14">0.35*$W7+0.2*$X7+0.2*$Y7+0.15*$Z7+0.1*$AA7</f>
        <v>72.211685827219767</v>
      </c>
      <c r="AC7">
        <f>IFERROR(SUMPRODUCT((INDEX('Sport Records'!$B$8:$O$32,0,MATCH($A7,'Sport Records'!$B$7:$O$7,0))&gt;=2)*(INDEX('Sport Records'!$B$62:$O$86,0,MATCH($A7,'Sport Records'!$B$61:$O$61,0))&gt;=0.5)),0)</f>
        <v>4</v>
      </c>
      <c r="AD7">
        <f ca="1">IFERROR(INDEX(Dashboard!$D$5:$D$18,MATCH($A7,Dashboard!$B$5:$B$18,0)),0)</f>
        <v>89</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5</v>
      </c>
      <c r="AH7">
        <f ca="1">COUNTIFS('Match Log'!$D$4:$D$1510,$A7,'Match Log'!$B$4:$B$1510,"&gt;="&amp;$B$5,'Match Log'!$E$4:$E$1510,"Win")</f>
        <v>0</v>
      </c>
      <c r="AI7">
        <f t="shared" ref="AI7:AI20" ca="1" si="16">IF(ISNUMBER($S7),$S7,-1000000)+ROW()/10000000</f>
        <v>1196.4573395632247</v>
      </c>
      <c r="AK7">
        <f ca="1">_xlfn.MAXIFS('Match Log'!$B$4:$B$1510,'Match Log'!$D$4:$D$1510,$A7,'Match Log'!$B$4:$B$1510,"&lt;="&amp;($D$4-7))</f>
        <v>46256</v>
      </c>
      <c r="AL7">
        <f ca="1">IFERROR(LOOKUP(2,1/(('Match Log'!$D$4:$D$1510=$A7)*('Match Log'!$B$4:$B$1510&lt;=$D$4-7)),'Match Log'!$N$4:$N$1510),1000)</f>
        <v>1265.5221853966827</v>
      </c>
      <c r="AM7">
        <f ca="1">SUMIFS('Match Log'!$AC$4:$AC$1510,'Match Log'!$D$4:$D$1510,$A7,'Match Log'!$B$4:$B$1510,"&lt;="&amp;($D$4-7))</f>
        <v>0</v>
      </c>
      <c r="AN7">
        <f ca="1">SUMIFS('Poker Stake Ledger'!$K$18:$K$137,'Poker Stake Ledger'!$C$18:$C$137,$A7,'Poker Stake Ledger'!$B$18:$B$137,"&lt;="&amp;($D$4-7))</f>
        <v>-11.100000000000001</v>
      </c>
      <c r="AO7">
        <f ca="1">IF($AK7=0,0,IF(($D$4-7-$AK7)/7&gt;='Guide &amp; Settings'!$C$48,(INT(($D$4-7-$AK7)/7-'Guide &amp; Settings'!$C$48)+1)*'Guide &amp; Settings'!$C$49,0))</f>
        <v>10</v>
      </c>
    </row>
    <row r="8" spans="1:41" ht="15" customHeight="1" x14ac:dyDescent="0.2">
      <c r="A8" t="s">
        <v>16</v>
      </c>
      <c r="B8">
        <f>IFERROR(INDEX(Engine!$B$2:$B$15,MATCH($A8,Engine!$A$2:$A$15,0)),1000)</f>
        <v>1029.5175965335138</v>
      </c>
      <c r="C8">
        <f>IFERROR(INDEX(Engine!$C$2:$C$15,MATCH($A8,Engine!$A$2:$A$15,0)),"")</f>
        <v>1093.9220605220819</v>
      </c>
      <c r="D8">
        <f t="shared" si="0"/>
        <v>9</v>
      </c>
      <c r="E8">
        <f t="shared" si="1"/>
        <v>203.97942417170316</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929.51759733351378</v>
      </c>
      <c r="K8">
        <f t="shared" ca="1" si="4"/>
        <v>12</v>
      </c>
      <c r="L8">
        <f t="shared" ca="1" si="5"/>
        <v>0</v>
      </c>
      <c r="M8">
        <f t="shared" si="6"/>
        <v>0</v>
      </c>
      <c r="N8">
        <f t="shared" si="7"/>
        <v>2</v>
      </c>
      <c r="O8">
        <f t="shared" si="8"/>
        <v>0</v>
      </c>
      <c r="P8">
        <f>IFERROR(SUMPRODUCT(MAX(('Match Log'!$D$4:$D$1510=$A8)*'Match Log'!$B$4:$B$1510)),0)</f>
        <v>46188</v>
      </c>
      <c r="Q8">
        <f t="shared" ca="1" si="9"/>
        <v>14.857142857142858</v>
      </c>
      <c r="R8">
        <f ca="1">IF($P8=0,0,IF($Q8&gt;='Guide &amp; Settings'!$C$48,(INT($Q8-'Guide &amp; Settings'!$C$48)+1)*'Guide &amp; Settings'!$C$49,0))</f>
        <v>110</v>
      </c>
      <c r="S8">
        <f ca="1">$B8-$R8-$U8+SUMIF('Poker Stake Ledger'!$C$18:$C$137,$A8,'Poker Stake Ledger'!$K$18:$K$137)</f>
        <v>919.51759653351382</v>
      </c>
      <c r="T8" t="str">
        <f ca="1">IF($P8=0,"No games",IF($Q8&gt;='Guide &amp; Settings'!$C$48,"Inactive",IF($Q8&gt;='Guide &amp; Settings'!$C$47,"At risk","Active")))</f>
        <v>Inactive</v>
      </c>
      <c r="U8">
        <f>SUMIF('Match Log'!$D$4:$D$1510,$A8,'Match Log'!$AC$4:$AC$1510)</f>
        <v>0</v>
      </c>
      <c r="V8">
        <f t="shared" si="10"/>
        <v>2</v>
      </c>
      <c r="W8">
        <f t="shared" ca="1" si="11"/>
        <v>29.879399133378456</v>
      </c>
      <c r="X8">
        <f ca="1">IFERROR(INDEX(Dashboard!$G$5:$G$18,MATCH($A8,Dashboard!$B$5:$B$18,0))*100,0)</f>
        <v>50</v>
      </c>
      <c r="Y8">
        <f ca="1">MIN(100,IFERROR(INDEX(Dashboard!$K$5:$K$18,MATCH($A8,Dashboard!$B$5:$B$18,0)),0)/5*50+$AC8/4*50)</f>
        <v>42.5</v>
      </c>
      <c r="Z8">
        <f t="shared" si="12"/>
        <v>40</v>
      </c>
      <c r="AA8">
        <f t="shared" si="13"/>
        <v>73.480515130520473</v>
      </c>
      <c r="AB8">
        <f t="shared" ca="1" si="14"/>
        <v>42.30584120973451</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919.51759733351378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100</v>
      </c>
    </row>
    <row r="9" spans="1:41" ht="15" customHeight="1" x14ac:dyDescent="0.2">
      <c r="A9" t="s">
        <v>17</v>
      </c>
      <c r="B9">
        <f>IFERROR(INDEX(Engine!$B$2:$B$15,MATCH($A9,Engine!$A$2:$A$15,0)),1000)</f>
        <v>1081.2287215286424</v>
      </c>
      <c r="C9">
        <f>IFERROR(INDEX(Engine!$C$2:$C$15,MATCH($A9,Engine!$A$2:$A$15,0)),"")</f>
        <v>1127.400685202153</v>
      </c>
      <c r="D9">
        <f t="shared" si="0"/>
        <v>8</v>
      </c>
      <c r="E9">
        <f t="shared" si="1"/>
        <v>152.2682991765746</v>
      </c>
      <c r="F9" t="str">
        <f>IFERROR(LOOKUP(2,1/('Match Log'!$D$4:$D$1510=$A9),'Match Log'!$E$4:$E$1510),"")</f>
        <v>Loss</v>
      </c>
      <c r="G9">
        <f>IF($F9="",0,SUMPRODUCT(('Match Log'!$D$4:$D$1510=$A9)*(ROW('Match Log'!$A$4:$A$1510)&gt;SUMPRODUCT(MAX(('Match Log'!$D$4:$D$1510=$A9)*('Match Log'!$E$4:$E$1510&lt;&gt;$F9)*ROW('Match Log'!$A$4:$A$1510))))))</f>
        <v>1</v>
      </c>
      <c r="H9" t="str">
        <f t="shared" si="2"/>
        <v>L1</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LLWWL</v>
      </c>
      <c r="J9">
        <f t="shared" ca="1" si="3"/>
        <v>1061.2287224286424</v>
      </c>
      <c r="K9">
        <f t="shared" ca="1" si="4"/>
        <v>7</v>
      </c>
      <c r="L9">
        <f t="shared" ca="1" si="5"/>
        <v>0</v>
      </c>
      <c r="M9">
        <f t="shared" si="6"/>
        <v>0</v>
      </c>
      <c r="N9">
        <f t="shared" si="7"/>
        <v>2</v>
      </c>
      <c r="O9">
        <f t="shared" si="8"/>
        <v>0</v>
      </c>
      <c r="P9">
        <f>IFERROR(SUMPRODUCT(MAX(('Match Log'!$D$4:$D$1510=$A9)*'Match Log'!$B$4:$B$1510)),0)</f>
        <v>46274</v>
      </c>
      <c r="Q9">
        <f t="shared" ca="1" si="9"/>
        <v>2.5714285714285716</v>
      </c>
      <c r="R9">
        <f ca="1">IF($P9=0,0,IF($Q9&gt;='Guide &amp; Settings'!$C$48,(INT($Q9-'Guide &amp; Settings'!$C$48)+1)*'Guide &amp; Settings'!$C$49,0))</f>
        <v>0</v>
      </c>
      <c r="S9">
        <f ca="1">$B9-$R9-$U9+SUMIF('Poker Stake Ledger'!$C$18:$C$137,$A9,'Poker Stake Ledger'!$K$18:$K$137)</f>
        <v>1061.2287215286424</v>
      </c>
      <c r="T9" t="str">
        <f ca="1">IF($P9=0,"No games",IF($Q9&gt;='Guide &amp; Settings'!$C$48,"Inactive",IF($Q9&gt;='Guide &amp; Settings'!$C$47,"At risk","Active")))</f>
        <v>At risk</v>
      </c>
      <c r="U9">
        <f>SUMIF('Match Log'!$D$4:$D$1510,$A9,'Match Log'!$AC$4:$AC$1510)</f>
        <v>20</v>
      </c>
      <c r="V9">
        <f t="shared" si="10"/>
        <v>1</v>
      </c>
      <c r="W9">
        <f t="shared" ca="1" si="11"/>
        <v>65.307180382160595</v>
      </c>
      <c r="X9">
        <f ca="1">IFERROR(INDEX(Dashboard!$G$5:$G$18,MATCH($A9,Dashboard!$B$5:$B$18,0))*100,0)</f>
        <v>45</v>
      </c>
      <c r="Y9">
        <f ca="1">MIN(100,IFERROR(INDEX(Dashboard!$K$5:$K$18,MATCH($A9,Dashboard!$B$5:$B$18,0)),0)/5*50+$AC9/4*50)</f>
        <v>100</v>
      </c>
      <c r="Z9">
        <f t="shared" si="12"/>
        <v>40</v>
      </c>
      <c r="AA9">
        <f t="shared" si="13"/>
        <v>81.85017130053825</v>
      </c>
      <c r="AB9">
        <f t="shared" ca="1" si="14"/>
        <v>66.042530263810036</v>
      </c>
      <c r="AC9">
        <f>IFERROR(SUMPRODUCT((INDEX('Sport Records'!$B$8:$O$32,0,MATCH($A9,'Sport Records'!$B$7:$O$7,0))&gt;=2)*(INDEX('Sport Records'!$B$62:$O$86,0,MATCH($A9,'Sport Records'!$B$61:$O$61,0))&gt;=0.5)),0)</f>
        <v>3</v>
      </c>
      <c r="AD9">
        <f ca="1">IFERROR(INDEX(Dashboard!$D$5:$D$18,MATCH($A9,Dashboard!$B$5:$B$18,0)),0)</f>
        <v>20</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1061.2287224286424</v>
      </c>
      <c r="AK9">
        <f ca="1">_xlfn.MAXIFS('Match Log'!$B$4:$B$1510,'Match Log'!$D$4:$D$1510,$A9,'Match Log'!$B$4:$B$1510,"&lt;="&amp;($D$4-7))</f>
        <v>46274</v>
      </c>
      <c r="AL9">
        <f ca="1">IFERROR(LOOKUP(2,1/(('Match Log'!$D$4:$D$1510=$A9)*('Match Log'!$B$4:$B$1510&lt;=$D$4-7)),'Match Log'!$N$4:$N$1510),1000)</f>
        <v>1081.2287215286424</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1159.2986464389289</v>
      </c>
      <c r="D10">
        <f t="shared" si="0"/>
        <v>13</v>
      </c>
      <c r="E10">
        <f t="shared" si="1"/>
        <v>326.46568426404269</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877.03133744117429</v>
      </c>
      <c r="K10">
        <f t="shared" ca="1" si="4"/>
        <v>13</v>
      </c>
      <c r="L10">
        <f t="shared" ca="1" si="5"/>
        <v>0</v>
      </c>
      <c r="M10">
        <f t="shared" si="6"/>
        <v>0</v>
      </c>
      <c r="N10">
        <f t="shared" si="7"/>
        <v>0</v>
      </c>
      <c r="O10">
        <f t="shared" si="8"/>
        <v>0</v>
      </c>
      <c r="P10">
        <f>IFERROR(SUMPRODUCT(MAX(('Match Log'!$D$4:$D$1510=$A10)*'Match Log'!$B$4:$B$1510)),0)</f>
        <v>46256</v>
      </c>
      <c r="Q10">
        <f t="shared" ca="1" si="9"/>
        <v>5.1428571428571432</v>
      </c>
      <c r="R10">
        <f ca="1">IF($P10=0,0,IF($Q10&gt;='Guide &amp; Settings'!$C$48,(INT($Q10-'Guide &amp; Settings'!$C$48)+1)*'Guide &amp; Settings'!$C$49,0))</f>
        <v>20</v>
      </c>
      <c r="S10">
        <f ca="1">$B10-$R10-$U10+SUMIF('Poker Stake Ledger'!$C$18:$C$137,$A10,'Poker Stake Ledger'!$K$18:$K$137)</f>
        <v>867.03133644117429</v>
      </c>
      <c r="T10" t="str">
        <f ca="1">IF($P10=0,"No games",IF($Q10&gt;='Guide &amp; Settings'!$C$48,"Inactive",IF($Q10&gt;='Guide &amp; Settings'!$C$47,"At risk","Active")))</f>
        <v>Inactive</v>
      </c>
      <c r="U10">
        <f>SUMIF('Match Log'!$D$4:$D$1510,$A10,'Match Log'!$AC$4:$AC$1510)</f>
        <v>20</v>
      </c>
      <c r="V10">
        <f t="shared" si="10"/>
        <v>5</v>
      </c>
      <c r="W10">
        <f t="shared" ca="1" si="11"/>
        <v>16.757834110293572</v>
      </c>
      <c r="X10">
        <f ca="1">IFERROR(INDEX(Dashboard!$G$5:$G$18,MATCH($A10,Dashboard!$B$5:$B$18,0))*100,0)</f>
        <v>21.739130434782609</v>
      </c>
      <c r="Y10">
        <f ca="1">MIN(100,IFERROR(INDEX(Dashboard!$K$5:$K$18,MATCH($A10,Dashboard!$B$5:$B$18,0)),0)/5*50+$AC10/4*50)</f>
        <v>60</v>
      </c>
      <c r="Z10">
        <f t="shared" si="12"/>
        <v>0</v>
      </c>
      <c r="AA10">
        <f t="shared" si="13"/>
        <v>89.824661609732232</v>
      </c>
      <c r="AB10">
        <f t="shared" ca="1" si="14"/>
        <v>31.195534186532498</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867.03133744117429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10</v>
      </c>
    </row>
    <row r="11" spans="1:41" ht="15" customHeight="1" x14ac:dyDescent="0.2">
      <c r="A11" t="s">
        <v>19</v>
      </c>
      <c r="B11">
        <f>IFERROR(INDEX(Engine!$B$2:$B$15,MATCH($A11,Engine!$A$2:$A$15,0)),1000)</f>
        <v>1233.497020705217</v>
      </c>
      <c r="C11">
        <f>IFERROR(INDEX(Engine!$C$2:$C$15,MATCH($A11,Engine!$A$2:$A$15,0)),"")</f>
        <v>1122.8870443335802</v>
      </c>
      <c r="D11">
        <f t="shared" si="0"/>
        <v>1</v>
      </c>
      <c r="E11">
        <f t="shared" si="1"/>
        <v>0</v>
      </c>
      <c r="F11" t="str">
        <f>IFERROR(LOOKUP(2,1/('Match Log'!$D$4:$D$1510=$A11),'Match Log'!$E$4:$E$1510),"")</f>
        <v>Win</v>
      </c>
      <c r="G11">
        <f>IF($F11="",0,SUMPRODUCT(('Match Log'!$D$4:$D$1510=$A11)*(ROW('Match Log'!$A$4:$A$1510)&gt;SUMPRODUCT(MAX(('Match Log'!$D$4:$D$1510=$A11)*('Match Log'!$E$4:$E$1510&lt;&gt;$F11)*ROW('Match Log'!$A$4:$A$1510))))))</f>
        <v>5</v>
      </c>
      <c r="H11" t="str">
        <f t="shared" si="2"/>
        <v>W5</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WWWWW</v>
      </c>
      <c r="J11">
        <f t="shared" ca="1" si="3"/>
        <v>1214.0621503095624</v>
      </c>
      <c r="K11">
        <f t="shared" ca="1" si="4"/>
        <v>4</v>
      </c>
      <c r="L11">
        <f t="shared" ca="1" si="5"/>
        <v>3</v>
      </c>
      <c r="M11">
        <f t="shared" si="6"/>
        <v>2</v>
      </c>
      <c r="N11">
        <f t="shared" si="7"/>
        <v>5</v>
      </c>
      <c r="O11">
        <f t="shared" si="8"/>
        <v>5</v>
      </c>
      <c r="P11">
        <f>IFERROR(SUMPRODUCT(MAX(('Match Log'!$D$4:$D$1510=$A11)*'Match Log'!$B$4:$B$1510)),0)</f>
        <v>46292</v>
      </c>
      <c r="Q11">
        <f t="shared" ca="1" si="9"/>
        <v>0</v>
      </c>
      <c r="R11">
        <f ca="1">IF($P11=0,0,IF($Q11&gt;='Guide &amp; Settings'!$C$48,(INT($Q11-'Guide &amp; Settings'!$C$48)+1)*'Guide &amp; Settings'!$C$49,0))</f>
        <v>0</v>
      </c>
      <c r="S11">
        <f ca="1">$B11-$R11-$U11+SUMIF('Poker Stake Ledger'!$C$18:$C$137,$A11,'Poker Stake Ledger'!$K$18:$K$137)</f>
        <v>1255.247020705217</v>
      </c>
      <c r="T11" t="str">
        <f ca="1">IF($P11=0,"No games",IF($Q11&gt;='Guide &amp; Settings'!$C$48,"Inactive",IF($Q11&gt;='Guide &amp; Settings'!$C$47,"At risk","Active")))</f>
        <v>Active</v>
      </c>
      <c r="U11">
        <f>SUMIF('Match Log'!$D$4:$D$1510,$A11,'Match Log'!$AC$4:$AC$1510)</f>
        <v>0</v>
      </c>
      <c r="V11">
        <f t="shared" si="10"/>
        <v>0</v>
      </c>
      <c r="W11">
        <f t="shared" ca="1" si="11"/>
        <v>100</v>
      </c>
      <c r="X11">
        <f ca="1">IFERROR(INDEX(Dashboard!$G$5:$G$18,MATCH($A11,Dashboard!$B$5:$B$18,0))*100,0)</f>
        <v>60.9375</v>
      </c>
      <c r="Y11">
        <f ca="1">MIN(100,IFERROR(INDEX(Dashboard!$K$5:$K$18,MATCH($A11,Dashboard!$B$5:$B$18,0)),0)/5*50+$AC11/4*50)</f>
        <v>100</v>
      </c>
      <c r="Z11">
        <f t="shared" si="12"/>
        <v>100</v>
      </c>
      <c r="AA11">
        <f t="shared" si="13"/>
        <v>80.721761083395052</v>
      </c>
      <c r="AB11">
        <f t="shared" ca="1" si="14"/>
        <v>90.259676108339505</v>
      </c>
      <c r="AC11">
        <f>IFERROR(SUMPRODUCT((INDEX('Sport Records'!$B$8:$O$32,0,MATCH($A11,'Sport Records'!$B$7:$O$7,0))&gt;=2)*(INDEX('Sport Records'!$B$62:$O$86,0,MATCH($A11,'Sport Records'!$B$61:$O$61,0))&gt;=0.5)),0)</f>
        <v>9</v>
      </c>
      <c r="AD11">
        <f ca="1">IFERROR(INDEX(Dashboard!$D$5:$D$18,MATCH($A11,Dashboard!$B$5:$B$18,0)),0)</f>
        <v>64</v>
      </c>
      <c r="AE11">
        <f ca="1">IFERROR(INDEX(Dashboard!$K$5:$K$18,MATCH($A11,Dashboard!$B$5:$B$18,0)),0)</f>
        <v>15</v>
      </c>
      <c r="AF11" t="str">
        <f t="shared" ca="1" si="15"/>
        <v>Elite</v>
      </c>
      <c r="AG11">
        <f ca="1">COUNTIFS('Match Log'!$D$4:$D$1510,$A11,'Match Log'!$B$4:$B$1510,"&gt;="&amp;$B$5)</f>
        <v>2</v>
      </c>
      <c r="AH11">
        <f ca="1">COUNTIFS('Match Log'!$D$4:$D$1510,$A11,'Match Log'!$B$4:$B$1510,"&gt;="&amp;$B$5,'Match Log'!$E$4:$E$1510,"Win")</f>
        <v>2</v>
      </c>
      <c r="AI11">
        <f t="shared" ca="1" si="16"/>
        <v>1255.2470218052169</v>
      </c>
      <c r="AK11">
        <f ca="1">_xlfn.MAXIFS('Match Log'!$B$4:$B$1510,'Match Log'!$D$4:$D$1510,$A11,'Match Log'!$B$4:$B$1510,"&lt;="&amp;($D$4-7))</f>
        <v>46272</v>
      </c>
      <c r="AL11">
        <f ca="1">IFERROR(LOOKUP(2,1/(('Match Log'!$D$4:$D$1510=$A11)*('Match Log'!$B$4:$B$1510&lt;=$D$4-7)),'Match Log'!$N$4:$N$1510),1000)</f>
        <v>1192.3121492095624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1132.8537274164212</v>
      </c>
      <c r="C12">
        <f>IFERROR(INDEX(Engine!$C$2:$C$15,MATCH($A12,Engine!$A$2:$A$15,0)),"")</f>
        <v>1144.9300050548341</v>
      </c>
      <c r="D12">
        <f t="shared" si="0"/>
        <v>6</v>
      </c>
      <c r="E12">
        <f t="shared" si="1"/>
        <v>100.6432932887958</v>
      </c>
      <c r="F12" t="str">
        <f>IFERROR(LOOKUP(2,1/('Match Log'!$D$4:$D$1510=$A12),'Match Log'!$E$4:$E$1510),"")</f>
        <v>Loss</v>
      </c>
      <c r="G12">
        <f>IF($F12="",0,SUMPRODUCT(('Match Log'!$D$4:$D$1510=$A12)*(ROW('Match Log'!$A$4:$A$1510)&gt;SUMPRODUCT(MAX(('Match Log'!$D$4:$D$1510=$A12)*('Match Log'!$E$4:$E$1510&lt;&gt;$F12)*ROW('Match Log'!$A$4:$A$1510))))))</f>
        <v>6</v>
      </c>
      <c r="H12" t="str">
        <f t="shared" si="2"/>
        <v>L6</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LLLLL</v>
      </c>
      <c r="J12">
        <f t="shared" ca="1" si="3"/>
        <v>1224.3457490478258</v>
      </c>
      <c r="K12">
        <f t="shared" ca="1" si="4"/>
        <v>2</v>
      </c>
      <c r="L12">
        <f t="shared" ca="1" si="5"/>
        <v>-4</v>
      </c>
      <c r="M12">
        <f t="shared" si="6"/>
        <v>6</v>
      </c>
      <c r="N12">
        <f t="shared" si="7"/>
        <v>0</v>
      </c>
      <c r="O12">
        <f t="shared" si="8"/>
        <v>0</v>
      </c>
      <c r="P12">
        <f>IFERROR(SUMPRODUCT(MAX(('Match Log'!$D$4:$D$1510=$A12)*'Match Log'!$B$4:$B$1510)),0)</f>
        <v>46291</v>
      </c>
      <c r="Q12">
        <f t="shared" ca="1" si="9"/>
        <v>0.14285714285714285</v>
      </c>
      <c r="R12">
        <f ca="1">IF($P12=0,0,IF($Q12&gt;='Guide &amp; Settings'!$C$48,(INT($Q12-'Guide &amp; Settings'!$C$48)+1)*'Guide &amp; Settings'!$C$49,0))</f>
        <v>0</v>
      </c>
      <c r="S12">
        <f ca="1">$B12-$R12-$U12+SUMIF('Poker Stake Ledger'!$C$18:$C$137,$A12,'Poker Stake Ledger'!$K$18:$K$137)</f>
        <v>1129.1037274164212</v>
      </c>
      <c r="T12" t="str">
        <f ca="1">IF($P12=0,"No games",IF($Q12&gt;='Guide &amp; Settings'!$C$48,"Inactive",IF($Q12&gt;='Guide &amp; Settings'!$C$47,"At risk","Active")))</f>
        <v>Active</v>
      </c>
      <c r="U12">
        <f>SUMIF('Match Log'!$D$4:$D$1510,$A12,'Match Log'!$AC$4:$AC$1510)</f>
        <v>0</v>
      </c>
      <c r="V12">
        <f t="shared" si="10"/>
        <v>6</v>
      </c>
      <c r="W12">
        <f t="shared" ca="1" si="11"/>
        <v>82.275931854105295</v>
      </c>
      <c r="X12">
        <f ca="1">IFERROR(INDEX(Dashboard!$G$5:$G$18,MATCH($A12,Dashboard!$B$5:$B$18,0))*100,0)</f>
        <v>46.496815286624205</v>
      </c>
      <c r="Y12">
        <f ca="1">MIN(100,IFERROR(INDEX(Dashboard!$K$5:$K$18,MATCH($A12,Dashboard!$B$5:$B$18,0)),0)/5*50+$AC12/4*50)</f>
        <v>100</v>
      </c>
      <c r="Z12">
        <f t="shared" si="12"/>
        <v>0</v>
      </c>
      <c r="AA12">
        <f t="shared" si="13"/>
        <v>86.232501263708514</v>
      </c>
      <c r="AB12">
        <f t="shared" ca="1" si="14"/>
        <v>66.719189332632538</v>
      </c>
      <c r="AC12">
        <f>IFERROR(SUMPRODUCT((INDEX('Sport Records'!$B$8:$O$32,0,MATCH($A12,'Sport Records'!$B$7:$O$7,0))&gt;=2)*(INDEX('Sport Records'!$B$62:$O$86,0,MATCH($A12,'Sport Records'!$B$61:$O$61,0))&gt;=0.5)),0)</f>
        <v>5</v>
      </c>
      <c r="AD12">
        <f ca="1">IFERROR(INDEX(Dashboard!$D$5:$D$18,MATCH($A12,Dashboard!$B$5:$B$18,0)),0)</f>
        <v>157</v>
      </c>
      <c r="AE12">
        <f ca="1">IFERROR(INDEX(Dashboard!$K$5:$K$18,MATCH($A12,Dashboard!$B$5:$B$18,0)),0)</f>
        <v>19</v>
      </c>
      <c r="AF12" t="str">
        <f t="shared" ca="1" si="15"/>
        <v>Strong</v>
      </c>
      <c r="AG12">
        <f ca="1">COUNTIFS('Match Log'!$D$4:$D$1510,$A12,'Match Log'!$B$4:$B$1510,"&gt;="&amp;$B$5)</f>
        <v>14</v>
      </c>
      <c r="AH12">
        <f ca="1">COUNTIFS('Match Log'!$D$4:$D$1510,$A12,'Match Log'!$B$4:$B$1510,"&gt;="&amp;$B$5,'Match Log'!$E$4:$E$1510,"Win")</f>
        <v>3</v>
      </c>
      <c r="AI12">
        <f t="shared" ca="1" si="16"/>
        <v>1129.1037286164212</v>
      </c>
      <c r="AK12">
        <f ca="1">_xlfn.MAXIFS('Match Log'!$B$4:$B$1510,'Match Log'!$D$4:$D$1510,$A12,'Match Log'!$B$4:$B$1510,"&lt;="&amp;($D$4-7))</f>
        <v>46285</v>
      </c>
      <c r="AL12">
        <f ca="1">IFERROR(LOOKUP(2,1/(('Match Log'!$D$4:$D$1510=$A12)*('Match Log'!$B$4:$B$1510&lt;=$D$4-7)),'Match Log'!$N$4:$N$1510),1000)</f>
        <v>1228.0957478478258</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1071.5000984207491</v>
      </c>
      <c r="D13">
        <f t="shared" si="0"/>
        <v>4</v>
      </c>
      <c r="E13">
        <f t="shared" si="1"/>
        <v>17.500839018073975</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1210.4461829871429</v>
      </c>
      <c r="K13">
        <f t="shared" ca="1" si="4"/>
        <v>5</v>
      </c>
      <c r="L13">
        <f t="shared" ca="1" si="5"/>
        <v>3</v>
      </c>
      <c r="M13">
        <f t="shared" si="6"/>
        <v>2</v>
      </c>
      <c r="N13">
        <f t="shared" si="7"/>
        <v>5</v>
      </c>
      <c r="O13">
        <f t="shared" si="8"/>
        <v>5</v>
      </c>
      <c r="P13">
        <f>IFERROR(SUMPRODUCT(MAX(('Match Log'!$D$4:$D$1510=$A13)*'Match Log'!$B$4:$B$1510)),0)</f>
        <v>46271</v>
      </c>
      <c r="Q13">
        <f t="shared" ca="1" si="9"/>
        <v>3</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Log'!$D$4:$D$1510,$A13,'Match Log'!$AC$4:$AC$1510)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67.875024605187264</v>
      </c>
      <c r="AB13">
        <f t="shared" ca="1" si="14"/>
        <v>87.287502460518724</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1210.4461829871429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1180.164112777554</v>
      </c>
      <c r="C14">
        <f>IFERROR(INDEX(Engine!$C$2:$C$15,MATCH($A14,Engine!$A$2:$A$15,0)),"")</f>
        <v>1143.4731534680354</v>
      </c>
      <c r="D14">
        <f t="shared" si="0"/>
        <v>5</v>
      </c>
      <c r="E14">
        <f t="shared" si="1"/>
        <v>53.332907927662973</v>
      </c>
      <c r="F14" t="str">
        <f>IFERROR(LOOKUP(2,1/('Match Log'!$D$4:$D$1510=$A14),'Match Log'!$E$4:$E$1510),"")</f>
        <v>Loss</v>
      </c>
      <c r="G14">
        <f>IF($F14="",0,SUMPRODUCT(('Match Log'!$D$4:$D$1510=$A14)*(ROW('Match Log'!$A$4:$A$1510)&gt;SUMPRODUCT(MAX(('Match Log'!$D$4:$D$1510=$A14)*('Match Log'!$E$4:$E$1510&lt;&gt;$F14)*ROW('Match Log'!$A$4:$A$1510))))))</f>
        <v>2</v>
      </c>
      <c r="H14" t="str">
        <f t="shared" si="2"/>
        <v>L2</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WLWLL</v>
      </c>
      <c r="J14">
        <f t="shared" ca="1" si="3"/>
        <v>1021.6316258606565</v>
      </c>
      <c r="K14">
        <f t="shared" ca="1" si="4"/>
        <v>8</v>
      </c>
      <c r="L14">
        <f t="shared" ca="1" si="5"/>
        <v>3</v>
      </c>
      <c r="M14">
        <f t="shared" si="6"/>
        <v>10</v>
      </c>
      <c r="N14">
        <f t="shared" si="7"/>
        <v>2</v>
      </c>
      <c r="O14">
        <f t="shared" si="8"/>
        <v>0</v>
      </c>
      <c r="P14">
        <f>IFERROR(SUMPRODUCT(MAX(('Match Log'!$D$4:$D$1510=$A14)*'Match Log'!$B$4:$B$1510)),0)</f>
        <v>46292</v>
      </c>
      <c r="Q14">
        <f t="shared" ca="1" si="9"/>
        <v>0</v>
      </c>
      <c r="R14">
        <f ca="1">IF($P14=0,0,IF($Q14&gt;='Guide &amp; Settings'!$C$48,(INT($Q14-'Guide &amp; Settings'!$C$48)+1)*'Guide &amp; Settings'!$C$49,0))</f>
        <v>0</v>
      </c>
      <c r="S14">
        <f ca="1">$B14-$R14-$U14+SUMIF('Poker Stake Ledger'!$C$18:$C$137,$A14,'Poker Stake Ledger'!$K$18:$K$137)</f>
        <v>1178.8141127775541</v>
      </c>
      <c r="T14" t="str">
        <f ca="1">IF($P14=0,"No games",IF($Q14&gt;='Guide &amp; Settings'!$C$48,"Inactive",IF($Q14&gt;='Guide &amp; Settings'!$C$47,"At risk","Active")))</f>
        <v>Active</v>
      </c>
      <c r="U14">
        <f>SUMIF('Match Log'!$D$4:$D$1510,$A14,'Match Log'!$AC$4:$AC$1510)</f>
        <v>0</v>
      </c>
      <c r="V14">
        <f t="shared" si="10"/>
        <v>2</v>
      </c>
      <c r="W14">
        <f t="shared" ca="1" si="11"/>
        <v>94.703528194388525</v>
      </c>
      <c r="X14">
        <f ca="1">IFERROR(INDEX(Dashboard!$G$5:$G$18,MATCH($A14,Dashboard!$B$5:$B$18,0))*100,0)</f>
        <v>41.891891891891895</v>
      </c>
      <c r="Y14">
        <f ca="1">MIN(100,IFERROR(INDEX(Dashboard!$K$5:$K$18,MATCH($A14,Dashboard!$B$5:$B$18,0)),0)/5*50+$AC14/4*50)</f>
        <v>100</v>
      </c>
      <c r="Z14">
        <f t="shared" si="12"/>
        <v>40</v>
      </c>
      <c r="AA14">
        <f t="shared" si="13"/>
        <v>85.868288367008859</v>
      </c>
      <c r="AB14">
        <f t="shared" ca="1" si="14"/>
        <v>76.11144208311525</v>
      </c>
      <c r="AC14">
        <f>IFERROR(SUMPRODUCT((INDEX('Sport Records'!$B$8:$O$32,0,MATCH($A14,'Sport Records'!$B$7:$O$7,0))&gt;=2)*(INDEX('Sport Records'!$B$62:$O$86,0,MATCH($A14,'Sport Records'!$B$61:$O$61,0))&gt;=0.5)),0)</f>
        <v>5</v>
      </c>
      <c r="AD14">
        <f ca="1">IFERROR(INDEX(Dashboard!$D$5:$D$18,MATCH($A14,Dashboard!$B$5:$B$18,0)),0)</f>
        <v>148</v>
      </c>
      <c r="AE14">
        <f ca="1">IFERROR(INDEX(Dashboard!$K$5:$K$18,MATCH($A14,Dashboard!$B$5:$B$18,0)),0)</f>
        <v>20</v>
      </c>
      <c r="AF14" t="str">
        <f t="shared" ca="1" si="15"/>
        <v>Elite</v>
      </c>
      <c r="AG14">
        <f ca="1">COUNTIFS('Match Log'!$D$4:$D$1510,$A14,'Match Log'!$B$4:$B$1510,"&gt;="&amp;$B$5)</f>
        <v>19</v>
      </c>
      <c r="AH14">
        <f ca="1">COUNTIFS('Match Log'!$D$4:$D$1510,$A14,'Match Log'!$B$4:$B$1510,"&gt;="&amp;$B$5,'Match Log'!$E$4:$E$1510,"Win")</f>
        <v>14</v>
      </c>
      <c r="AI14">
        <f t="shared" ca="1" si="16"/>
        <v>1178.8141141775541</v>
      </c>
      <c r="AK14">
        <f ca="1">_xlfn.MAXIFS('Match Log'!$B$4:$B$1510,'Match Log'!$D$4:$D$1510,$A14,'Match Log'!$B$4:$B$1510,"&lt;="&amp;($D$4-7))</f>
        <v>46285</v>
      </c>
      <c r="AL14">
        <f ca="1">IFERROR(LOOKUP(2,1/(('Match Log'!$D$4:$D$1510=$A14)*('Match Log'!$B$4:$B$1510&lt;=$D$4-7)),'Match Log'!$N$4:$N$1510),1000)</f>
        <v>1022.9816244606566</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1217.9015417269482</v>
      </c>
      <c r="C15">
        <f>IFERROR(INDEX(Engine!$C$2:$C$15,MATCH($A15,Engine!$A$2:$A$15,0)),"")</f>
        <v>1128.6162246665585</v>
      </c>
      <c r="D15">
        <f t="shared" si="0"/>
        <v>2</v>
      </c>
      <c r="E15">
        <f t="shared" si="1"/>
        <v>15.595478978268829</v>
      </c>
      <c r="F15" t="str">
        <f>IFERROR(LOOKUP(2,1/('Match Log'!$D$4:$D$1510=$A15),'Match Log'!$E$4:$E$1510),"")</f>
        <v>Loss</v>
      </c>
      <c r="G15">
        <f>IF($F15="",0,SUMPRODUCT(('Match Log'!$D$4:$D$1510=$A15)*(ROW('Match Log'!$A$4:$A$1510)&gt;SUMPRODUCT(MAX(('Match Log'!$D$4:$D$1510=$A15)*('Match Log'!$E$4:$E$1510&lt;&gt;$F15)*ROW('Match Log'!$A$4:$A$1510))))))</f>
        <v>1</v>
      </c>
      <c r="H15" t="str">
        <f t="shared" si="2"/>
        <v>L1</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WWLWL</v>
      </c>
      <c r="J15">
        <f t="shared" ca="1" si="3"/>
        <v>1218.9288126472575</v>
      </c>
      <c r="K15">
        <f t="shared" ca="1" si="4"/>
        <v>3</v>
      </c>
      <c r="L15">
        <f t="shared" ca="1" si="5"/>
        <v>-1</v>
      </c>
      <c r="M15">
        <f t="shared" si="6"/>
        <v>3</v>
      </c>
      <c r="N15">
        <f t="shared" si="7"/>
        <v>3</v>
      </c>
      <c r="O15">
        <f t="shared" si="8"/>
        <v>0</v>
      </c>
      <c r="P15">
        <f>IFERROR(SUMPRODUCT(MAX(('Match Log'!$D$4:$D$1510=$A15)*'Match Log'!$B$4:$B$1510)),0)</f>
        <v>46290</v>
      </c>
      <c r="Q15">
        <f t="shared" ca="1" si="9"/>
        <v>0.2857142857142857</v>
      </c>
      <c r="R15">
        <f ca="1">IF($P15=0,0,IF($Q15&gt;='Guide &amp; Settings'!$C$48,(INT($Q15-'Guide &amp; Settings'!$C$48)+1)*'Guide &amp; Settings'!$C$49,0))</f>
        <v>0</v>
      </c>
      <c r="S15">
        <f ca="1">$B15-$R15-$U15+SUMIF('Poker Stake Ledger'!$C$18:$C$137,$A15,'Poker Stake Ledger'!$K$18:$K$137)</f>
        <v>1187.9015417269482</v>
      </c>
      <c r="T15" t="str">
        <f ca="1">IF($P15=0,"No games",IF($Q15&gt;='Guide &amp; Settings'!$C$48,"Inactive",IF($Q15&gt;='Guide &amp; Settings'!$C$47,"At risk","Active")))</f>
        <v>Active</v>
      </c>
      <c r="U15">
        <f>SUMIF('Match Log'!$D$4:$D$1510,$A15,'Match Log'!$AC$4:$AC$1510)</f>
        <v>30</v>
      </c>
      <c r="V15">
        <f t="shared" si="10"/>
        <v>1</v>
      </c>
      <c r="W15">
        <f t="shared" ca="1" si="11"/>
        <v>96.975385431737038</v>
      </c>
      <c r="X15">
        <f ca="1">IFERROR(INDEX(Dashboard!$G$5:$G$18,MATCH($A15,Dashboard!$B$5:$B$18,0))*100,0)</f>
        <v>59.523809523809526</v>
      </c>
      <c r="Y15">
        <f ca="1">MIN(100,IFERROR(INDEX(Dashboard!$K$5:$K$18,MATCH($A15,Dashboard!$B$5:$B$18,0)),0)/5*50+$AC15/4*50)</f>
        <v>100</v>
      </c>
      <c r="Z15">
        <f t="shared" si="12"/>
        <v>60</v>
      </c>
      <c r="AA15">
        <f t="shared" si="13"/>
        <v>82.154056166639634</v>
      </c>
      <c r="AB15">
        <f t="shared" ca="1" si="14"/>
        <v>83.061552422533822</v>
      </c>
      <c r="AC15">
        <f>IFERROR(SUMPRODUCT((INDEX('Sport Records'!$B$8:$O$32,0,MATCH($A15,'Sport Records'!$B$7:$O$7,0))&gt;=2)*(INDEX('Sport Records'!$B$62:$O$86,0,MATCH($A15,'Sport Records'!$B$61:$O$61,0))&gt;=0.5)),0)</f>
        <v>4</v>
      </c>
      <c r="AD15">
        <f ca="1">IFERROR(INDEX(Dashboard!$D$5:$D$18,MATCH($A15,Dashboard!$B$5:$B$18,0)),0)</f>
        <v>42</v>
      </c>
      <c r="AE15">
        <f ca="1">IFERROR(INDEX(Dashboard!$K$5:$K$18,MATCH($A15,Dashboard!$B$5:$B$18,0)),0)</f>
        <v>7</v>
      </c>
      <c r="AF15" t="str">
        <f t="shared" ca="1" si="15"/>
        <v>Elite</v>
      </c>
      <c r="AG15">
        <f ca="1">COUNTIFS('Match Log'!$D$4:$D$1510,$A15,'Match Log'!$B$4:$B$1510,"&gt;="&amp;$B$5)</f>
        <v>3</v>
      </c>
      <c r="AH15">
        <f ca="1">COUNTIFS('Match Log'!$D$4:$D$1510,$A15,'Match Log'!$B$4:$B$1510,"&gt;="&amp;$B$5,'Match Log'!$E$4:$E$1510,"Win")</f>
        <v>1</v>
      </c>
      <c r="AI15">
        <f t="shared" ca="1" si="16"/>
        <v>1187.9015432269482</v>
      </c>
      <c r="AK15">
        <f ca="1">_xlfn.MAXIFS('Match Log'!$B$4:$B$1510,'Match Log'!$D$4:$D$1510,$A15,'Match Log'!$B$4:$B$1510,"&lt;="&amp;($D$4-7))</f>
        <v>46256</v>
      </c>
      <c r="AL15">
        <f ca="1">IFERROR(LOOKUP(2,1/(('Match Log'!$D$4:$D$1510=$A15)*('Match Log'!$B$4:$B$1510&lt;=$D$4-7)),'Match Log'!$N$4:$N$1510),1000)</f>
        <v>1248.9288111472574</v>
      </c>
      <c r="AM15">
        <f ca="1">SUMIFS('Match Log'!$AC$4:$AC$1510,'Match Log'!$D$4:$D$1510,$A15,'Match Log'!$B$4:$B$1510,"&lt;="&amp;($D$4-7))</f>
        <v>20</v>
      </c>
      <c r="AN15">
        <f ca="1">SUMIFS('Poker Stake Ledger'!$K$18:$K$137,'Poker Stake Ledger'!$C$18:$C$137,$A15,'Poker Stake Ledger'!$B$18:$B$137,"&lt;="&amp;($D$4-7))</f>
        <v>0</v>
      </c>
      <c r="AO15">
        <f ca="1">IF($AK15=0,0,IF(($D$4-7-$AK15)/7&gt;='Guide &amp; Settings'!$C$48,(INT(($D$4-7-$AK15)/7-'Guide &amp; Settings'!$C$48)+1)*'Guide &amp; Settings'!$C$49,0))</f>
        <v>10</v>
      </c>
    </row>
    <row r="16" spans="1:41" ht="15" customHeight="1" x14ac:dyDescent="0.2">
      <c r="A16" t="s">
        <v>24</v>
      </c>
      <c r="B16">
        <f>IFERROR(INDEX(Engine!$B$2:$B$15,MATCH($A16,Engine!$A$2:$A$15,0)),1000)</f>
        <v>862.22294373677494</v>
      </c>
      <c r="C16">
        <f>IFERROR(INDEX(Engine!$C$2:$C$15,MATCH($A16,Engine!$A$2:$A$15,0)),"")</f>
        <v>1126.981824789618</v>
      </c>
      <c r="D16">
        <f t="shared" si="0"/>
        <v>14</v>
      </c>
      <c r="E16">
        <f t="shared" si="1"/>
        <v>371.27407696844205</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792.22294533677496</v>
      </c>
      <c r="K16">
        <f t="shared" ca="1" si="4"/>
        <v>14</v>
      </c>
      <c r="L16">
        <f t="shared" ca="1" si="5"/>
        <v>0</v>
      </c>
      <c r="M16">
        <f t="shared" si="6"/>
        <v>1</v>
      </c>
      <c r="N16">
        <f t="shared" si="7"/>
        <v>0</v>
      </c>
      <c r="O16">
        <f t="shared" si="8"/>
        <v>0</v>
      </c>
      <c r="P16">
        <f>IFERROR(SUMPRODUCT(MAX(('Match Log'!$D$4:$D$1510=$A16)*'Match Log'!$B$4:$B$1510)),0)</f>
        <v>46222</v>
      </c>
      <c r="Q16">
        <f t="shared" ca="1" si="9"/>
        <v>10</v>
      </c>
      <c r="R16">
        <f ca="1">IF($P16=0,0,IF($Q16&gt;='Guide &amp; Settings'!$C$48,(INT($Q16-'Guide &amp; Settings'!$C$48)+1)*'Guide &amp; Settings'!$C$49,0))</f>
        <v>70</v>
      </c>
      <c r="S16">
        <f ca="1">$B16-$R16-$U16+SUMIF('Poker Stake Ledger'!$C$18:$C$137,$A16,'Poker Stake Ledger'!$K$18:$K$137)</f>
        <v>782.22294373677494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81.745456197404508</v>
      </c>
      <c r="AB16">
        <f t="shared" ca="1" si="14"/>
        <v>16.841212286407121</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782.22294533677496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60</v>
      </c>
    </row>
    <row r="17" spans="1:41" ht="15" customHeight="1" x14ac:dyDescent="0.2">
      <c r="A17" t="s">
        <v>25</v>
      </c>
      <c r="B17">
        <f>IFERROR(INDEX(Engine!$B$2:$B$15,MATCH($A17,Engine!$A$2:$A$15,0)),1000)</f>
        <v>968.26132335618615</v>
      </c>
      <c r="C17">
        <f>IFERROR(INDEX(Engine!$C$2:$C$15,MATCH($A17,Engine!$A$2:$A$15,0)),"")</f>
        <v>1152.1620835642163</v>
      </c>
      <c r="D17">
        <f t="shared" si="0"/>
        <v>12</v>
      </c>
      <c r="E17">
        <f t="shared" si="1"/>
        <v>265.23569734903083</v>
      </c>
      <c r="F17" t="str">
        <f>IFERROR(LOOKUP(2,1/('Match Log'!$D$4:$D$1510=$A17),'Match Log'!$E$4:$E$1510),"")</f>
        <v>Win</v>
      </c>
      <c r="G17">
        <f>IF($F17="",0,SUMPRODUCT(('Match Log'!$D$4:$D$1510=$A17)*(ROW('Match Log'!$A$4:$A$1510)&gt;SUMPRODUCT(MAX(('Match Log'!$D$4:$D$1510=$A17)*('Match Log'!$E$4:$E$1510&lt;&gt;$F17)*ROW('Match Log'!$A$4:$A$1510))))))</f>
        <v>1</v>
      </c>
      <c r="H17" t="str">
        <f t="shared" si="2"/>
        <v>W1</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LLLLW</v>
      </c>
      <c r="J17">
        <f t="shared" ca="1" si="3"/>
        <v>944.39454848356581</v>
      </c>
      <c r="K17">
        <f t="shared" ca="1" si="4"/>
        <v>11</v>
      </c>
      <c r="L17">
        <f t="shared" ca="1" si="5"/>
        <v>0</v>
      </c>
      <c r="M17">
        <f t="shared" si="6"/>
        <v>4</v>
      </c>
      <c r="N17">
        <f t="shared" si="7"/>
        <v>1</v>
      </c>
      <c r="O17">
        <f t="shared" si="8"/>
        <v>1</v>
      </c>
      <c r="P17">
        <f>IFERROR(SUMPRODUCT(MAX(('Match Log'!$D$4:$D$1510=$A17)*'Match Log'!$B$4:$B$1510)),0)</f>
        <v>46291</v>
      </c>
      <c r="Q17">
        <f t="shared" ca="1" si="9"/>
        <v>0.14285714285714285</v>
      </c>
      <c r="R17">
        <f ca="1">IF($P17=0,0,IF($Q17&gt;='Guide &amp; Settings'!$C$48,(INT($Q17-'Guide &amp; Settings'!$C$48)+1)*'Guide &amp; Settings'!$C$49,0))</f>
        <v>0</v>
      </c>
      <c r="S17">
        <f ca="1">$B17-$R17-$U17+SUMIF('Poker Stake Ledger'!$C$18:$C$137,$A17,'Poker Stake Ledger'!$K$18:$K$137)</f>
        <v>968.26132335618615</v>
      </c>
      <c r="T17" t="str">
        <f ca="1">IF($P17=0,"No games",IF($Q17&gt;='Guide &amp; Settings'!$C$48,"Inactive",IF($Q17&gt;='Guide &amp; Settings'!$C$47,"At risk","Active")))</f>
        <v>Active</v>
      </c>
      <c r="U17">
        <f>SUMIF('Match Log'!$D$4:$D$1510,$A17,'Match Log'!$AC$4:$AC$1510)</f>
        <v>0</v>
      </c>
      <c r="V17">
        <f t="shared" si="10"/>
        <v>0</v>
      </c>
      <c r="W17">
        <f t="shared" ca="1" si="11"/>
        <v>42.065330839046538</v>
      </c>
      <c r="X17">
        <f ca="1">IFERROR(INDEX(Dashboard!$G$5:$G$18,MATCH($A17,Dashboard!$B$5:$B$18,0))*100,0)</f>
        <v>34.939759036144579</v>
      </c>
      <c r="Y17">
        <f ca="1">MIN(100,IFERROR(INDEX(Dashboard!$K$5:$K$18,MATCH($A17,Dashboard!$B$5:$B$18,0)),0)/5*50+$AC17/4*50)</f>
        <v>100</v>
      </c>
      <c r="Z17">
        <f t="shared" si="12"/>
        <v>20</v>
      </c>
      <c r="AA17">
        <f t="shared" si="13"/>
        <v>88.040520891054086</v>
      </c>
      <c r="AB17">
        <f t="shared" ca="1" si="14"/>
        <v>53.514869690000616</v>
      </c>
      <c r="AC17">
        <f>IFERROR(SUMPRODUCT((INDEX('Sport Records'!$B$8:$O$32,0,MATCH($A17,'Sport Records'!$B$7:$O$7,0))&gt;=2)*(INDEX('Sport Records'!$B$62:$O$86,0,MATCH($A17,'Sport Records'!$B$61:$O$61,0))&gt;=0.5)),0)</f>
        <v>3</v>
      </c>
      <c r="AD17">
        <f ca="1">IFERROR(INDEX(Dashboard!$D$5:$D$18,MATCH($A17,Dashboard!$B$5:$B$18,0)),0)</f>
        <v>83</v>
      </c>
      <c r="AE17">
        <f ca="1">IFERROR(INDEX(Dashboard!$K$5:$K$18,MATCH($A17,Dashboard!$B$5:$B$18,0)),0)</f>
        <v>14</v>
      </c>
      <c r="AF17" t="str">
        <f t="shared" ca="1" si="15"/>
        <v>Mid</v>
      </c>
      <c r="AG17">
        <f ca="1">COUNTIFS('Match Log'!$D$4:$D$1510,$A17,'Match Log'!$B$4:$B$1510,"&gt;="&amp;$B$5)</f>
        <v>1</v>
      </c>
      <c r="AH17">
        <f ca="1">COUNTIFS('Match Log'!$D$4:$D$1510,$A17,'Match Log'!$B$4:$B$1510,"&gt;="&amp;$B$5,'Match Log'!$E$4:$E$1510,"Win")</f>
        <v>1</v>
      </c>
      <c r="AI17">
        <f t="shared" ca="1" si="16"/>
        <v>968.26132505618614</v>
      </c>
      <c r="AK17">
        <f ca="1">_xlfn.MAXIFS('Match Log'!$B$4:$B$1510,'Match Log'!$D$4:$D$1510,$A17,'Match Log'!$B$4:$B$1510,"&lt;="&amp;($D$4-7))</f>
        <v>46271</v>
      </c>
      <c r="AL17">
        <f ca="1">IFERROR(LOOKUP(2,1/(('Match Log'!$D$4:$D$1510=$A17)*('Match Log'!$B$4:$B$1510&lt;=$D$4-7)),'Match Log'!$N$4:$N$1510),1000)</f>
        <v>944.39454678356583</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1070.0329344029183</v>
      </c>
      <c r="D18">
        <f t="shared" si="0"/>
        <v>7</v>
      </c>
      <c r="E18">
        <f t="shared" si="1"/>
        <v>145.94812599873148</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1067.5488965064856</v>
      </c>
      <c r="K18">
        <f t="shared" ca="1" si="4"/>
        <v>6</v>
      </c>
      <c r="L18">
        <f t="shared" ca="1" si="5"/>
        <v>-2</v>
      </c>
      <c r="M18">
        <f t="shared" si="6"/>
        <v>2</v>
      </c>
      <c r="N18">
        <f t="shared" si="7"/>
        <v>3</v>
      </c>
      <c r="O18">
        <f t="shared" si="8"/>
        <v>1</v>
      </c>
      <c r="P18">
        <f>IFERROR(SUMPRODUCT(MAX(('Match Log'!$D$4:$D$1510=$A18)*'Match Log'!$B$4:$B$1510)),0)</f>
        <v>46249</v>
      </c>
      <c r="Q18">
        <f t="shared" ca="1" si="9"/>
        <v>6.1428571428571432</v>
      </c>
      <c r="R18">
        <f ca="1">IF($P18=0,0,IF($Q18&gt;='Guide &amp; Settings'!$C$48,(INT($Q18-'Guide &amp; Settings'!$C$48)+1)*'Guide &amp; Settings'!$C$49,0))</f>
        <v>30</v>
      </c>
      <c r="S18">
        <f ca="1">$B18-$R18-$U18+SUMIF('Poker Stake Ledger'!$C$18:$C$137,$A18,'Poker Stake Ledger'!$K$18:$K$137)</f>
        <v>1057.5488947064855</v>
      </c>
      <c r="T18" t="str">
        <f ca="1">IF($P18=0,"No games",IF($Q18&gt;='Guide &amp; Settings'!$C$48,"Inactive",IF($Q18&gt;='Guide &amp; Settings'!$C$47,"At risk","Active")))</f>
        <v>Inactive</v>
      </c>
      <c r="U18">
        <f>SUMIF('Match Log'!$D$4:$D$1510,$A18,'Match Log'!$AC$4:$AC$1510)</f>
        <v>0</v>
      </c>
      <c r="V18">
        <f t="shared" si="10"/>
        <v>0</v>
      </c>
      <c r="W18">
        <f t="shared" ca="1" si="11"/>
        <v>64.387223676621375</v>
      </c>
      <c r="X18">
        <f ca="1">IFERROR(INDEX(Dashboard!$G$5:$G$18,MATCH($A18,Dashboard!$B$5:$B$18,0))*100,0)</f>
        <v>46.666666666666664</v>
      </c>
      <c r="Y18">
        <f ca="1">MIN(100,IFERROR(INDEX(Dashboard!$K$5:$K$18,MATCH($A18,Dashboard!$B$5:$B$18,0)),0)/5*50+$AC18/4*50)</f>
        <v>65</v>
      </c>
      <c r="Z18">
        <f t="shared" si="12"/>
        <v>60</v>
      </c>
      <c r="AA18">
        <f t="shared" si="13"/>
        <v>67.508233600729568</v>
      </c>
      <c r="AB18">
        <f t="shared" ca="1" si="14"/>
        <v>60.619684980223774</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1057.5488965064856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20</v>
      </c>
    </row>
    <row r="19" spans="1:41" ht="15" customHeight="1" x14ac:dyDescent="0.2">
      <c r="A19" t="s">
        <v>27</v>
      </c>
      <c r="B19">
        <f>IFERROR(INDEX(Engine!$B$2:$B$15,MATCH($A19,Engine!$A$2:$A$15,0)),1000)</f>
        <v>1023.2192605207141</v>
      </c>
      <c r="C19">
        <f>IFERROR(INDEX(Engine!$C$2:$C$15,MATCH($A19,Engine!$A$2:$A$15,0)),"")</f>
        <v>1106.5053382716901</v>
      </c>
      <c r="D19">
        <f t="shared" si="0"/>
        <v>10</v>
      </c>
      <c r="E19">
        <f t="shared" si="1"/>
        <v>210.27776018450288</v>
      </c>
      <c r="F19" t="str">
        <f>IFERROR(LOOKUP(2,1/('Match Log'!$D$4:$D$1510=$A19),'Match Log'!$E$4:$E$1510),"")</f>
        <v>Loss</v>
      </c>
      <c r="G19">
        <f>IF($F19="",0,SUMPRODUCT(('Match Log'!$D$4:$D$1510=$A19)*(ROW('Match Log'!$A$4:$A$1510)&gt;SUMPRODUCT(MAX(('Match Log'!$D$4:$D$1510=$A19)*('Match Log'!$E$4:$E$1510&lt;&gt;$F19)*ROW('Match Log'!$A$4:$A$1510))))))</f>
        <v>6</v>
      </c>
      <c r="H19" t="str">
        <f t="shared" si="2"/>
        <v>L6</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1003.2192624207141</v>
      </c>
      <c r="K19">
        <f t="shared" ca="1" si="4"/>
        <v>9</v>
      </c>
      <c r="L19">
        <f t="shared" ca="1" si="5"/>
        <v>-1</v>
      </c>
      <c r="M19">
        <f t="shared" si="6"/>
        <v>0</v>
      </c>
      <c r="N19">
        <f t="shared" si="7"/>
        <v>0</v>
      </c>
      <c r="O19">
        <f t="shared" si="8"/>
        <v>0</v>
      </c>
      <c r="P19">
        <f>IFERROR(SUMPRODUCT(MAX(('Match Log'!$D$4:$D$1510=$A19)*'Match Log'!$B$4:$B$1510)),0)</f>
        <v>46249</v>
      </c>
      <c r="Q19">
        <f t="shared" ca="1" si="9"/>
        <v>6.1428571428571432</v>
      </c>
      <c r="R19">
        <f ca="1">IF($P19=0,0,IF($Q19&gt;='Guide &amp; Settings'!$C$48,(INT($Q19-'Guide &amp; Settings'!$C$48)+1)*'Guide &amp; Settings'!$C$49,0))</f>
        <v>30</v>
      </c>
      <c r="S19">
        <f ca="1">$B19-$R19-$U19+SUMIF('Poker Stake Ledger'!$C$18:$C$137,$A19,'Poker Stake Ledger'!$K$18:$K$137)</f>
        <v>993.2192605207141</v>
      </c>
      <c r="T19" t="str">
        <f ca="1">IF($P19=0,"No games",IF($Q19&gt;='Guide &amp; Settings'!$C$48,"Inactive",IF($Q19&gt;='Guide &amp; Settings'!$C$47,"At risk","Active")))</f>
        <v>Inactive</v>
      </c>
      <c r="U19">
        <f>SUMIF('Match Log'!$D$4:$D$1510,$A19,'Match Log'!$AC$4:$AC$1510)</f>
        <v>0</v>
      </c>
      <c r="V19">
        <f t="shared" si="10"/>
        <v>6</v>
      </c>
      <c r="W19">
        <f t="shared" ca="1" si="11"/>
        <v>48.304815130178525</v>
      </c>
      <c r="X19">
        <f ca="1">IFERROR(INDEX(Dashboard!$G$5:$G$18,MATCH($A19,Dashboard!$B$5:$B$18,0))*100,0)</f>
        <v>40</v>
      </c>
      <c r="Y19">
        <f ca="1">MIN(100,IFERROR(INDEX(Dashboard!$K$5:$K$18,MATCH($A19,Dashboard!$B$5:$B$18,0)),0)/5*50+$AC19/4*50)</f>
        <v>65</v>
      </c>
      <c r="Z19">
        <f t="shared" si="12"/>
        <v>0</v>
      </c>
      <c r="AA19">
        <f t="shared" si="13"/>
        <v>76.626334567922527</v>
      </c>
      <c r="AB19">
        <f t="shared" ca="1" si="14"/>
        <v>45.569318752354732</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5"/>
        <v>Mid</v>
      </c>
      <c r="AG19">
        <f ca="1">COUNTIFS('Match Log'!$D$4:$D$1510,$A19,'Match Log'!$B$4:$B$1510,"&gt;="&amp;$B$5)</f>
        <v>0</v>
      </c>
      <c r="AH19">
        <f ca="1">COUNTIFS('Match Log'!$D$4:$D$1510,$A19,'Match Log'!$B$4:$B$1510,"&gt;="&amp;$B$5,'Match Log'!$E$4:$E$1510,"Win")</f>
        <v>0</v>
      </c>
      <c r="AI19">
        <f t="shared" ca="1" si="16"/>
        <v>993.21926242071413</v>
      </c>
      <c r="AK19">
        <f ca="1">_xlfn.MAXIFS('Match Log'!$B$4:$B$1510,'Match Log'!$D$4:$D$1510,$A19,'Match Log'!$B$4:$B$1510,"&lt;="&amp;($D$4-7))</f>
        <v>46249</v>
      </c>
      <c r="AL19">
        <f ca="1">IFERROR(LOOKUP(2,1/(('Match Log'!$D$4:$D$1510=$A19)*('Match Log'!$B$4:$B$1510&lt;=$D$4-7)),'Match Log'!$N$4:$N$1510),1000)</f>
        <v>1023.2192605207141</v>
      </c>
      <c r="AM19">
        <f ca="1">SUMIFS('Match Log'!$AC$4:$AC$1510,'Match Log'!$D$4:$D$1510,$A19,'Match Log'!$B$4:$B$1510,"&lt;="&amp;($D$4-7))</f>
        <v>0</v>
      </c>
      <c r="AN19">
        <f ca="1">SUMIFS('Poker Stake Ledger'!$K$18:$K$137,'Poker Stake Ledger'!$C$18:$C$137,$A19,'Poker Stake Ledger'!$B$18:$B$137,"&lt;="&amp;($D$4-7))</f>
        <v>0</v>
      </c>
      <c r="AO19">
        <f ca="1">IF($AK19=0,0,IF(($D$4-7-$AK19)/7&gt;='Guide &amp; Settings'!$C$48,(INT(($D$4-7-$AK19)/7-'Guide &amp; Settings'!$C$48)+1)*'Guide &amp; Settings'!$C$49,0))</f>
        <v>20</v>
      </c>
    </row>
    <row r="20" spans="1:41" ht="15" customHeight="1" x14ac:dyDescent="0.2">
      <c r="A20" t="s">
        <v>28</v>
      </c>
      <c r="B20">
        <f>IFERROR(INDEX(Engine!$B$2:$B$15,MATCH($A20,Engine!$A$2:$A$15,0)),1000)</f>
        <v>1000</v>
      </c>
      <c r="C20" t="str">
        <f>IFERROR(INDEX(Engine!$C$2:$C$15,MATCH($A20,Engine!$A$2:$A$15,0)),"")</f>
        <v/>
      </c>
      <c r="D20">
        <f t="shared" si="0"/>
        <v>11</v>
      </c>
      <c r="E20">
        <f t="shared" si="1"/>
        <v>233.49702070521698</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10</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f t="shared" ca="1" si="31"/>
        <v>0.16894376923076918</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f t="shared" ca="1" si="31"/>
        <v>0.11859311888111874</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f t="shared" ca="1" si="31"/>
        <v>7.3193428115015932E-2</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f t="shared" ca="1" si="31"/>
        <v>-3.2548064516129224E-2</v>
      </c>
    </row>
    <row r="315" spans="1:25" x14ac:dyDescent="0.2">
      <c r="A315">
        <v>291</v>
      </c>
      <c r="B315">
        <f>IFERROR(INDEX('Match Log'!$B$4:$B$1510,MATCH($A315,'Match Log'!$A$4:$A$1510,0)),"")</f>
        <v>46287</v>
      </c>
      <c r="C315" t="str">
        <f>IFERROR(INDEX('Match Log'!$C$4:$C$1510,MATCH($A315,'Match Log'!$A$4:$A$1510,0)),"")</f>
        <v>Mario Golf</v>
      </c>
      <c r="D315" t="str">
        <f t="array" ref="D315">IFERROR(_xlfn.TEXTJOIN(" + ",TRUE(),IF(('Match Log'!$A$4:$A$1510=$A315)*('Match Log'!$E$4:$E$1510="Win"),'Match Log'!$D$4:$D$1510,"")),IFERROR(LOOKUP(2,1/(('Match Log'!$A$4:$A$1510=$A315)*('Match Log'!$E$4:$E$1510="Win")),'Match Log'!$D$4:$D$1510),""))</f>
        <v>Shawn + Daniel (Ferret)</v>
      </c>
      <c r="E315">
        <f>IFERROR(INDEX('Match Log'!$F$4:$F$1510,MATCH($A315,'Match Log'!$A$4:$A$1510,0)),"")</f>
        <v>3</v>
      </c>
      <c r="F315">
        <f>IFERROR(SUMIFS('Match Log'!$I$4:$I$1510,'Match Log'!$A$4:$A$1510,$A315,'Match Log'!$E$4:$E$1510,"Win"),"")</f>
        <v>0.73844460748349228</v>
      </c>
      <c r="G315">
        <f t="shared" si="29"/>
        <v>-1.2153338224504768</v>
      </c>
      <c r="H315" t="str">
        <f t="array" ref="H315">IFERROR(IF(COUNTIFS('Match Log'!$A$4:$A$1510,$A315,'Match Log'!$E$4:$E$1510,"Win")&gt;1,_xlfn.TEXTJOIN(" + ",TRUE(),IF(('Match Log'!$A$4:$A$1510=$A315)*('Match Log'!$E$4:$E$1510="Loss"),'Match Log'!$D$4:$D$1510,"")),IF($E315=2,LOOKUP(2,1/(('Match Log'!$A$4:$A$1510=$A315)*('Match Log'!$E$4:$E$1510="Loss")),'Match Log'!$D$4:$D$1510),"the field")),"")</f>
        <v>Aaron</v>
      </c>
      <c r="I315">
        <f t="shared" si="30"/>
        <v>-1.2156248224504769</v>
      </c>
      <c r="J315">
        <v>291</v>
      </c>
      <c r="K315">
        <f>IF($J315&gt;MAX('Match Log'!$A$4:$A$1510),NA(),IFERROR(LOOKUP(2,1/(('Match Log'!$D$4:$D$1510=$K$24)*('Match Log'!$A$4:$A$1510&lt;=$J315)),'Match Log'!$N$4:$N$1510),NA()))</f>
        <v>1256.5152369639034</v>
      </c>
      <c r="L315">
        <f>IF($J315&gt;MAX('Match Log'!$A$4:$A$1510),NA(),IFERROR(LOOKUP(2,1/(('Match Log'!$D$4:$D$1510=$L$24)*('Match Log'!$A$4:$A$1510&lt;=$J315)),'Match Log'!$N$4:$N$1510),NA()))</f>
        <v>1029.5175965335138</v>
      </c>
      <c r="M315">
        <f>IF($J315&gt;MAX('Match Log'!$A$4:$A$1510),NA(),IFERROR(LOOKUP(2,1/(('Match Log'!$D$4:$D$1510=$M$24)*('Match Log'!$A$4:$A$1510&lt;=$J315)),'Match Log'!$N$4:$N$1510),NA()))</f>
        <v>1081.2287215286424</v>
      </c>
      <c r="N315">
        <f>IF($J315&gt;MAX('Match Log'!$A$4:$A$1510),NA(),IFERROR(LOOKUP(2,1/(('Match Log'!$D$4:$D$1510=$N$24)*('Match Log'!$A$4:$A$1510&lt;=$J315)),'Match Log'!$N$4:$N$1510),NA()))</f>
        <v>907.03133644117429</v>
      </c>
      <c r="O315">
        <f>IF($J315&gt;MAX('Match Log'!$A$4:$A$1510),NA(),IFERROR(LOOKUP(2,1/(('Match Log'!$D$4:$D$1510=$O$24)*('Match Log'!$A$4:$A$1510&lt;=$J315)),'Match Log'!$N$4:$N$1510),NA()))</f>
        <v>1192.3121492095624</v>
      </c>
      <c r="P315">
        <f>IF($J315&gt;MAX('Match Log'!$A$4:$A$1510),NA(),IFERROR(LOOKUP(2,1/(('Match Log'!$D$4:$D$1510=$P$24)*('Match Log'!$A$4:$A$1510&lt;=$J315)),'Match Log'!$N$4:$N$1510),NA()))</f>
        <v>1242.7965808316403</v>
      </c>
      <c r="Q315">
        <f>IF($J315&gt;MAX('Match Log'!$A$4:$A$1510),NA(),IFERROR(LOOKUP(2,1/(('Match Log'!$D$4:$D$1510=$Q$24)*('Match Log'!$A$4:$A$1510&lt;=$J315)),'Match Log'!$N$4:$N$1510),NA()))</f>
        <v>1215.996181687143</v>
      </c>
      <c r="R315">
        <f>IF($J315&gt;MAX('Match Log'!$A$4:$A$1510),NA(),IFERROR(LOOKUP(2,1/(('Match Log'!$D$4:$D$1510=$R$24)*('Match Log'!$A$4:$A$1510&lt;=$J315)),'Match Log'!$N$4:$N$1510),NA()))</f>
        <v>1038.2877399096215</v>
      </c>
      <c r="S315">
        <f>IF($J315&gt;MAX('Match Log'!$A$4:$A$1510),NA(),IFERROR(LOOKUP(2,1/(('Match Log'!$D$4:$D$1510=$S$24)*('Match Log'!$A$4:$A$1510&lt;=$J315)),'Match Log'!$N$4:$N$1510),NA()))</f>
        <v>1248.9288111472574</v>
      </c>
      <c r="T315">
        <f>IF($J315&gt;MAX('Match Log'!$A$4:$A$1510),NA(),IFERROR(LOOKUP(2,1/(('Match Log'!$D$4:$D$1510=$T$24)*('Match Log'!$A$4:$A$1510&lt;=$J315)),'Match Log'!$N$4:$N$1510),NA()))</f>
        <v>862.22294373677494</v>
      </c>
      <c r="U315">
        <f>IF($J315&gt;MAX('Match Log'!$A$4:$A$1510),NA(),IFERROR(LOOKUP(2,1/(('Match Log'!$D$4:$D$1510=$U$24)*('Match Log'!$A$4:$A$1510&lt;=$J315)),'Match Log'!$N$4:$N$1510),NA()))</f>
        <v>944.39454678356583</v>
      </c>
      <c r="V315">
        <f>IF($J315&gt;MAX('Match Log'!$A$4:$A$1510),NA(),IFERROR(LOOKUP(2,1/(('Match Log'!$D$4:$D$1510=$V$24)*('Match Log'!$A$4:$A$1510&lt;=$J315)),'Match Log'!$N$4:$N$1510),NA()))</f>
        <v>1087.5488947064855</v>
      </c>
      <c r="W315">
        <f>IF($J315&gt;MAX('Match Log'!$A$4:$A$1510),NA(),IFERROR(LOOKUP(2,1/(('Match Log'!$D$4:$D$1510=$W$24)*('Match Log'!$A$4:$A$1510&lt;=$J315)),'Match Log'!$N$4:$N$1510),NA()))</f>
        <v>1023.2192605207141</v>
      </c>
      <c r="X315" t="e">
        <f>IF($J315&gt;MAX('Match Log'!$A$4:$A$1510),NA(),IFERROR(LOOKUP(2,1/(('Match Log'!$D$4:$D$1510=$X$24)*('Match Log'!$A$4:$A$1510&lt;=$J315)),'Match Log'!$N$4:$N$1510),NA()))</f>
        <v>#N/A</v>
      </c>
      <c r="Y315">
        <f t="shared" ca="1" si="31"/>
        <v>-1.2156248224504769</v>
      </c>
    </row>
    <row r="316" spans="1:25" x14ac:dyDescent="0.2">
      <c r="A316">
        <v>292</v>
      </c>
      <c r="B316">
        <f>IFERROR(INDEX('Match Log'!$B$4:$B$1510,MATCH($A316,'Match Log'!$A$4:$A$1510,0)),"")</f>
        <v>46287</v>
      </c>
      <c r="C316" t="str">
        <f>IFERROR(INDEX('Match Log'!$C$4:$C$1510,MATCH($A316,'Match Log'!$A$4:$A$1510,0)),"")</f>
        <v>Mario Golf</v>
      </c>
      <c r="D316" t="str">
        <f t="array" ref="D316">IFERROR(_xlfn.TEXTJOIN(" + ",TRUE(),IF(('Match Log'!$A$4:$A$1510=$A316)*('Match Log'!$E$4:$E$1510="Win"),'Match Log'!$D$4:$D$1510,"")),IFERROR(LOOKUP(2,1/(('Match Log'!$A$4:$A$1510=$A316)*('Match Log'!$E$4:$E$1510="Win")),'Match Log'!$D$4:$D$1510),""))</f>
        <v>Daniel (Ferret)</v>
      </c>
      <c r="E316">
        <f>IFERROR(INDEX('Match Log'!$F$4:$F$1510,MATCH($A316,'Match Log'!$A$4:$A$1510,0)),"")</f>
        <v>3</v>
      </c>
      <c r="F316">
        <f>IFERROR(SUMIFS('Match Log'!$I$4:$I$1510,'Match Log'!$A$4:$A$1510,$A316,'Match Log'!$E$4:$E$1510,"Win"),"")</f>
        <v>0.35820895522388063</v>
      </c>
      <c r="G316">
        <f t="shared" si="29"/>
        <v>-7.4626865671641784E-2</v>
      </c>
      <c r="H316" t="str">
        <f t="array" ref="H316">IFERROR(IF(COUNTIFS('Match Log'!$A$4:$A$1510,$A316,'Match Log'!$E$4:$E$1510,"Win")&gt;1,_xlfn.TEXTJOIN(" + ",TRUE(),IF(('Match Log'!$A$4:$A$1510=$A316)*('Match Log'!$E$4:$E$1510="Loss"),'Match Log'!$D$4:$D$1510,"")),IF($E316=2,LOOKUP(2,1/(('Match Log'!$A$4:$A$1510=$A316)*('Match Log'!$E$4:$E$1510="Loss")),'Match Log'!$D$4:$D$1510),"the field")),"")</f>
        <v>the field</v>
      </c>
      <c r="I316">
        <f t="shared" si="30"/>
        <v>-7.4918865671641785E-2</v>
      </c>
      <c r="J316">
        <v>292</v>
      </c>
      <c r="K316">
        <f>IF($J316&gt;MAX('Match Log'!$A$4:$A$1510),NA(),IFERROR(LOOKUP(2,1/(('Match Log'!$D$4:$D$1510=$K$24)*('Match Log'!$A$4:$A$1510&lt;=$J316)),'Match Log'!$N$4:$N$1510),NA()))</f>
        <v>1248.0905215463217</v>
      </c>
      <c r="L316">
        <f>IF($J316&gt;MAX('Match Log'!$A$4:$A$1510),NA(),IFERROR(LOOKUP(2,1/(('Match Log'!$D$4:$D$1510=$L$24)*('Match Log'!$A$4:$A$1510&lt;=$J316)),'Match Log'!$N$4:$N$1510),NA()))</f>
        <v>1029.5175965335138</v>
      </c>
      <c r="M316">
        <f>IF($J316&gt;MAX('Match Log'!$A$4:$A$1510),NA(),IFERROR(LOOKUP(2,1/(('Match Log'!$D$4:$D$1510=$M$24)*('Match Log'!$A$4:$A$1510&lt;=$J316)),'Match Log'!$N$4:$N$1510),NA()))</f>
        <v>1081.2287215286424</v>
      </c>
      <c r="N316">
        <f>IF($J316&gt;MAX('Match Log'!$A$4:$A$1510),NA(),IFERROR(LOOKUP(2,1/(('Match Log'!$D$4:$D$1510=$N$24)*('Match Log'!$A$4:$A$1510&lt;=$J316)),'Match Log'!$N$4:$N$1510),NA()))</f>
        <v>907.03133644117429</v>
      </c>
      <c r="O316">
        <f>IF($J316&gt;MAX('Match Log'!$A$4:$A$1510),NA(),IFERROR(LOOKUP(2,1/(('Match Log'!$D$4:$D$1510=$O$24)*('Match Log'!$A$4:$A$1510&lt;=$J316)),'Match Log'!$N$4:$N$1510),NA()))</f>
        <v>1192.3121492095624</v>
      </c>
      <c r="P316">
        <f>IF($J316&gt;MAX('Match Log'!$A$4:$A$1510),NA(),IFERROR(LOOKUP(2,1/(('Match Log'!$D$4:$D$1510=$P$24)*('Match Log'!$A$4:$A$1510&lt;=$J316)),'Match Log'!$N$4:$N$1510),NA()))</f>
        <v>1232.6924667492156</v>
      </c>
      <c r="Q316">
        <f>IF($J316&gt;MAX('Match Log'!$A$4:$A$1510),NA(),IFERROR(LOOKUP(2,1/(('Match Log'!$D$4:$D$1510=$Q$24)*('Match Log'!$A$4:$A$1510&lt;=$J316)),'Match Log'!$N$4:$N$1510),NA()))</f>
        <v>1215.996181687143</v>
      </c>
      <c r="R316">
        <f>IF($J316&gt;MAX('Match Log'!$A$4:$A$1510),NA(),IFERROR(LOOKUP(2,1/(('Match Log'!$D$4:$D$1510=$R$24)*('Match Log'!$A$4:$A$1510&lt;=$J316)),'Match Log'!$N$4:$N$1510),NA()))</f>
        <v>1065.8165694096278</v>
      </c>
      <c r="S316">
        <f>IF($J316&gt;MAX('Match Log'!$A$4:$A$1510),NA(),IFERROR(LOOKUP(2,1/(('Match Log'!$D$4:$D$1510=$S$24)*('Match Log'!$A$4:$A$1510&lt;=$J316)),'Match Log'!$N$4:$N$1510),NA()))</f>
        <v>1248.9288111472574</v>
      </c>
      <c r="T316">
        <f>IF($J316&gt;MAX('Match Log'!$A$4:$A$1510),NA(),IFERROR(LOOKUP(2,1/(('Match Log'!$D$4:$D$1510=$T$24)*('Match Log'!$A$4:$A$1510&lt;=$J316)),'Match Log'!$N$4:$N$1510),NA()))</f>
        <v>862.22294373677494</v>
      </c>
      <c r="U316">
        <f>IF($J316&gt;MAX('Match Log'!$A$4:$A$1510),NA(),IFERROR(LOOKUP(2,1/(('Match Log'!$D$4:$D$1510=$U$24)*('Match Log'!$A$4:$A$1510&lt;=$J316)),'Match Log'!$N$4:$N$1510),NA()))</f>
        <v>944.39454678356583</v>
      </c>
      <c r="V316">
        <f>IF($J316&gt;MAX('Match Log'!$A$4:$A$1510),NA(),IFERROR(LOOKUP(2,1/(('Match Log'!$D$4:$D$1510=$V$24)*('Match Log'!$A$4:$A$1510&lt;=$J316)),'Match Log'!$N$4:$N$1510),NA()))</f>
        <v>1087.5488947064855</v>
      </c>
      <c r="W316">
        <f>IF($J316&gt;MAX('Match Log'!$A$4:$A$1510),NA(),IFERROR(LOOKUP(2,1/(('Match Log'!$D$4:$D$1510=$W$24)*('Match Log'!$A$4:$A$1510&lt;=$J316)),'Match Log'!$N$4:$N$1510),NA()))</f>
        <v>1023.2192605207141</v>
      </c>
      <c r="X316" t="e">
        <f>IF($J316&gt;MAX('Match Log'!$A$4:$A$1510),NA(),IFERROR(LOOKUP(2,1/(('Match Log'!$D$4:$D$1510=$X$24)*('Match Log'!$A$4:$A$1510&lt;=$J316)),'Match Log'!$N$4:$N$1510),NA()))</f>
        <v>#N/A</v>
      </c>
      <c r="Y316">
        <f t="shared" ca="1" si="31"/>
        <v>-7.4918865671641785E-2</v>
      </c>
    </row>
    <row r="317" spans="1:25" x14ac:dyDescent="0.2">
      <c r="A317">
        <v>293</v>
      </c>
      <c r="B317">
        <f>IFERROR(INDEX('Match Log'!$B$4:$B$1510,MATCH($A317,'Match Log'!$A$4:$A$1510,0)),"")</f>
        <v>46287</v>
      </c>
      <c r="C317" t="str">
        <f>IFERROR(INDEX('Match Log'!$C$4:$C$1510,MATCH($A317,'Match Log'!$A$4:$A$1510,0)),"")</f>
        <v>Mario Golf</v>
      </c>
      <c r="D317" t="str">
        <f t="array" ref="D317">IFERROR(_xlfn.TEXTJOIN(" + ",TRUE(),IF(('Match Log'!$A$4:$A$1510=$A317)*('Match Log'!$E$4:$E$1510="Win"),'Match Log'!$D$4:$D$1510,"")),IFERROR(LOOKUP(2,1/(('Match Log'!$A$4:$A$1510=$A317)*('Match Log'!$E$4:$E$1510="Win")),'Match Log'!$D$4:$D$1510),""))</f>
        <v>Daniel (Ferret)</v>
      </c>
      <c r="E317">
        <f>IFERROR(INDEX('Match Log'!$F$4:$F$1510,MATCH($A317,'Match Log'!$A$4:$A$1510,0)),"")</f>
        <v>3</v>
      </c>
      <c r="F317">
        <f>IFERROR(SUMIFS('Match Log'!$I$4:$I$1510,'Match Log'!$A$4:$A$1510,$A317,'Match Log'!$E$4:$E$1510,"Win"),"")</f>
        <v>0.37869219800366677</v>
      </c>
      <c r="G317">
        <f t="shared" si="29"/>
        <v>-0.13607659401100025</v>
      </c>
      <c r="H317" t="str">
        <f t="array" ref="H317">IFERROR(IF(COUNTIFS('Match Log'!$A$4:$A$1510,$A317,'Match Log'!$E$4:$E$1510,"Win")&gt;1,_xlfn.TEXTJOIN(" + ",TRUE(),IF(('Match Log'!$A$4:$A$1510=$A317)*('Match Log'!$E$4:$E$1510="Loss"),'Match Log'!$D$4:$D$1510,"")),IF($E317=2,LOOKUP(2,1/(('Match Log'!$A$4:$A$1510=$A317)*('Match Log'!$E$4:$E$1510="Loss")),'Match Log'!$D$4:$D$1510),"the field")),"")</f>
        <v>the field</v>
      </c>
      <c r="I317">
        <f t="shared" si="30"/>
        <v>-0.13636959401100024</v>
      </c>
      <c r="J317">
        <v>293</v>
      </c>
      <c r="K317">
        <f>IF($J317&gt;MAX('Match Log'!$A$4:$A$1510),NA(),IFERROR(LOOKUP(2,1/(('Match Log'!$D$4:$D$1510=$K$24)*('Match Log'!$A$4:$A$1510&lt;=$J317)),'Match Log'!$N$4:$N$1510),NA()))</f>
        <v>1240.5171106942748</v>
      </c>
      <c r="L317">
        <f>IF($J317&gt;MAX('Match Log'!$A$4:$A$1510),NA(),IFERROR(LOOKUP(2,1/(('Match Log'!$D$4:$D$1510=$L$24)*('Match Log'!$A$4:$A$1510&lt;=$J317)),'Match Log'!$N$4:$N$1510),NA()))</f>
        <v>1029.5175965335138</v>
      </c>
      <c r="M317">
        <f>IF($J317&gt;MAX('Match Log'!$A$4:$A$1510),NA(),IFERROR(LOOKUP(2,1/(('Match Log'!$D$4:$D$1510=$M$24)*('Match Log'!$A$4:$A$1510&lt;=$J317)),'Match Log'!$N$4:$N$1510),NA()))</f>
        <v>1081.2287215286424</v>
      </c>
      <c r="N317">
        <f>IF($J317&gt;MAX('Match Log'!$A$4:$A$1510),NA(),IFERROR(LOOKUP(2,1/(('Match Log'!$D$4:$D$1510=$N$24)*('Match Log'!$A$4:$A$1510&lt;=$J317)),'Match Log'!$N$4:$N$1510),NA()))</f>
        <v>907.03133644117429</v>
      </c>
      <c r="O317">
        <f>IF($J317&gt;MAX('Match Log'!$A$4:$A$1510),NA(),IFERROR(LOOKUP(2,1/(('Match Log'!$D$4:$D$1510=$O$24)*('Match Log'!$A$4:$A$1510&lt;=$J317)),'Match Log'!$N$4:$N$1510),NA()))</f>
        <v>1192.3121492095624</v>
      </c>
      <c r="P317">
        <f>IF($J317&gt;MAX('Match Log'!$A$4:$A$1510),NA(),IFERROR(LOOKUP(2,1/(('Match Log'!$D$4:$D$1510=$P$24)*('Match Log'!$A$4:$A$1510&lt;=$J317)),'Match Log'!$N$4:$N$1510),NA()))</f>
        <v>1223.2354115650985</v>
      </c>
      <c r="Q317">
        <f>IF($J317&gt;MAX('Match Log'!$A$4:$A$1510),NA(),IFERROR(LOOKUP(2,1/(('Match Log'!$D$4:$D$1510=$Q$24)*('Match Log'!$A$4:$A$1510&lt;=$J317)),'Match Log'!$N$4:$N$1510),NA()))</f>
        <v>1215.996181687143</v>
      </c>
      <c r="R317">
        <f>IF($J317&gt;MAX('Match Log'!$A$4:$A$1510),NA(),IFERROR(LOOKUP(2,1/(('Match Log'!$D$4:$D$1510=$R$24)*('Match Log'!$A$4:$A$1510&lt;=$J317)),'Match Log'!$N$4:$N$1510),NA()))</f>
        <v>1091.8470354457918</v>
      </c>
      <c r="S317">
        <f>IF($J317&gt;MAX('Match Log'!$A$4:$A$1510),NA(),IFERROR(LOOKUP(2,1/(('Match Log'!$D$4:$D$1510=$S$24)*('Match Log'!$A$4:$A$1510&lt;=$J317)),'Match Log'!$N$4:$N$1510),NA()))</f>
        <v>1248.9288111472574</v>
      </c>
      <c r="T317">
        <f>IF($J317&gt;MAX('Match Log'!$A$4:$A$1510),NA(),IFERROR(LOOKUP(2,1/(('Match Log'!$D$4:$D$1510=$T$24)*('Match Log'!$A$4:$A$1510&lt;=$J317)),'Match Log'!$N$4:$N$1510),NA()))</f>
        <v>862.22294373677494</v>
      </c>
      <c r="U317">
        <f>IF($J317&gt;MAX('Match Log'!$A$4:$A$1510),NA(),IFERROR(LOOKUP(2,1/(('Match Log'!$D$4:$D$1510=$U$24)*('Match Log'!$A$4:$A$1510&lt;=$J317)),'Match Log'!$N$4:$N$1510),NA()))</f>
        <v>944.39454678356583</v>
      </c>
      <c r="V317">
        <f>IF($J317&gt;MAX('Match Log'!$A$4:$A$1510),NA(),IFERROR(LOOKUP(2,1/(('Match Log'!$D$4:$D$1510=$V$24)*('Match Log'!$A$4:$A$1510&lt;=$J317)),'Match Log'!$N$4:$N$1510),NA()))</f>
        <v>1087.5488947064855</v>
      </c>
      <c r="W317">
        <f>IF($J317&gt;MAX('Match Log'!$A$4:$A$1510),NA(),IFERROR(LOOKUP(2,1/(('Match Log'!$D$4:$D$1510=$W$24)*('Match Log'!$A$4:$A$1510&lt;=$J317)),'Match Log'!$N$4:$N$1510),NA()))</f>
        <v>1023.2192605207141</v>
      </c>
      <c r="X317" t="e">
        <f>IF($J317&gt;MAX('Match Log'!$A$4:$A$1510),NA(),IFERROR(LOOKUP(2,1/(('Match Log'!$D$4:$D$1510=$X$24)*('Match Log'!$A$4:$A$1510&lt;=$J317)),'Match Log'!$N$4:$N$1510),NA()))</f>
        <v>#N/A</v>
      </c>
      <c r="Y317">
        <f t="shared" ca="1" si="31"/>
        <v>-0.13636959401100024</v>
      </c>
    </row>
    <row r="318" spans="1:25" x14ac:dyDescent="0.2">
      <c r="A318">
        <v>294</v>
      </c>
      <c r="B318">
        <f>IFERROR(INDEX('Match Log'!$B$4:$B$1510,MATCH($A318,'Match Log'!$A$4:$A$1510,0)),"")</f>
        <v>46287</v>
      </c>
      <c r="C318" t="str">
        <f>IFERROR(INDEX('Match Log'!$C$4:$C$1510,MATCH($A318,'Match Log'!$A$4:$A$1510,0)),"")</f>
        <v>Mario Golf</v>
      </c>
      <c r="D318" t="str">
        <f t="array" ref="D318">IFERROR(_xlfn.TEXTJOIN(" + ",TRUE(),IF(('Match Log'!$A$4:$A$1510=$A318)*('Match Log'!$E$4:$E$1510="Win"),'Match Log'!$D$4:$D$1510,"")),IFERROR(LOOKUP(2,1/(('Match Log'!$A$4:$A$1510=$A318)*('Match Log'!$E$4:$E$1510="Win")),'Match Log'!$D$4:$D$1510),""))</f>
        <v>Shawn</v>
      </c>
      <c r="E318">
        <f>IFERROR(INDEX('Match Log'!$F$4:$F$1510,MATCH($A318,'Match Log'!$A$4:$A$1510,0)),"")</f>
        <v>3</v>
      </c>
      <c r="F318">
        <f>IFERROR(SUMIFS('Match Log'!$I$4:$I$1510,'Match Log'!$A$4:$A$1510,$A318,'Match Log'!$E$4:$E$1510,"Win"),"")</f>
        <v>0.39111747851002865</v>
      </c>
      <c r="G318">
        <f t="shared" si="29"/>
        <v>-0.17335243553008595</v>
      </c>
      <c r="H318" t="str">
        <f t="array" ref="H318">IFERROR(IF(COUNTIFS('Match Log'!$A$4:$A$1510,$A318,'Match Log'!$E$4:$E$1510,"Win")&gt;1,_xlfn.TEXTJOIN(" + ",TRUE(),IF(('Match Log'!$A$4:$A$1510=$A318)*('Match Log'!$E$4:$E$1510="Loss"),'Match Log'!$D$4:$D$1510,"")),IF($E318=2,LOOKUP(2,1/(('Match Log'!$A$4:$A$1510=$A318)*('Match Log'!$E$4:$E$1510="Loss")),'Match Log'!$D$4:$D$1510),"the field")),"")</f>
        <v>the field</v>
      </c>
      <c r="I318">
        <f t="shared" si="30"/>
        <v>-0.17364643553008594</v>
      </c>
      <c r="J318">
        <v>294</v>
      </c>
      <c r="K318">
        <f>IF($J318&gt;MAX('Match Log'!$A$4:$A$1510),NA(),IFERROR(LOOKUP(2,1/(('Match Log'!$D$4:$D$1510=$K$24)*('Match Log'!$A$4:$A$1510&lt;=$J318)),'Match Log'!$N$4:$N$1510),NA()))</f>
        <v>1232.8695151191851</v>
      </c>
      <c r="L318">
        <f>IF($J318&gt;MAX('Match Log'!$A$4:$A$1510),NA(),IFERROR(LOOKUP(2,1/(('Match Log'!$D$4:$D$1510=$L$24)*('Match Log'!$A$4:$A$1510&lt;=$J318)),'Match Log'!$N$4:$N$1510),NA()))</f>
        <v>1029.5175965335138</v>
      </c>
      <c r="M318">
        <f>IF($J318&gt;MAX('Match Log'!$A$4:$A$1510),NA(),IFERROR(LOOKUP(2,1/(('Match Log'!$D$4:$D$1510=$M$24)*('Match Log'!$A$4:$A$1510&lt;=$J318)),'Match Log'!$N$4:$N$1510),NA()))</f>
        <v>1081.2287215286424</v>
      </c>
      <c r="N318">
        <f>IF($J318&gt;MAX('Match Log'!$A$4:$A$1510),NA(),IFERROR(LOOKUP(2,1/(('Match Log'!$D$4:$D$1510=$N$24)*('Match Log'!$A$4:$A$1510&lt;=$J318)),'Match Log'!$N$4:$N$1510),NA()))</f>
        <v>907.03133644117429</v>
      </c>
      <c r="O318">
        <f>IF($J318&gt;MAX('Match Log'!$A$4:$A$1510),NA(),IFERROR(LOOKUP(2,1/(('Match Log'!$D$4:$D$1510=$O$24)*('Match Log'!$A$4:$A$1510&lt;=$J318)),'Match Log'!$N$4:$N$1510),NA()))</f>
        <v>1192.3121492095624</v>
      </c>
      <c r="P318">
        <f>IF($J318&gt;MAX('Match Log'!$A$4:$A$1510),NA(),IFERROR(LOOKUP(2,1/(('Match Log'!$D$4:$D$1510=$P$24)*('Match Log'!$A$4:$A$1510&lt;=$J318)),'Match Log'!$N$4:$N$1510),NA()))</f>
        <v>1250.5007245098798</v>
      </c>
      <c r="Q318">
        <f>IF($J318&gt;MAX('Match Log'!$A$4:$A$1510),NA(),IFERROR(LOOKUP(2,1/(('Match Log'!$D$4:$D$1510=$Q$24)*('Match Log'!$A$4:$A$1510&lt;=$J318)),'Match Log'!$N$4:$N$1510),NA()))</f>
        <v>1215.996181687143</v>
      </c>
      <c r="R318">
        <f>IF($J318&gt;MAX('Match Log'!$A$4:$A$1510),NA(),IFERROR(LOOKUP(2,1/(('Match Log'!$D$4:$D$1510=$R$24)*('Match Log'!$A$4:$A$1510&lt;=$J318)),'Match Log'!$N$4:$N$1510),NA()))</f>
        <v>1081.2293180761003</v>
      </c>
      <c r="S318">
        <f>IF($J318&gt;MAX('Match Log'!$A$4:$A$1510),NA(),IFERROR(LOOKUP(2,1/(('Match Log'!$D$4:$D$1510=$S$24)*('Match Log'!$A$4:$A$1510&lt;=$J318)),'Match Log'!$N$4:$N$1510),NA()))</f>
        <v>1248.9288111472574</v>
      </c>
      <c r="T318">
        <f>IF($J318&gt;MAX('Match Log'!$A$4:$A$1510),NA(),IFERROR(LOOKUP(2,1/(('Match Log'!$D$4:$D$1510=$T$24)*('Match Log'!$A$4:$A$1510&lt;=$J318)),'Match Log'!$N$4:$N$1510),NA()))</f>
        <v>862.22294373677494</v>
      </c>
      <c r="U318">
        <f>IF($J318&gt;MAX('Match Log'!$A$4:$A$1510),NA(),IFERROR(LOOKUP(2,1/(('Match Log'!$D$4:$D$1510=$U$24)*('Match Log'!$A$4:$A$1510&lt;=$J318)),'Match Log'!$N$4:$N$1510),NA()))</f>
        <v>944.39454678356583</v>
      </c>
      <c r="V318">
        <f>IF($J318&gt;MAX('Match Log'!$A$4:$A$1510),NA(),IFERROR(LOOKUP(2,1/(('Match Log'!$D$4:$D$1510=$V$24)*('Match Log'!$A$4:$A$1510&lt;=$J318)),'Match Log'!$N$4:$N$1510),NA()))</f>
        <v>1087.5488947064855</v>
      </c>
      <c r="W318">
        <f>IF($J318&gt;MAX('Match Log'!$A$4:$A$1510),NA(),IFERROR(LOOKUP(2,1/(('Match Log'!$D$4:$D$1510=$W$24)*('Match Log'!$A$4:$A$1510&lt;=$J318)),'Match Log'!$N$4:$N$1510),NA()))</f>
        <v>1023.2192605207141</v>
      </c>
      <c r="X318" t="e">
        <f>IF($J318&gt;MAX('Match Log'!$A$4:$A$1510),NA(),IFERROR(LOOKUP(2,1/(('Match Log'!$D$4:$D$1510=$X$24)*('Match Log'!$A$4:$A$1510&lt;=$J318)),'Match Log'!$N$4:$N$1510),NA()))</f>
        <v>#N/A</v>
      </c>
      <c r="Y318">
        <f t="shared" ca="1" si="31"/>
        <v>-0.17364643553008594</v>
      </c>
    </row>
    <row r="319" spans="1:25" x14ac:dyDescent="0.2">
      <c r="A319">
        <v>295</v>
      </c>
      <c r="B319">
        <f>IFERROR(INDEX('Match Log'!$B$4:$B$1510,MATCH($A319,'Match Log'!$A$4:$A$1510,0)),"")</f>
        <v>46287</v>
      </c>
      <c r="C319" t="str">
        <f>IFERROR(INDEX('Match Log'!$C$4:$C$1510,MATCH($A319,'Match Log'!$A$4:$A$1510,0)),"")</f>
        <v>Mario Golf</v>
      </c>
      <c r="D319" t="str">
        <f t="array" ref="D319">IFERROR(_xlfn.TEXTJOIN(" + ",TRUE(),IF(('Match Log'!$A$4:$A$1510=$A319)*('Match Log'!$E$4:$E$1510="Win"),'Match Log'!$D$4:$D$1510,"")),IFERROR(LOOKUP(2,1/(('Match Log'!$A$4:$A$1510=$A319)*('Match Log'!$E$4:$E$1510="Win")),'Match Log'!$D$4:$D$1510),""))</f>
        <v>Daniel (Ferret)</v>
      </c>
      <c r="E319">
        <f>IFERROR(INDEX('Match Log'!$F$4:$F$1510,MATCH($A319,'Match Log'!$A$4:$A$1510,0)),"")</f>
        <v>2</v>
      </c>
      <c r="F319">
        <f>IFERROR(SUMIFS('Match Log'!$I$4:$I$1510,'Match Log'!$A$4:$A$1510,$A319,'Match Log'!$E$4:$E$1510,"Win"),"")</f>
        <v>0.48853439680957128</v>
      </c>
      <c r="G319">
        <f t="shared" si="29"/>
        <v>2.2931206380857438E-2</v>
      </c>
      <c r="H319" t="str">
        <f t="array" ref="H319">IFERROR(IF(COUNTIFS('Match Log'!$A$4:$A$1510,$A319,'Match Log'!$E$4:$E$1510,"Win")&gt;1,_xlfn.TEXTJOIN(" + ",TRUE(),IF(('Match Log'!$A$4:$A$1510=$A319)*('Match Log'!$E$4:$E$1510="Loss"),'Match Log'!$D$4:$D$1510,"")),IF($E319=2,LOOKUP(2,1/(('Match Log'!$A$4:$A$1510=$A319)*('Match Log'!$E$4:$E$1510="Loss")),'Match Log'!$D$4:$D$1510),"the field")),"")</f>
        <v>Shawn</v>
      </c>
      <c r="I319">
        <f t="shared" si="30"/>
        <v>2.2636206380857438E-2</v>
      </c>
      <c r="J319">
        <v>295</v>
      </c>
      <c r="K319">
        <f>IF($J319&gt;MAX('Match Log'!$A$4:$A$1510),NA(),IFERROR(LOOKUP(2,1/(('Match Log'!$D$4:$D$1510=$K$24)*('Match Log'!$A$4:$A$1510&lt;=$J319)),'Match Log'!$N$4:$N$1510),NA()))</f>
        <v>1232.8695151191851</v>
      </c>
      <c r="L319">
        <f>IF($J319&gt;MAX('Match Log'!$A$4:$A$1510),NA(),IFERROR(LOOKUP(2,1/(('Match Log'!$D$4:$D$1510=$L$24)*('Match Log'!$A$4:$A$1510&lt;=$J319)),'Match Log'!$N$4:$N$1510),NA()))</f>
        <v>1029.5175965335138</v>
      </c>
      <c r="M319">
        <f>IF($J319&gt;MAX('Match Log'!$A$4:$A$1510),NA(),IFERROR(LOOKUP(2,1/(('Match Log'!$D$4:$D$1510=$M$24)*('Match Log'!$A$4:$A$1510&lt;=$J319)),'Match Log'!$N$4:$N$1510),NA()))</f>
        <v>1081.2287215286424</v>
      </c>
      <c r="N319">
        <f>IF($J319&gt;MAX('Match Log'!$A$4:$A$1510),NA(),IFERROR(LOOKUP(2,1/(('Match Log'!$D$4:$D$1510=$N$24)*('Match Log'!$A$4:$A$1510&lt;=$J319)),'Match Log'!$N$4:$N$1510),NA()))</f>
        <v>907.03133644117429</v>
      </c>
      <c r="O319">
        <f>IF($J319&gt;MAX('Match Log'!$A$4:$A$1510),NA(),IFERROR(LOOKUP(2,1/(('Match Log'!$D$4:$D$1510=$O$24)*('Match Log'!$A$4:$A$1510&lt;=$J319)),'Match Log'!$N$4:$N$1510),NA()))</f>
        <v>1192.3121492095624</v>
      </c>
      <c r="P319">
        <f>IF($J319&gt;MAX('Match Log'!$A$4:$A$1510),NA(),IFERROR(LOOKUP(2,1/(('Match Log'!$D$4:$D$1510=$P$24)*('Match Log'!$A$4:$A$1510&lt;=$J319)),'Match Log'!$N$4:$N$1510),NA()))</f>
        <v>1228.827199498736</v>
      </c>
      <c r="Q319">
        <f>IF($J319&gt;MAX('Match Log'!$A$4:$A$1510),NA(),IFERROR(LOOKUP(2,1/(('Match Log'!$D$4:$D$1510=$Q$24)*('Match Log'!$A$4:$A$1510&lt;=$J319)),'Match Log'!$N$4:$N$1510),NA()))</f>
        <v>1215.996181687143</v>
      </c>
      <c r="R319">
        <f>IF($J319&gt;MAX('Match Log'!$A$4:$A$1510),NA(),IFERROR(LOOKUP(2,1/(('Match Log'!$D$4:$D$1510=$R$24)*('Match Log'!$A$4:$A$1510&lt;=$J319)),'Match Log'!$N$4:$N$1510),NA()))</f>
        <v>1102.902843087244</v>
      </c>
      <c r="S319">
        <f>IF($J319&gt;MAX('Match Log'!$A$4:$A$1510),NA(),IFERROR(LOOKUP(2,1/(('Match Log'!$D$4:$D$1510=$S$24)*('Match Log'!$A$4:$A$1510&lt;=$J319)),'Match Log'!$N$4:$N$1510),NA()))</f>
        <v>1248.9288111472574</v>
      </c>
      <c r="T319">
        <f>IF($J319&gt;MAX('Match Log'!$A$4:$A$1510),NA(),IFERROR(LOOKUP(2,1/(('Match Log'!$D$4:$D$1510=$T$24)*('Match Log'!$A$4:$A$1510&lt;=$J319)),'Match Log'!$N$4:$N$1510),NA()))</f>
        <v>862.22294373677494</v>
      </c>
      <c r="U319">
        <f>IF($J319&gt;MAX('Match Log'!$A$4:$A$1510),NA(),IFERROR(LOOKUP(2,1/(('Match Log'!$D$4:$D$1510=$U$24)*('Match Log'!$A$4:$A$1510&lt;=$J319)),'Match Log'!$N$4:$N$1510),NA()))</f>
        <v>944.39454678356583</v>
      </c>
      <c r="V319">
        <f>IF($J319&gt;MAX('Match Log'!$A$4:$A$1510),NA(),IFERROR(LOOKUP(2,1/(('Match Log'!$D$4:$D$1510=$V$24)*('Match Log'!$A$4:$A$1510&lt;=$J319)),'Match Log'!$N$4:$N$1510),NA()))</f>
        <v>1087.5488947064855</v>
      </c>
      <c r="W319">
        <f>IF($J319&gt;MAX('Match Log'!$A$4:$A$1510),NA(),IFERROR(LOOKUP(2,1/(('Match Log'!$D$4:$D$1510=$W$24)*('Match Log'!$A$4:$A$1510&lt;=$J319)),'Match Log'!$N$4:$N$1510),NA()))</f>
        <v>1023.2192605207141</v>
      </c>
      <c r="X319" t="e">
        <f>IF($J319&gt;MAX('Match Log'!$A$4:$A$1510),NA(),IFERROR(LOOKUP(2,1/(('Match Log'!$D$4:$D$1510=$X$24)*('Match Log'!$A$4:$A$1510&lt;=$J319)),'Match Log'!$N$4:$N$1510),NA()))</f>
        <v>#N/A</v>
      </c>
      <c r="Y319">
        <f t="shared" ca="1" si="31"/>
        <v>2.2636206380857438E-2</v>
      </c>
    </row>
    <row r="320" spans="1:25" x14ac:dyDescent="0.2">
      <c r="A320">
        <v>296</v>
      </c>
      <c r="B320">
        <f>IFERROR(INDEX('Match Log'!$B$4:$B$1510,MATCH($A320,'Match Log'!$A$4:$A$1510,0)),"")</f>
        <v>46287</v>
      </c>
      <c r="C320" t="str">
        <f>IFERROR(INDEX('Match Log'!$C$4:$C$1510,MATCH($A320,'Match Log'!$A$4:$A$1510,0)),"")</f>
        <v>Mario Golf</v>
      </c>
      <c r="D320" t="str">
        <f t="array" ref="D320">IFERROR(_xlfn.TEXTJOIN(" + ",TRUE(),IF(('Match Log'!$A$4:$A$1510=$A320)*('Match Log'!$E$4:$E$1510="Win"),'Match Log'!$D$4:$D$1510,"")),IFERROR(LOOKUP(2,1/(('Match Log'!$A$4:$A$1510=$A320)*('Match Log'!$E$4:$E$1510="Win")),'Match Log'!$D$4:$D$1510),""))</f>
        <v>Daniel (Ferret)</v>
      </c>
      <c r="E320">
        <f>IFERROR(INDEX('Match Log'!$F$4:$F$1510,MATCH($A320,'Match Log'!$A$4:$A$1510,0)),"")</f>
        <v>2</v>
      </c>
      <c r="F320">
        <f>IFERROR(SUMIFS('Match Log'!$I$4:$I$1510,'Match Log'!$A$4:$A$1510,$A320,'Match Log'!$E$4:$E$1510,"Win"),"")</f>
        <v>0.50373134328358204</v>
      </c>
      <c r="G320">
        <f t="shared" si="29"/>
        <v>-7.4626865671640896E-3</v>
      </c>
      <c r="H320" t="str">
        <f t="array" ref="H320">IFERROR(IF(COUNTIFS('Match Log'!$A$4:$A$1510,$A320,'Match Log'!$E$4:$E$1510,"Win")&gt;1,_xlfn.TEXTJOIN(" + ",TRUE(),IF(('Match Log'!$A$4:$A$1510=$A320)*('Match Log'!$E$4:$E$1510="Loss"),'Match Log'!$D$4:$D$1510,"")),IF($E320=2,LOOKUP(2,1/(('Match Log'!$A$4:$A$1510=$A320)*('Match Log'!$E$4:$E$1510="Loss")),'Match Log'!$D$4:$D$1510),"the field")),"")</f>
        <v>Shawn</v>
      </c>
      <c r="I320">
        <f t="shared" si="30"/>
        <v>-7.7586865671640899E-3</v>
      </c>
      <c r="J320">
        <v>296</v>
      </c>
      <c r="K320">
        <f>IF($J320&gt;MAX('Match Log'!$A$4:$A$1510),NA(),IFERROR(LOOKUP(2,1/(('Match Log'!$D$4:$D$1510=$K$24)*('Match Log'!$A$4:$A$1510&lt;=$J320)),'Match Log'!$N$4:$N$1510),NA()))</f>
        <v>1232.8695151191851</v>
      </c>
      <c r="L320">
        <f>IF($J320&gt;MAX('Match Log'!$A$4:$A$1510),NA(),IFERROR(LOOKUP(2,1/(('Match Log'!$D$4:$D$1510=$L$24)*('Match Log'!$A$4:$A$1510&lt;=$J320)),'Match Log'!$N$4:$N$1510),NA()))</f>
        <v>1029.5175965335138</v>
      </c>
      <c r="M320">
        <f>IF($J320&gt;MAX('Match Log'!$A$4:$A$1510),NA(),IFERROR(LOOKUP(2,1/(('Match Log'!$D$4:$D$1510=$M$24)*('Match Log'!$A$4:$A$1510&lt;=$J320)),'Match Log'!$N$4:$N$1510),NA()))</f>
        <v>1081.2287215286424</v>
      </c>
      <c r="N320">
        <f>IF($J320&gt;MAX('Match Log'!$A$4:$A$1510),NA(),IFERROR(LOOKUP(2,1/(('Match Log'!$D$4:$D$1510=$N$24)*('Match Log'!$A$4:$A$1510&lt;=$J320)),'Match Log'!$N$4:$N$1510),NA()))</f>
        <v>907.03133644117429</v>
      </c>
      <c r="O320">
        <f>IF($J320&gt;MAX('Match Log'!$A$4:$A$1510),NA(),IFERROR(LOOKUP(2,1/(('Match Log'!$D$4:$D$1510=$O$24)*('Match Log'!$A$4:$A$1510&lt;=$J320)),'Match Log'!$N$4:$N$1510),NA()))</f>
        <v>1192.3121492095624</v>
      </c>
      <c r="P320">
        <f>IF($J320&gt;MAX('Match Log'!$A$4:$A$1510),NA(),IFERROR(LOOKUP(2,1/(('Match Log'!$D$4:$D$1510=$P$24)*('Match Log'!$A$4:$A$1510&lt;=$J320)),'Match Log'!$N$4:$N$1510),NA()))</f>
        <v>1208.774905680516</v>
      </c>
      <c r="Q320">
        <f>IF($J320&gt;MAX('Match Log'!$A$4:$A$1510),NA(),IFERROR(LOOKUP(2,1/(('Match Log'!$D$4:$D$1510=$Q$24)*('Match Log'!$A$4:$A$1510&lt;=$J320)),'Match Log'!$N$4:$N$1510),NA()))</f>
        <v>1215.996181687143</v>
      </c>
      <c r="R320">
        <f>IF($J320&gt;MAX('Match Log'!$A$4:$A$1510),NA(),IFERROR(LOOKUP(2,1/(('Match Log'!$D$4:$D$1510=$R$24)*('Match Log'!$A$4:$A$1510&lt;=$J320)),'Match Log'!$N$4:$N$1510),NA()))</f>
        <v>1122.9551369054641</v>
      </c>
      <c r="S320">
        <f>IF($J320&gt;MAX('Match Log'!$A$4:$A$1510),NA(),IFERROR(LOOKUP(2,1/(('Match Log'!$D$4:$D$1510=$S$24)*('Match Log'!$A$4:$A$1510&lt;=$J320)),'Match Log'!$N$4:$N$1510),NA()))</f>
        <v>1248.9288111472574</v>
      </c>
      <c r="T320">
        <f>IF($J320&gt;MAX('Match Log'!$A$4:$A$1510),NA(),IFERROR(LOOKUP(2,1/(('Match Log'!$D$4:$D$1510=$T$24)*('Match Log'!$A$4:$A$1510&lt;=$J320)),'Match Log'!$N$4:$N$1510),NA()))</f>
        <v>862.22294373677494</v>
      </c>
      <c r="U320">
        <f>IF($J320&gt;MAX('Match Log'!$A$4:$A$1510),NA(),IFERROR(LOOKUP(2,1/(('Match Log'!$D$4:$D$1510=$U$24)*('Match Log'!$A$4:$A$1510&lt;=$J320)),'Match Log'!$N$4:$N$1510),NA()))</f>
        <v>944.39454678356583</v>
      </c>
      <c r="V320">
        <f>IF($J320&gt;MAX('Match Log'!$A$4:$A$1510),NA(),IFERROR(LOOKUP(2,1/(('Match Log'!$D$4:$D$1510=$V$24)*('Match Log'!$A$4:$A$1510&lt;=$J320)),'Match Log'!$N$4:$N$1510),NA()))</f>
        <v>1087.5488947064855</v>
      </c>
      <c r="W320">
        <f>IF($J320&gt;MAX('Match Log'!$A$4:$A$1510),NA(),IFERROR(LOOKUP(2,1/(('Match Log'!$D$4:$D$1510=$W$24)*('Match Log'!$A$4:$A$1510&lt;=$J320)),'Match Log'!$N$4:$N$1510),NA()))</f>
        <v>1023.2192605207141</v>
      </c>
      <c r="X320" t="e">
        <f>IF($J320&gt;MAX('Match Log'!$A$4:$A$1510),NA(),IFERROR(LOOKUP(2,1/(('Match Log'!$D$4:$D$1510=$X$24)*('Match Log'!$A$4:$A$1510&lt;=$J320)),'Match Log'!$N$4:$N$1510),NA()))</f>
        <v>#N/A</v>
      </c>
      <c r="Y320">
        <f t="shared" ca="1" si="31"/>
        <v>-7.7586865671640899E-3</v>
      </c>
    </row>
    <row r="321" spans="1:25" x14ac:dyDescent="0.2">
      <c r="A321">
        <v>297</v>
      </c>
      <c r="B321">
        <f>IFERROR(INDEX('Match Log'!$B$4:$B$1510,MATCH($A321,'Match Log'!$A$4:$A$1510,0)),"")</f>
        <v>46289</v>
      </c>
      <c r="C321" t="str">
        <f>IFERROR(INDEX('Match Log'!$C$4:$C$1510,MATCH($A321,'Match Log'!$A$4:$A$1510,0)),"")</f>
        <v>Mario Golf</v>
      </c>
      <c r="D321" t="str">
        <f t="array" ref="D321">IFERROR(_xlfn.TEXTJOIN(" + ",TRUE(),IF(('Match Log'!$A$4:$A$1510=$A321)*('Match Log'!$E$4:$E$1510="Win"),'Match Log'!$D$4:$D$1510,"")),IFERROR(LOOKUP(2,1/(('Match Log'!$A$4:$A$1510=$A321)*('Match Log'!$E$4:$E$1510="Win")),'Match Log'!$D$4:$D$1510),""))</f>
        <v>Daniel (Ferret)</v>
      </c>
      <c r="E321">
        <f>IFERROR(INDEX('Match Log'!$F$4:$F$1510,MATCH($A321,'Match Log'!$A$4:$A$1510,0)),"")</f>
        <v>2</v>
      </c>
      <c r="F321">
        <f>IFERROR(SUMIFS('Match Log'!$I$4:$I$1510,'Match Log'!$A$4:$A$1510,$A321,'Match Log'!$E$4:$E$1510,"Win"),"")</f>
        <v>0.51793525809273844</v>
      </c>
      <c r="G321">
        <f t="shared" si="29"/>
        <v>-3.5870516185476875E-2</v>
      </c>
      <c r="H321" t="str">
        <f t="array" ref="H321">IFERROR(IF(COUNTIFS('Match Log'!$A$4:$A$1510,$A321,'Match Log'!$E$4:$E$1510,"Win")&gt;1,_xlfn.TEXTJOIN(" + ",TRUE(),IF(('Match Log'!$A$4:$A$1510=$A321)*('Match Log'!$E$4:$E$1510="Loss"),'Match Log'!$D$4:$D$1510,"")),IF($E321=2,LOOKUP(2,1/(('Match Log'!$A$4:$A$1510=$A321)*('Match Log'!$E$4:$E$1510="Loss")),'Match Log'!$D$4:$D$1510),"the field")),"")</f>
        <v>Shawn</v>
      </c>
      <c r="I321">
        <f t="shared" si="30"/>
        <v>-3.6167516185476874E-2</v>
      </c>
      <c r="J321">
        <v>297</v>
      </c>
      <c r="K321">
        <f>IF($J321&gt;MAX('Match Log'!$A$4:$A$1510),NA(),IFERROR(LOOKUP(2,1/(('Match Log'!$D$4:$D$1510=$K$24)*('Match Log'!$A$4:$A$1510&lt;=$J321)),'Match Log'!$N$4:$N$1510),NA()))</f>
        <v>1232.8695151191851</v>
      </c>
      <c r="L321">
        <f>IF($J321&gt;MAX('Match Log'!$A$4:$A$1510),NA(),IFERROR(LOOKUP(2,1/(('Match Log'!$D$4:$D$1510=$L$24)*('Match Log'!$A$4:$A$1510&lt;=$J321)),'Match Log'!$N$4:$N$1510),NA()))</f>
        <v>1029.5175965335138</v>
      </c>
      <c r="M321">
        <f>IF($J321&gt;MAX('Match Log'!$A$4:$A$1510),NA(),IFERROR(LOOKUP(2,1/(('Match Log'!$D$4:$D$1510=$M$24)*('Match Log'!$A$4:$A$1510&lt;=$J321)),'Match Log'!$N$4:$N$1510),NA()))</f>
        <v>1081.2287215286424</v>
      </c>
      <c r="N321">
        <f>IF($J321&gt;MAX('Match Log'!$A$4:$A$1510),NA(),IFERROR(LOOKUP(2,1/(('Match Log'!$D$4:$D$1510=$N$24)*('Match Log'!$A$4:$A$1510&lt;=$J321)),'Match Log'!$N$4:$N$1510),NA()))</f>
        <v>907.03133644117429</v>
      </c>
      <c r="O321">
        <f>IF($J321&gt;MAX('Match Log'!$A$4:$A$1510),NA(),IFERROR(LOOKUP(2,1/(('Match Log'!$D$4:$D$1510=$O$24)*('Match Log'!$A$4:$A$1510&lt;=$J321)),'Match Log'!$N$4:$N$1510),NA()))</f>
        <v>1192.3121492095624</v>
      </c>
      <c r="P321">
        <f>IF($J321&gt;MAX('Match Log'!$A$4:$A$1510),NA(),IFERROR(LOOKUP(2,1/(('Match Log'!$D$4:$D$1510=$P$24)*('Match Log'!$A$4:$A$1510&lt;=$J321)),'Match Log'!$N$4:$N$1510),NA()))</f>
        <v>1190.1765056534252</v>
      </c>
      <c r="Q321">
        <f>IF($J321&gt;MAX('Match Log'!$A$4:$A$1510),NA(),IFERROR(LOOKUP(2,1/(('Match Log'!$D$4:$D$1510=$Q$24)*('Match Log'!$A$4:$A$1510&lt;=$J321)),'Match Log'!$N$4:$N$1510),NA()))</f>
        <v>1215.996181687143</v>
      </c>
      <c r="R321">
        <f>IF($J321&gt;MAX('Match Log'!$A$4:$A$1510),NA(),IFERROR(LOOKUP(2,1/(('Match Log'!$D$4:$D$1510=$R$24)*('Match Log'!$A$4:$A$1510&lt;=$J321)),'Match Log'!$N$4:$N$1510),NA()))</f>
        <v>1141.5535369325548</v>
      </c>
      <c r="S321">
        <f>IF($J321&gt;MAX('Match Log'!$A$4:$A$1510),NA(),IFERROR(LOOKUP(2,1/(('Match Log'!$D$4:$D$1510=$S$24)*('Match Log'!$A$4:$A$1510&lt;=$J321)),'Match Log'!$N$4:$N$1510),NA()))</f>
        <v>1248.9288111472574</v>
      </c>
      <c r="T321">
        <f>IF($J321&gt;MAX('Match Log'!$A$4:$A$1510),NA(),IFERROR(LOOKUP(2,1/(('Match Log'!$D$4:$D$1510=$T$24)*('Match Log'!$A$4:$A$1510&lt;=$J321)),'Match Log'!$N$4:$N$1510),NA()))</f>
        <v>862.22294373677494</v>
      </c>
      <c r="U321">
        <f>IF($J321&gt;MAX('Match Log'!$A$4:$A$1510),NA(),IFERROR(LOOKUP(2,1/(('Match Log'!$D$4:$D$1510=$U$24)*('Match Log'!$A$4:$A$1510&lt;=$J321)),'Match Log'!$N$4:$N$1510),NA()))</f>
        <v>944.39454678356583</v>
      </c>
      <c r="V321">
        <f>IF($J321&gt;MAX('Match Log'!$A$4:$A$1510),NA(),IFERROR(LOOKUP(2,1/(('Match Log'!$D$4:$D$1510=$V$24)*('Match Log'!$A$4:$A$1510&lt;=$J321)),'Match Log'!$N$4:$N$1510),NA()))</f>
        <v>1087.5488947064855</v>
      </c>
      <c r="W321">
        <f>IF($J321&gt;MAX('Match Log'!$A$4:$A$1510),NA(),IFERROR(LOOKUP(2,1/(('Match Log'!$D$4:$D$1510=$W$24)*('Match Log'!$A$4:$A$1510&lt;=$J321)),'Match Log'!$N$4:$N$1510),NA()))</f>
        <v>1023.2192605207141</v>
      </c>
      <c r="X321" t="e">
        <f>IF($J321&gt;MAX('Match Log'!$A$4:$A$1510),NA(),IFERROR(LOOKUP(2,1/(('Match Log'!$D$4:$D$1510=$X$24)*('Match Log'!$A$4:$A$1510&lt;=$J321)),'Match Log'!$N$4:$N$1510),NA()))</f>
        <v>#N/A</v>
      </c>
      <c r="Y321">
        <f t="shared" ca="1" si="31"/>
        <v>-3.6167516185476874E-2</v>
      </c>
    </row>
    <row r="322" spans="1:25" x14ac:dyDescent="0.2">
      <c r="A322">
        <v>298</v>
      </c>
      <c r="B322">
        <f>IFERROR(INDEX('Match Log'!$B$4:$B$1510,MATCH($A322,'Match Log'!$A$4:$A$1510,0)),"")</f>
        <v>46289</v>
      </c>
      <c r="C322" t="str">
        <f>IFERROR(INDEX('Match Log'!$C$4:$C$1510,MATCH($A322,'Match Log'!$A$4:$A$1510,0)),"")</f>
        <v>Mario Golf</v>
      </c>
      <c r="D322" t="str">
        <f t="array" ref="D322">IFERROR(_xlfn.TEXTJOIN(" + ",TRUE(),IF(('Match Log'!$A$4:$A$1510=$A322)*('Match Log'!$E$4:$E$1510="Win"),'Match Log'!$D$4:$D$1510,"")),IFERROR(LOOKUP(2,1/(('Match Log'!$A$4:$A$1510=$A322)*('Match Log'!$E$4:$E$1510="Win")),'Match Log'!$D$4:$D$1510),""))</f>
        <v>Daniel (Ferret)</v>
      </c>
      <c r="E322">
        <f>IFERROR(INDEX('Match Log'!$F$4:$F$1510,MATCH($A322,'Match Log'!$A$4:$A$1510,0)),"")</f>
        <v>2</v>
      </c>
      <c r="F322">
        <f>IFERROR(SUMIFS('Match Log'!$I$4:$I$1510,'Match Log'!$A$4:$A$1510,$A322,'Match Log'!$E$4:$E$1510,"Win"),"")</f>
        <v>0.53125</v>
      </c>
      <c r="G322">
        <f t="shared" si="29"/>
        <v>-6.25E-2</v>
      </c>
      <c r="H322" t="str">
        <f t="array" ref="H322">IFERROR(IF(COUNTIFS('Match Log'!$A$4:$A$1510,$A322,'Match Log'!$E$4:$E$1510,"Win")&gt;1,_xlfn.TEXTJOIN(" + ",TRUE(),IF(('Match Log'!$A$4:$A$1510=$A322)*('Match Log'!$E$4:$E$1510="Loss"),'Match Log'!$D$4:$D$1510,"")),IF($E322=2,LOOKUP(2,1/(('Match Log'!$A$4:$A$1510=$A322)*('Match Log'!$E$4:$E$1510="Loss")),'Match Log'!$D$4:$D$1510),"the field")),"")</f>
        <v>Shawn</v>
      </c>
      <c r="I322">
        <f t="shared" si="30"/>
        <v>-6.2798000000000007E-2</v>
      </c>
      <c r="J322">
        <v>298</v>
      </c>
      <c r="K322">
        <f>IF($J322&gt;MAX('Match Log'!$A$4:$A$1510),NA(),IFERROR(LOOKUP(2,1/(('Match Log'!$D$4:$D$1510=$K$24)*('Match Log'!$A$4:$A$1510&lt;=$J322)),'Match Log'!$N$4:$N$1510),NA()))</f>
        <v>1232.8695151191851</v>
      </c>
      <c r="L322">
        <f>IF($J322&gt;MAX('Match Log'!$A$4:$A$1510),NA(),IFERROR(LOOKUP(2,1/(('Match Log'!$D$4:$D$1510=$L$24)*('Match Log'!$A$4:$A$1510&lt;=$J322)),'Match Log'!$N$4:$N$1510),NA()))</f>
        <v>1029.5175965335138</v>
      </c>
      <c r="M322">
        <f>IF($J322&gt;MAX('Match Log'!$A$4:$A$1510),NA(),IFERROR(LOOKUP(2,1/(('Match Log'!$D$4:$D$1510=$M$24)*('Match Log'!$A$4:$A$1510&lt;=$J322)),'Match Log'!$N$4:$N$1510),NA()))</f>
        <v>1081.2287215286424</v>
      </c>
      <c r="N322">
        <f>IF($J322&gt;MAX('Match Log'!$A$4:$A$1510),NA(),IFERROR(LOOKUP(2,1/(('Match Log'!$D$4:$D$1510=$N$24)*('Match Log'!$A$4:$A$1510&lt;=$J322)),'Match Log'!$N$4:$N$1510),NA()))</f>
        <v>907.03133644117429</v>
      </c>
      <c r="O322">
        <f>IF($J322&gt;MAX('Match Log'!$A$4:$A$1510),NA(),IFERROR(LOOKUP(2,1/(('Match Log'!$D$4:$D$1510=$O$24)*('Match Log'!$A$4:$A$1510&lt;=$J322)),'Match Log'!$N$4:$N$1510),NA()))</f>
        <v>1192.3121492095624</v>
      </c>
      <c r="P322">
        <f>IF($J322&gt;MAX('Match Log'!$A$4:$A$1510),NA(),IFERROR(LOOKUP(2,1/(('Match Log'!$D$4:$D$1510=$P$24)*('Match Log'!$A$4:$A$1510&lt;=$J322)),'Match Log'!$N$4:$N$1510),NA()))</f>
        <v>1172.8733229555867</v>
      </c>
      <c r="Q322">
        <f>IF($J322&gt;MAX('Match Log'!$A$4:$A$1510),NA(),IFERROR(LOOKUP(2,1/(('Match Log'!$D$4:$D$1510=$Q$24)*('Match Log'!$A$4:$A$1510&lt;=$J322)),'Match Log'!$N$4:$N$1510),NA()))</f>
        <v>1215.996181687143</v>
      </c>
      <c r="R322">
        <f>IF($J322&gt;MAX('Match Log'!$A$4:$A$1510),NA(),IFERROR(LOOKUP(2,1/(('Match Log'!$D$4:$D$1510=$R$24)*('Match Log'!$A$4:$A$1510&lt;=$J322)),'Match Log'!$N$4:$N$1510),NA()))</f>
        <v>1158.8567196303934</v>
      </c>
      <c r="S322">
        <f>IF($J322&gt;MAX('Match Log'!$A$4:$A$1510),NA(),IFERROR(LOOKUP(2,1/(('Match Log'!$D$4:$D$1510=$S$24)*('Match Log'!$A$4:$A$1510&lt;=$J322)),'Match Log'!$N$4:$N$1510),NA()))</f>
        <v>1248.9288111472574</v>
      </c>
      <c r="T322">
        <f>IF($J322&gt;MAX('Match Log'!$A$4:$A$1510),NA(),IFERROR(LOOKUP(2,1/(('Match Log'!$D$4:$D$1510=$T$24)*('Match Log'!$A$4:$A$1510&lt;=$J322)),'Match Log'!$N$4:$N$1510),NA()))</f>
        <v>862.22294373677494</v>
      </c>
      <c r="U322">
        <f>IF($J322&gt;MAX('Match Log'!$A$4:$A$1510),NA(),IFERROR(LOOKUP(2,1/(('Match Log'!$D$4:$D$1510=$U$24)*('Match Log'!$A$4:$A$1510&lt;=$J322)),'Match Log'!$N$4:$N$1510),NA()))</f>
        <v>944.39454678356583</v>
      </c>
      <c r="V322">
        <f>IF($J322&gt;MAX('Match Log'!$A$4:$A$1510),NA(),IFERROR(LOOKUP(2,1/(('Match Log'!$D$4:$D$1510=$V$24)*('Match Log'!$A$4:$A$1510&lt;=$J322)),'Match Log'!$N$4:$N$1510),NA()))</f>
        <v>1087.5488947064855</v>
      </c>
      <c r="W322">
        <f>IF($J322&gt;MAX('Match Log'!$A$4:$A$1510),NA(),IFERROR(LOOKUP(2,1/(('Match Log'!$D$4:$D$1510=$W$24)*('Match Log'!$A$4:$A$1510&lt;=$J322)),'Match Log'!$N$4:$N$1510),NA()))</f>
        <v>1023.2192605207141</v>
      </c>
      <c r="X322" t="e">
        <f>IF($J322&gt;MAX('Match Log'!$A$4:$A$1510),NA(),IFERROR(LOOKUP(2,1/(('Match Log'!$D$4:$D$1510=$X$24)*('Match Log'!$A$4:$A$1510&lt;=$J322)),'Match Log'!$N$4:$N$1510),NA()))</f>
        <v>#N/A</v>
      </c>
      <c r="Y322">
        <f t="shared" ca="1" si="31"/>
        <v>-6.2798000000000007E-2</v>
      </c>
    </row>
    <row r="323" spans="1:25" x14ac:dyDescent="0.2">
      <c r="A323">
        <v>299</v>
      </c>
      <c r="B323">
        <f>IFERROR(INDEX('Match Log'!$B$4:$B$1510,MATCH($A323,'Match Log'!$A$4:$A$1510,0)),"")</f>
        <v>46289</v>
      </c>
      <c r="C323" t="str">
        <f>IFERROR(INDEX('Match Log'!$C$4:$C$1510,MATCH($A323,'Match Log'!$A$4:$A$1510,0)),"")</f>
        <v>Mario Golf</v>
      </c>
      <c r="D323" t="str">
        <f t="array" ref="D323">IFERROR(_xlfn.TEXTJOIN(" + ",TRUE(),IF(('Match Log'!$A$4:$A$1510=$A323)*('Match Log'!$E$4:$E$1510="Win"),'Match Log'!$D$4:$D$1510,"")),IFERROR(LOOKUP(2,1/(('Match Log'!$A$4:$A$1510=$A323)*('Match Log'!$E$4:$E$1510="Win")),'Match Log'!$D$4:$D$1510),""))</f>
        <v>Daniel (Ferret)</v>
      </c>
      <c r="E323">
        <f>IFERROR(INDEX('Match Log'!$F$4:$F$1510,MATCH($A323,'Match Log'!$A$4:$A$1510,0)),"")</f>
        <v>2</v>
      </c>
      <c r="F323">
        <f>IFERROR(SUMIFS('Match Log'!$I$4:$I$1510,'Match Log'!$A$4:$A$1510,$A323,'Match Log'!$E$4:$E$1510,"Win"),"")</f>
        <v>0.54376452362509686</v>
      </c>
      <c r="G323">
        <f t="shared" si="29"/>
        <v>-8.7529047250193726E-2</v>
      </c>
      <c r="H323" t="str">
        <f t="array" ref="H323">IFERROR(IF(COUNTIFS('Match Log'!$A$4:$A$1510,$A323,'Match Log'!$E$4:$E$1510,"Win")&gt;1,_xlfn.TEXTJOIN(" + ",TRUE(),IF(('Match Log'!$A$4:$A$1510=$A323)*('Match Log'!$E$4:$E$1510="Loss"),'Match Log'!$D$4:$D$1510,"")),IF($E323=2,LOOKUP(2,1/(('Match Log'!$A$4:$A$1510=$A323)*('Match Log'!$E$4:$E$1510="Loss")),'Match Log'!$D$4:$D$1510),"the field")),"")</f>
        <v>Shawn</v>
      </c>
      <c r="I323">
        <f t="shared" si="30"/>
        <v>-8.7828047250193719E-2</v>
      </c>
      <c r="J323">
        <v>299</v>
      </c>
      <c r="K323">
        <f>IF($J323&gt;MAX('Match Log'!$A$4:$A$1510),NA(),IFERROR(LOOKUP(2,1/(('Match Log'!$D$4:$D$1510=$K$24)*('Match Log'!$A$4:$A$1510&lt;=$J323)),'Match Log'!$N$4:$N$1510),NA()))</f>
        <v>1232.8695151191851</v>
      </c>
      <c r="L323">
        <f>IF($J323&gt;MAX('Match Log'!$A$4:$A$1510),NA(),IFERROR(LOOKUP(2,1/(('Match Log'!$D$4:$D$1510=$L$24)*('Match Log'!$A$4:$A$1510&lt;=$J323)),'Match Log'!$N$4:$N$1510),NA()))</f>
        <v>1029.5175965335138</v>
      </c>
      <c r="M323">
        <f>IF($J323&gt;MAX('Match Log'!$A$4:$A$1510),NA(),IFERROR(LOOKUP(2,1/(('Match Log'!$D$4:$D$1510=$M$24)*('Match Log'!$A$4:$A$1510&lt;=$J323)),'Match Log'!$N$4:$N$1510),NA()))</f>
        <v>1081.2287215286424</v>
      </c>
      <c r="N323">
        <f>IF($J323&gt;MAX('Match Log'!$A$4:$A$1510),NA(),IFERROR(LOOKUP(2,1/(('Match Log'!$D$4:$D$1510=$N$24)*('Match Log'!$A$4:$A$1510&lt;=$J323)),'Match Log'!$N$4:$N$1510),NA()))</f>
        <v>907.03133644117429</v>
      </c>
      <c r="O323">
        <f>IF($J323&gt;MAX('Match Log'!$A$4:$A$1510),NA(),IFERROR(LOOKUP(2,1/(('Match Log'!$D$4:$D$1510=$O$24)*('Match Log'!$A$4:$A$1510&lt;=$J323)),'Match Log'!$N$4:$N$1510),NA()))</f>
        <v>1192.3121492095624</v>
      </c>
      <c r="P323">
        <f>IF($J323&gt;MAX('Match Log'!$A$4:$A$1510),NA(),IFERROR(LOOKUP(2,1/(('Match Log'!$D$4:$D$1510=$P$24)*('Match Log'!$A$4:$A$1510&lt;=$J323)),'Match Log'!$N$4:$N$1510),NA()))</f>
        <v>1156.7205039890414</v>
      </c>
      <c r="Q323">
        <f>IF($J323&gt;MAX('Match Log'!$A$4:$A$1510),NA(),IFERROR(LOOKUP(2,1/(('Match Log'!$D$4:$D$1510=$Q$24)*('Match Log'!$A$4:$A$1510&lt;=$J323)),'Match Log'!$N$4:$N$1510),NA()))</f>
        <v>1215.996181687143</v>
      </c>
      <c r="R323">
        <f>IF($J323&gt;MAX('Match Log'!$A$4:$A$1510),NA(),IFERROR(LOOKUP(2,1/(('Match Log'!$D$4:$D$1510=$R$24)*('Match Log'!$A$4:$A$1510&lt;=$J323)),'Match Log'!$N$4:$N$1510),NA()))</f>
        <v>1175.0095385969387</v>
      </c>
      <c r="S323">
        <f>IF($J323&gt;MAX('Match Log'!$A$4:$A$1510),NA(),IFERROR(LOOKUP(2,1/(('Match Log'!$D$4:$D$1510=$S$24)*('Match Log'!$A$4:$A$1510&lt;=$J323)),'Match Log'!$N$4:$N$1510),NA()))</f>
        <v>1248.9288111472574</v>
      </c>
      <c r="T323">
        <f>IF($J323&gt;MAX('Match Log'!$A$4:$A$1510),NA(),IFERROR(LOOKUP(2,1/(('Match Log'!$D$4:$D$1510=$T$24)*('Match Log'!$A$4:$A$1510&lt;=$J323)),'Match Log'!$N$4:$N$1510),NA()))</f>
        <v>862.22294373677494</v>
      </c>
      <c r="U323">
        <f>IF($J323&gt;MAX('Match Log'!$A$4:$A$1510),NA(),IFERROR(LOOKUP(2,1/(('Match Log'!$D$4:$D$1510=$U$24)*('Match Log'!$A$4:$A$1510&lt;=$J323)),'Match Log'!$N$4:$N$1510),NA()))</f>
        <v>944.39454678356583</v>
      </c>
      <c r="V323">
        <f>IF($J323&gt;MAX('Match Log'!$A$4:$A$1510),NA(),IFERROR(LOOKUP(2,1/(('Match Log'!$D$4:$D$1510=$V$24)*('Match Log'!$A$4:$A$1510&lt;=$J323)),'Match Log'!$N$4:$N$1510),NA()))</f>
        <v>1087.5488947064855</v>
      </c>
      <c r="W323">
        <f>IF($J323&gt;MAX('Match Log'!$A$4:$A$1510),NA(),IFERROR(LOOKUP(2,1/(('Match Log'!$D$4:$D$1510=$W$24)*('Match Log'!$A$4:$A$1510&lt;=$J323)),'Match Log'!$N$4:$N$1510),NA()))</f>
        <v>1023.2192605207141</v>
      </c>
      <c r="X323" t="e">
        <f>IF($J323&gt;MAX('Match Log'!$A$4:$A$1510),NA(),IFERROR(LOOKUP(2,1/(('Match Log'!$D$4:$D$1510=$X$24)*('Match Log'!$A$4:$A$1510&lt;=$J323)),'Match Log'!$N$4:$N$1510),NA()))</f>
        <v>#N/A</v>
      </c>
      <c r="Y323">
        <f t="shared" ca="1" si="31"/>
        <v>-8.7828047250193719E-2</v>
      </c>
    </row>
    <row r="324" spans="1:25" x14ac:dyDescent="0.2">
      <c r="A324">
        <v>300</v>
      </c>
      <c r="B324">
        <f>IFERROR(INDEX('Match Log'!$B$4:$B$1510,MATCH($A324,'Match Log'!$A$4:$A$1510,0)),"")</f>
        <v>46290</v>
      </c>
      <c r="C324" t="str">
        <f>IFERROR(INDEX('Match Log'!$C$4:$C$1510,MATCH($A324,'Match Log'!$A$4:$A$1510,0)),"")</f>
        <v>Mario Golf</v>
      </c>
      <c r="D324" t="str">
        <f t="array" ref="D324">IFERROR(_xlfn.TEXTJOIN(" + ",TRUE(),IF(('Match Log'!$A$4:$A$1510=$A324)*('Match Log'!$E$4:$E$1510="Win"),'Match Log'!$D$4:$D$1510,"")),IFERROR(LOOKUP(2,1/(('Match Log'!$A$4:$A$1510=$A324)*('Match Log'!$E$4:$E$1510="Win")),'Match Log'!$D$4:$D$1510),""))</f>
        <v>Daniel (Ferret)</v>
      </c>
      <c r="E324">
        <f>IFERROR(INDEX('Match Log'!$F$4:$F$1510,MATCH($A324,'Match Log'!$A$4:$A$1510,0)),"")</f>
        <v>2</v>
      </c>
      <c r="F324">
        <f>IFERROR(SUMIFS('Match Log'!$I$4:$I$1510,'Match Log'!$A$4:$A$1510,$A324,'Match Log'!$E$4:$E$1510,"Win"),"")</f>
        <v>0.69007263922518169</v>
      </c>
      <c r="G324">
        <f t="shared" si="29"/>
        <v>-0.38014527845036339</v>
      </c>
      <c r="H324" t="str">
        <f t="array" ref="H324">IFERROR(IF(COUNTIFS('Match Log'!$A$4:$A$1510,$A324,'Match Log'!$E$4:$E$1510,"Win")&gt;1,_xlfn.TEXTJOIN(" + ",TRUE(),IF(('Match Log'!$A$4:$A$1510=$A324)*('Match Log'!$E$4:$E$1510="Loss"),'Match Log'!$D$4:$D$1510,"")),IF($E324=2,LOOKUP(2,1/(('Match Log'!$A$4:$A$1510=$A324)*('Match Log'!$E$4:$E$1510="Loss")),'Match Log'!$D$4:$D$1510),"the field")),"")</f>
        <v>Aaron</v>
      </c>
      <c r="I324">
        <f t="shared" si="30"/>
        <v>-0.38044527845036341</v>
      </c>
      <c r="J324">
        <v>300</v>
      </c>
      <c r="K324">
        <f>IF($J324&gt;MAX('Match Log'!$A$4:$A$1510),NA(),IFERROR(LOOKUP(2,1/(('Match Log'!$D$4:$D$1510=$K$24)*('Match Log'!$A$4:$A$1510&lt;=$J324)),'Match Log'!$N$4:$N$1510),NA()))</f>
        <v>1217.5573388632245</v>
      </c>
      <c r="L324">
        <f>IF($J324&gt;MAX('Match Log'!$A$4:$A$1510),NA(),IFERROR(LOOKUP(2,1/(('Match Log'!$D$4:$D$1510=$L$24)*('Match Log'!$A$4:$A$1510&lt;=$J324)),'Match Log'!$N$4:$N$1510),NA()))</f>
        <v>1029.5175965335138</v>
      </c>
      <c r="M324">
        <f>IF($J324&gt;MAX('Match Log'!$A$4:$A$1510),NA(),IFERROR(LOOKUP(2,1/(('Match Log'!$D$4:$D$1510=$M$24)*('Match Log'!$A$4:$A$1510&lt;=$J324)),'Match Log'!$N$4:$N$1510),NA()))</f>
        <v>1081.2287215286424</v>
      </c>
      <c r="N324">
        <f>IF($J324&gt;MAX('Match Log'!$A$4:$A$1510),NA(),IFERROR(LOOKUP(2,1/(('Match Log'!$D$4:$D$1510=$N$24)*('Match Log'!$A$4:$A$1510&lt;=$J324)),'Match Log'!$N$4:$N$1510),NA()))</f>
        <v>907.03133644117429</v>
      </c>
      <c r="O324">
        <f>IF($J324&gt;MAX('Match Log'!$A$4:$A$1510),NA(),IFERROR(LOOKUP(2,1/(('Match Log'!$D$4:$D$1510=$O$24)*('Match Log'!$A$4:$A$1510&lt;=$J324)),'Match Log'!$N$4:$N$1510),NA()))</f>
        <v>1192.3121492095624</v>
      </c>
      <c r="P324">
        <f>IF($J324&gt;MAX('Match Log'!$A$4:$A$1510),NA(),IFERROR(LOOKUP(2,1/(('Match Log'!$D$4:$D$1510=$P$24)*('Match Log'!$A$4:$A$1510&lt;=$J324)),'Match Log'!$N$4:$N$1510),NA()))</f>
        <v>1156.7205039890414</v>
      </c>
      <c r="Q324">
        <f>IF($J324&gt;MAX('Match Log'!$A$4:$A$1510),NA(),IFERROR(LOOKUP(2,1/(('Match Log'!$D$4:$D$1510=$Q$24)*('Match Log'!$A$4:$A$1510&lt;=$J324)),'Match Log'!$N$4:$N$1510),NA()))</f>
        <v>1215.996181687143</v>
      </c>
      <c r="R324">
        <f>IF($J324&gt;MAX('Match Log'!$A$4:$A$1510),NA(),IFERROR(LOOKUP(2,1/(('Match Log'!$D$4:$D$1510=$R$24)*('Match Log'!$A$4:$A$1510&lt;=$J324)),'Match Log'!$N$4:$N$1510),NA()))</f>
        <v>1190.3217148528993</v>
      </c>
      <c r="S324">
        <f>IF($J324&gt;MAX('Match Log'!$A$4:$A$1510),NA(),IFERROR(LOOKUP(2,1/(('Match Log'!$D$4:$D$1510=$S$24)*('Match Log'!$A$4:$A$1510&lt;=$J324)),'Match Log'!$N$4:$N$1510),NA()))</f>
        <v>1248.9288111472574</v>
      </c>
      <c r="T324">
        <f>IF($J324&gt;MAX('Match Log'!$A$4:$A$1510),NA(),IFERROR(LOOKUP(2,1/(('Match Log'!$D$4:$D$1510=$T$24)*('Match Log'!$A$4:$A$1510&lt;=$J324)),'Match Log'!$N$4:$N$1510),NA()))</f>
        <v>862.22294373677494</v>
      </c>
      <c r="U324">
        <f>IF($J324&gt;MAX('Match Log'!$A$4:$A$1510),NA(),IFERROR(LOOKUP(2,1/(('Match Log'!$D$4:$D$1510=$U$24)*('Match Log'!$A$4:$A$1510&lt;=$J324)),'Match Log'!$N$4:$N$1510),NA()))</f>
        <v>944.39454678356583</v>
      </c>
      <c r="V324">
        <f>IF($J324&gt;MAX('Match Log'!$A$4:$A$1510),NA(),IFERROR(LOOKUP(2,1/(('Match Log'!$D$4:$D$1510=$V$24)*('Match Log'!$A$4:$A$1510&lt;=$J324)),'Match Log'!$N$4:$N$1510),NA()))</f>
        <v>1087.5488947064855</v>
      </c>
      <c r="W324">
        <f>IF($J324&gt;MAX('Match Log'!$A$4:$A$1510),NA(),IFERROR(LOOKUP(2,1/(('Match Log'!$D$4:$D$1510=$W$24)*('Match Log'!$A$4:$A$1510&lt;=$J324)),'Match Log'!$N$4:$N$1510),NA()))</f>
        <v>1023.2192605207141</v>
      </c>
      <c r="X324" t="e">
        <f>IF($J324&gt;MAX('Match Log'!$A$4:$A$1510),NA(),IFERROR(LOOKUP(2,1/(('Match Log'!$D$4:$D$1510=$X$24)*('Match Log'!$A$4:$A$1510&lt;=$J324)),'Match Log'!$N$4:$N$1510),NA()))</f>
        <v>#N/A</v>
      </c>
      <c r="Y324">
        <f t="shared" ca="1" si="31"/>
        <v>-0.38044527845036341</v>
      </c>
    </row>
    <row r="325" spans="1:25" x14ac:dyDescent="0.2">
      <c r="A325">
        <v>301</v>
      </c>
      <c r="B325">
        <f>IFERROR(INDEX('Match Log'!$B$4:$B$1510,MATCH($A325,'Match Log'!$A$4:$A$1510,0)),"")</f>
        <v>46290</v>
      </c>
      <c r="C325" t="str">
        <f>IFERROR(INDEX('Match Log'!$C$4:$C$1510,MATCH($A325,'Match Log'!$A$4:$A$1510,0)),"")</f>
        <v>Pool</v>
      </c>
      <c r="D325" t="str">
        <f t="array" ref="D325">IFERROR(_xlfn.TEXTJOIN(" + ",TRUE(),IF(('Match Log'!$A$4:$A$1510=$A325)*('Match Log'!$E$4:$E$1510="Win"),'Match Log'!$D$4:$D$1510,"")),IFERROR(LOOKUP(2,1/(('Match Log'!$A$4:$A$1510=$A325)*('Match Log'!$E$4:$E$1510="Win")),'Match Log'!$D$4:$D$1510),""))</f>
        <v>Daniel (Ferret)</v>
      </c>
      <c r="E325">
        <f>IFERROR(INDEX('Match Log'!$F$4:$F$1510,MATCH($A325,'Match Log'!$A$4:$A$1510,0)),"")</f>
        <v>2</v>
      </c>
      <c r="F325">
        <f>IFERROR(SUMIFS('Match Log'!$I$4:$I$1510,'Match Log'!$A$4:$A$1510,$A325,'Match Log'!$E$4:$E$1510,"Win"),"")</f>
        <v>0.39393939393939398</v>
      </c>
      <c r="G325">
        <f t="shared" si="29"/>
        <v>0.21212121212121204</v>
      </c>
      <c r="H325" t="str">
        <f t="array" ref="H325">IFERROR(IF(COUNTIFS('Match Log'!$A$4:$A$1510,$A325,'Match Log'!$E$4:$E$1510,"Win")&gt;1,_xlfn.TEXTJOIN(" + ",TRUE(),IF(('Match Log'!$A$4:$A$1510=$A325)*('Match Log'!$E$4:$E$1510="Loss"),'Match Log'!$D$4:$D$1510,"")),IF($E325=2,LOOKUP(2,1/(('Match Log'!$A$4:$A$1510=$A325)*('Match Log'!$E$4:$E$1510="Loss")),'Match Log'!$D$4:$D$1510),"the field")),"")</f>
        <v>Dean B</v>
      </c>
      <c r="I325">
        <f t="shared" si="30"/>
        <v>0.21182021212121205</v>
      </c>
      <c r="J325">
        <v>301</v>
      </c>
      <c r="K325">
        <f>IF($J325&gt;MAX('Match Log'!$A$4:$A$1510),NA(),IFERROR(LOOKUP(2,1/(('Match Log'!$D$4:$D$1510=$K$24)*('Match Log'!$A$4:$A$1510&lt;=$J325)),'Match Log'!$N$4:$N$1510),NA()))</f>
        <v>1217.5573388632245</v>
      </c>
      <c r="L325">
        <f>IF($J325&gt;MAX('Match Log'!$A$4:$A$1510),NA(),IFERROR(LOOKUP(2,1/(('Match Log'!$D$4:$D$1510=$L$24)*('Match Log'!$A$4:$A$1510&lt;=$J325)),'Match Log'!$N$4:$N$1510),NA()))</f>
        <v>1029.5175965335138</v>
      </c>
      <c r="M325">
        <f>IF($J325&gt;MAX('Match Log'!$A$4:$A$1510),NA(),IFERROR(LOOKUP(2,1/(('Match Log'!$D$4:$D$1510=$M$24)*('Match Log'!$A$4:$A$1510&lt;=$J325)),'Match Log'!$N$4:$N$1510),NA()))</f>
        <v>1081.2287215286424</v>
      </c>
      <c r="N325">
        <f>IF($J325&gt;MAX('Match Log'!$A$4:$A$1510),NA(),IFERROR(LOOKUP(2,1/(('Match Log'!$D$4:$D$1510=$N$24)*('Match Log'!$A$4:$A$1510&lt;=$J325)),'Match Log'!$N$4:$N$1510),NA()))</f>
        <v>907.03133644117429</v>
      </c>
      <c r="O325">
        <f>IF($J325&gt;MAX('Match Log'!$A$4:$A$1510),NA(),IFERROR(LOOKUP(2,1/(('Match Log'!$D$4:$D$1510=$O$24)*('Match Log'!$A$4:$A$1510&lt;=$J325)),'Match Log'!$N$4:$N$1510),NA()))</f>
        <v>1192.3121492095624</v>
      </c>
      <c r="P325">
        <f>IF($J325&gt;MAX('Match Log'!$A$4:$A$1510),NA(),IFERROR(LOOKUP(2,1/(('Match Log'!$D$4:$D$1510=$P$24)*('Match Log'!$A$4:$A$1510&lt;=$J325)),'Match Log'!$N$4:$N$1510),NA()))</f>
        <v>1156.7205039890414</v>
      </c>
      <c r="Q325">
        <f>IF($J325&gt;MAX('Match Log'!$A$4:$A$1510),NA(),IFERROR(LOOKUP(2,1/(('Match Log'!$D$4:$D$1510=$Q$24)*('Match Log'!$A$4:$A$1510&lt;=$J325)),'Match Log'!$N$4:$N$1510),NA()))</f>
        <v>1215.996181687143</v>
      </c>
      <c r="R325">
        <f>IF($J325&gt;MAX('Match Log'!$A$4:$A$1510),NA(),IFERROR(LOOKUP(2,1/(('Match Log'!$D$4:$D$1510=$R$24)*('Match Log'!$A$4:$A$1510&lt;=$J325)),'Match Log'!$N$4:$N$1510),NA()))</f>
        <v>1216.3150451306317</v>
      </c>
      <c r="S325">
        <f>IF($J325&gt;MAX('Match Log'!$A$4:$A$1510),NA(),IFERROR(LOOKUP(2,1/(('Match Log'!$D$4:$D$1510=$S$24)*('Match Log'!$A$4:$A$1510&lt;=$J325)),'Match Log'!$N$4:$N$1510),NA()))</f>
        <v>1222.935480869525</v>
      </c>
      <c r="T325">
        <f>IF($J325&gt;MAX('Match Log'!$A$4:$A$1510),NA(),IFERROR(LOOKUP(2,1/(('Match Log'!$D$4:$D$1510=$T$24)*('Match Log'!$A$4:$A$1510&lt;=$J325)),'Match Log'!$N$4:$N$1510),NA()))</f>
        <v>862.22294373677494</v>
      </c>
      <c r="U325">
        <f>IF($J325&gt;MAX('Match Log'!$A$4:$A$1510),NA(),IFERROR(LOOKUP(2,1/(('Match Log'!$D$4:$D$1510=$U$24)*('Match Log'!$A$4:$A$1510&lt;=$J325)),'Match Log'!$N$4:$N$1510),NA()))</f>
        <v>944.39454678356583</v>
      </c>
      <c r="V325">
        <f>IF($J325&gt;MAX('Match Log'!$A$4:$A$1510),NA(),IFERROR(LOOKUP(2,1/(('Match Log'!$D$4:$D$1510=$V$24)*('Match Log'!$A$4:$A$1510&lt;=$J325)),'Match Log'!$N$4:$N$1510),NA()))</f>
        <v>1087.5488947064855</v>
      </c>
      <c r="W325">
        <f>IF($J325&gt;MAX('Match Log'!$A$4:$A$1510),NA(),IFERROR(LOOKUP(2,1/(('Match Log'!$D$4:$D$1510=$W$24)*('Match Log'!$A$4:$A$1510&lt;=$J325)),'Match Log'!$N$4:$N$1510),NA()))</f>
        <v>1023.2192605207141</v>
      </c>
      <c r="X325" t="e">
        <f>IF($J325&gt;MAX('Match Log'!$A$4:$A$1510),NA(),IFERROR(LOOKUP(2,1/(('Match Log'!$D$4:$D$1510=$X$24)*('Match Log'!$A$4:$A$1510&lt;=$J325)),'Match Log'!$N$4:$N$1510),NA()))</f>
        <v>#N/A</v>
      </c>
      <c r="Y325">
        <f t="shared" ca="1" si="31"/>
        <v>0.21182021212121205</v>
      </c>
    </row>
    <row r="326" spans="1:25" x14ac:dyDescent="0.2">
      <c r="A326">
        <v>302</v>
      </c>
      <c r="B326">
        <f>IFERROR(INDEX('Match Log'!$B$4:$B$1510,MATCH($A326,'Match Log'!$A$4:$A$1510,0)),"")</f>
        <v>46290</v>
      </c>
      <c r="C326" t="str">
        <f>IFERROR(INDEX('Match Log'!$C$4:$C$1510,MATCH($A326,'Match Log'!$A$4:$A$1510,0)),"")</f>
        <v>Pool</v>
      </c>
      <c r="D326" t="str">
        <f t="array" ref="D326">IFERROR(_xlfn.TEXTJOIN(" + ",TRUE(),IF(('Match Log'!$A$4:$A$1510=$A326)*('Match Log'!$E$4:$E$1510="Win"),'Match Log'!$D$4:$D$1510,"")),IFERROR(LOOKUP(2,1/(('Match Log'!$A$4:$A$1510=$A326)*('Match Log'!$E$4:$E$1510="Win")),'Match Log'!$D$4:$D$1510),""))</f>
        <v>Dean B</v>
      </c>
      <c r="E326">
        <f>IFERROR(INDEX('Match Log'!$F$4:$F$1510,MATCH($A326,'Match Log'!$A$4:$A$1510,0)),"")</f>
        <v>2</v>
      </c>
      <c r="F326">
        <f>IFERROR(SUMIFS('Match Log'!$I$4:$I$1510,'Match Log'!$A$4:$A$1510,$A326,'Match Log'!$E$4:$E$1510,"Win"),"")</f>
        <v>0.55696202531645567</v>
      </c>
      <c r="G326">
        <f t="shared" si="29"/>
        <v>-0.11392405063291133</v>
      </c>
      <c r="H326" t="str">
        <f t="array" ref="H326">IFERROR(IF(COUNTIFS('Match Log'!$A$4:$A$1510,$A326,'Match Log'!$E$4:$E$1510,"Win")&gt;1,_xlfn.TEXTJOIN(" + ",TRUE(),IF(('Match Log'!$A$4:$A$1510=$A326)*('Match Log'!$E$4:$E$1510="Loss"),'Match Log'!$D$4:$D$1510,"")),IF($E326=2,LOOKUP(2,1/(('Match Log'!$A$4:$A$1510=$A326)*('Match Log'!$E$4:$E$1510="Loss")),'Match Log'!$D$4:$D$1510),"the field")),"")</f>
        <v>Daniel (Ferret)</v>
      </c>
      <c r="I326">
        <f t="shared" si="30"/>
        <v>-0.11422605063291133</v>
      </c>
      <c r="J326">
        <v>302</v>
      </c>
      <c r="K326">
        <f>IF($J326&gt;MAX('Match Log'!$A$4:$A$1510),NA(),IFERROR(LOOKUP(2,1/(('Match Log'!$D$4:$D$1510=$K$24)*('Match Log'!$A$4:$A$1510&lt;=$J326)),'Match Log'!$N$4:$N$1510),NA()))</f>
        <v>1217.5573388632245</v>
      </c>
      <c r="L326">
        <f>IF($J326&gt;MAX('Match Log'!$A$4:$A$1510),NA(),IFERROR(LOOKUP(2,1/(('Match Log'!$D$4:$D$1510=$L$24)*('Match Log'!$A$4:$A$1510&lt;=$J326)),'Match Log'!$N$4:$N$1510),NA()))</f>
        <v>1029.5175965335138</v>
      </c>
      <c r="M326">
        <f>IF($J326&gt;MAX('Match Log'!$A$4:$A$1510),NA(),IFERROR(LOOKUP(2,1/(('Match Log'!$D$4:$D$1510=$M$24)*('Match Log'!$A$4:$A$1510&lt;=$J326)),'Match Log'!$N$4:$N$1510),NA()))</f>
        <v>1081.2287215286424</v>
      </c>
      <c r="N326">
        <f>IF($J326&gt;MAX('Match Log'!$A$4:$A$1510),NA(),IFERROR(LOOKUP(2,1/(('Match Log'!$D$4:$D$1510=$N$24)*('Match Log'!$A$4:$A$1510&lt;=$J326)),'Match Log'!$N$4:$N$1510),NA()))</f>
        <v>907.03133644117429</v>
      </c>
      <c r="O326">
        <f>IF($J326&gt;MAX('Match Log'!$A$4:$A$1510),NA(),IFERROR(LOOKUP(2,1/(('Match Log'!$D$4:$D$1510=$O$24)*('Match Log'!$A$4:$A$1510&lt;=$J326)),'Match Log'!$N$4:$N$1510),NA()))</f>
        <v>1192.3121492095624</v>
      </c>
      <c r="P326">
        <f>IF($J326&gt;MAX('Match Log'!$A$4:$A$1510),NA(),IFERROR(LOOKUP(2,1/(('Match Log'!$D$4:$D$1510=$P$24)*('Match Log'!$A$4:$A$1510&lt;=$J326)),'Match Log'!$N$4:$N$1510),NA()))</f>
        <v>1156.7205039890414</v>
      </c>
      <c r="Q326">
        <f>IF($J326&gt;MAX('Match Log'!$A$4:$A$1510),NA(),IFERROR(LOOKUP(2,1/(('Match Log'!$D$4:$D$1510=$Q$24)*('Match Log'!$A$4:$A$1510&lt;=$J326)),'Match Log'!$N$4:$N$1510),NA()))</f>
        <v>1215.996181687143</v>
      </c>
      <c r="R326">
        <f>IF($J326&gt;MAX('Match Log'!$A$4:$A$1510),NA(),IFERROR(LOOKUP(2,1/(('Match Log'!$D$4:$D$1510=$R$24)*('Match Log'!$A$4:$A$1510&lt;=$J326)),'Match Log'!$N$4:$N$1510),NA()))</f>
        <v>1195.852710997536</v>
      </c>
      <c r="S326">
        <f>IF($J326&gt;MAX('Match Log'!$A$4:$A$1510),NA(),IFERROR(LOOKUP(2,1/(('Match Log'!$D$4:$D$1510=$S$24)*('Match Log'!$A$4:$A$1510&lt;=$J326)),'Match Log'!$N$4:$N$1510),NA()))</f>
        <v>1243.3978150026207</v>
      </c>
      <c r="T326">
        <f>IF($J326&gt;MAX('Match Log'!$A$4:$A$1510),NA(),IFERROR(LOOKUP(2,1/(('Match Log'!$D$4:$D$1510=$T$24)*('Match Log'!$A$4:$A$1510&lt;=$J326)),'Match Log'!$N$4:$N$1510),NA()))</f>
        <v>862.22294373677494</v>
      </c>
      <c r="U326">
        <f>IF($J326&gt;MAX('Match Log'!$A$4:$A$1510),NA(),IFERROR(LOOKUP(2,1/(('Match Log'!$D$4:$D$1510=$U$24)*('Match Log'!$A$4:$A$1510&lt;=$J326)),'Match Log'!$N$4:$N$1510),NA()))</f>
        <v>944.39454678356583</v>
      </c>
      <c r="V326">
        <f>IF($J326&gt;MAX('Match Log'!$A$4:$A$1510),NA(),IFERROR(LOOKUP(2,1/(('Match Log'!$D$4:$D$1510=$V$24)*('Match Log'!$A$4:$A$1510&lt;=$J326)),'Match Log'!$N$4:$N$1510),NA()))</f>
        <v>1087.5488947064855</v>
      </c>
      <c r="W326">
        <f>IF($J326&gt;MAX('Match Log'!$A$4:$A$1510),NA(),IFERROR(LOOKUP(2,1/(('Match Log'!$D$4:$D$1510=$W$24)*('Match Log'!$A$4:$A$1510&lt;=$J326)),'Match Log'!$N$4:$N$1510),NA()))</f>
        <v>1023.2192605207141</v>
      </c>
      <c r="X326" t="e">
        <f>IF($J326&gt;MAX('Match Log'!$A$4:$A$1510),NA(),IFERROR(LOOKUP(2,1/(('Match Log'!$D$4:$D$1510=$X$24)*('Match Log'!$A$4:$A$1510&lt;=$J326)),'Match Log'!$N$4:$N$1510),NA()))</f>
        <v>#N/A</v>
      </c>
      <c r="Y326">
        <f t="shared" ca="1" si="31"/>
        <v>-0.11422605063291133</v>
      </c>
    </row>
    <row r="327" spans="1:25" x14ac:dyDescent="0.2">
      <c r="A327">
        <v>303</v>
      </c>
      <c r="B327">
        <f>IFERROR(INDEX('Match Log'!$B$4:$B$1510,MATCH($A327,'Match Log'!$A$4:$A$1510,0)),"")</f>
        <v>46290</v>
      </c>
      <c r="C327" t="str">
        <f>IFERROR(INDEX('Match Log'!$C$4:$C$1510,MATCH($A327,'Match Log'!$A$4:$A$1510,0)),"")</f>
        <v>Pool</v>
      </c>
      <c r="D327" t="str">
        <f t="array" ref="D327">IFERROR(_xlfn.TEXTJOIN(" + ",TRUE(),IF(('Match Log'!$A$4:$A$1510=$A327)*('Match Log'!$E$4:$E$1510="Win"),'Match Log'!$D$4:$D$1510,"")),IFERROR(LOOKUP(2,1/(('Match Log'!$A$4:$A$1510=$A327)*('Match Log'!$E$4:$E$1510="Win")),'Match Log'!$D$4:$D$1510),""))</f>
        <v>Daniel (Ferret)</v>
      </c>
      <c r="E327">
        <f>IFERROR(INDEX('Match Log'!$F$4:$F$1510,MATCH($A327,'Match Log'!$A$4:$A$1510,0)),"")</f>
        <v>2</v>
      </c>
      <c r="F327">
        <f>IFERROR(SUMIFS('Match Log'!$I$4:$I$1510,'Match Log'!$A$4:$A$1510,$A327,'Match Log'!$E$4:$E$1510,"Win"),"")</f>
        <v>0.40983606557377056</v>
      </c>
      <c r="G327">
        <f t="shared" si="29"/>
        <v>0.18032786885245888</v>
      </c>
      <c r="H327" t="str">
        <f t="array" ref="H327">IFERROR(IF(COUNTIFS('Match Log'!$A$4:$A$1510,$A327,'Match Log'!$E$4:$E$1510,"Win")&gt;1,_xlfn.TEXTJOIN(" + ",TRUE(),IF(('Match Log'!$A$4:$A$1510=$A327)*('Match Log'!$E$4:$E$1510="Loss"),'Match Log'!$D$4:$D$1510,"")),IF($E327=2,LOOKUP(2,1/(('Match Log'!$A$4:$A$1510=$A327)*('Match Log'!$E$4:$E$1510="Loss")),'Match Log'!$D$4:$D$1510),"the field")),"")</f>
        <v>Dean B</v>
      </c>
      <c r="I327">
        <f t="shared" si="30"/>
        <v>0.18002486885245889</v>
      </c>
      <c r="J327">
        <v>303</v>
      </c>
      <c r="K327">
        <f>IF($J327&gt;MAX('Match Log'!$A$4:$A$1510),NA(),IFERROR(LOOKUP(2,1/(('Match Log'!$D$4:$D$1510=$K$24)*('Match Log'!$A$4:$A$1510&lt;=$J327)),'Match Log'!$N$4:$N$1510),NA()))</f>
        <v>1217.5573388632245</v>
      </c>
      <c r="L327">
        <f>IF($J327&gt;MAX('Match Log'!$A$4:$A$1510),NA(),IFERROR(LOOKUP(2,1/(('Match Log'!$D$4:$D$1510=$L$24)*('Match Log'!$A$4:$A$1510&lt;=$J327)),'Match Log'!$N$4:$N$1510),NA()))</f>
        <v>1029.5175965335138</v>
      </c>
      <c r="M327">
        <f>IF($J327&gt;MAX('Match Log'!$A$4:$A$1510),NA(),IFERROR(LOOKUP(2,1/(('Match Log'!$D$4:$D$1510=$M$24)*('Match Log'!$A$4:$A$1510&lt;=$J327)),'Match Log'!$N$4:$N$1510),NA()))</f>
        <v>1081.2287215286424</v>
      </c>
      <c r="N327">
        <f>IF($J327&gt;MAX('Match Log'!$A$4:$A$1510),NA(),IFERROR(LOOKUP(2,1/(('Match Log'!$D$4:$D$1510=$N$24)*('Match Log'!$A$4:$A$1510&lt;=$J327)),'Match Log'!$N$4:$N$1510),NA()))</f>
        <v>907.03133644117429</v>
      </c>
      <c r="O327">
        <f>IF($J327&gt;MAX('Match Log'!$A$4:$A$1510),NA(),IFERROR(LOOKUP(2,1/(('Match Log'!$D$4:$D$1510=$O$24)*('Match Log'!$A$4:$A$1510&lt;=$J327)),'Match Log'!$N$4:$N$1510),NA()))</f>
        <v>1192.3121492095624</v>
      </c>
      <c r="P327">
        <f>IF($J327&gt;MAX('Match Log'!$A$4:$A$1510),NA(),IFERROR(LOOKUP(2,1/(('Match Log'!$D$4:$D$1510=$P$24)*('Match Log'!$A$4:$A$1510&lt;=$J327)),'Match Log'!$N$4:$N$1510),NA()))</f>
        <v>1156.7205039890414</v>
      </c>
      <c r="Q327">
        <f>IF($J327&gt;MAX('Match Log'!$A$4:$A$1510),NA(),IFERROR(LOOKUP(2,1/(('Match Log'!$D$4:$D$1510=$Q$24)*('Match Log'!$A$4:$A$1510&lt;=$J327)),'Match Log'!$N$4:$N$1510),NA()))</f>
        <v>1215.996181687143</v>
      </c>
      <c r="R327">
        <f>IF($J327&gt;MAX('Match Log'!$A$4:$A$1510),NA(),IFERROR(LOOKUP(2,1/(('Match Log'!$D$4:$D$1510=$R$24)*('Match Log'!$A$4:$A$1510&lt;=$J327)),'Match Log'!$N$4:$N$1510),NA()))</f>
        <v>1221.3489842732085</v>
      </c>
      <c r="S327">
        <f>IF($J327&gt;MAX('Match Log'!$A$4:$A$1510),NA(),IFERROR(LOOKUP(2,1/(('Match Log'!$D$4:$D$1510=$S$24)*('Match Log'!$A$4:$A$1510&lt;=$J327)),'Match Log'!$N$4:$N$1510),NA()))</f>
        <v>1217.9015417269482</v>
      </c>
      <c r="T327">
        <f>IF($J327&gt;MAX('Match Log'!$A$4:$A$1510),NA(),IFERROR(LOOKUP(2,1/(('Match Log'!$D$4:$D$1510=$T$24)*('Match Log'!$A$4:$A$1510&lt;=$J327)),'Match Log'!$N$4:$N$1510),NA()))</f>
        <v>862.22294373677494</v>
      </c>
      <c r="U327">
        <f>IF($J327&gt;MAX('Match Log'!$A$4:$A$1510),NA(),IFERROR(LOOKUP(2,1/(('Match Log'!$D$4:$D$1510=$U$24)*('Match Log'!$A$4:$A$1510&lt;=$J327)),'Match Log'!$N$4:$N$1510),NA()))</f>
        <v>944.39454678356583</v>
      </c>
      <c r="V327">
        <f>IF($J327&gt;MAX('Match Log'!$A$4:$A$1510),NA(),IFERROR(LOOKUP(2,1/(('Match Log'!$D$4:$D$1510=$V$24)*('Match Log'!$A$4:$A$1510&lt;=$J327)),'Match Log'!$N$4:$N$1510),NA()))</f>
        <v>1087.5488947064855</v>
      </c>
      <c r="W327">
        <f>IF($J327&gt;MAX('Match Log'!$A$4:$A$1510),NA(),IFERROR(LOOKUP(2,1/(('Match Log'!$D$4:$D$1510=$W$24)*('Match Log'!$A$4:$A$1510&lt;=$J327)),'Match Log'!$N$4:$N$1510),NA()))</f>
        <v>1023.2192605207141</v>
      </c>
      <c r="X327" t="e">
        <f>IF($J327&gt;MAX('Match Log'!$A$4:$A$1510),NA(),IFERROR(LOOKUP(2,1/(('Match Log'!$D$4:$D$1510=$X$24)*('Match Log'!$A$4:$A$1510&lt;=$J327)),'Match Log'!$N$4:$N$1510),NA()))</f>
        <v>#N/A</v>
      </c>
      <c r="Y327">
        <f t="shared" ca="1" si="31"/>
        <v>0.18002486885245889</v>
      </c>
    </row>
    <row r="328" spans="1:25" x14ac:dyDescent="0.2">
      <c r="A328">
        <v>304</v>
      </c>
      <c r="B328">
        <f>IFERROR(INDEX('Match Log'!$B$4:$B$1510,MATCH($A328,'Match Log'!$A$4:$A$1510,0)),"")</f>
        <v>46291</v>
      </c>
      <c r="C328" t="str">
        <f>IFERROR(INDEX('Match Log'!$C$4:$C$1510,MATCH($A328,'Match Log'!$A$4:$A$1510,0)),"")</f>
        <v>FIFA</v>
      </c>
      <c r="D328" t="str">
        <f t="array" ref="D328">IFERROR(_xlfn.TEXTJOIN(" + ",TRUE(),IF(('Match Log'!$A$4:$A$1510=$A328)*('Match Log'!$E$4:$E$1510="Win"),'Match Log'!$D$4:$D$1510,"")),IFERROR(LOOKUP(2,1/(('Match Log'!$A$4:$A$1510=$A328)*('Match Log'!$E$4:$E$1510="Win")),'Match Log'!$D$4:$D$1510),""))</f>
        <v>Oscar</v>
      </c>
      <c r="E328">
        <f>IFERROR(INDEX('Match Log'!$F$4:$F$1510,MATCH($A328,'Match Log'!$A$4:$A$1510,0)),"")</f>
        <v>2</v>
      </c>
      <c r="F328">
        <f>IFERROR(SUMIFS('Match Log'!$I$4:$I$1510,'Match Log'!$A$4:$A$1510,$A328,'Match Log'!$E$4:$E$1510,"Win"),"")</f>
        <v>0.49230769230769234</v>
      </c>
      <c r="G328">
        <f t="shared" si="29"/>
        <v>1.538461538461533E-2</v>
      </c>
      <c r="H328" t="str">
        <f t="array" ref="H328">IFERROR(IF(COUNTIFS('Match Log'!$A$4:$A$1510,$A328,'Match Log'!$E$4:$E$1510,"Win")&gt;1,_xlfn.TEXTJOIN(" + ",TRUE(),IF(('Match Log'!$A$4:$A$1510=$A328)*('Match Log'!$E$4:$E$1510="Loss"),'Match Log'!$D$4:$D$1510,"")),IF($E328=2,LOOKUP(2,1/(('Match Log'!$A$4:$A$1510=$A328)*('Match Log'!$E$4:$E$1510="Loss")),'Match Log'!$D$4:$D$1510),"the field")),"")</f>
        <v>Shawn</v>
      </c>
      <c r="I328">
        <f t="shared" si="30"/>
        <v>1.508061538461533E-2</v>
      </c>
      <c r="J328">
        <v>304</v>
      </c>
      <c r="K328">
        <f>IF($J328&gt;MAX('Match Log'!$A$4:$A$1510),NA(),IFERROR(LOOKUP(2,1/(('Match Log'!$D$4:$D$1510=$K$24)*('Match Log'!$A$4:$A$1510&lt;=$J328)),'Match Log'!$N$4:$N$1510),NA()))</f>
        <v>1217.5573388632245</v>
      </c>
      <c r="L328">
        <f>IF($J328&gt;MAX('Match Log'!$A$4:$A$1510),NA(),IFERROR(LOOKUP(2,1/(('Match Log'!$D$4:$D$1510=$L$24)*('Match Log'!$A$4:$A$1510&lt;=$J328)),'Match Log'!$N$4:$N$1510),NA()))</f>
        <v>1029.5175965335138</v>
      </c>
      <c r="M328">
        <f>IF($J328&gt;MAX('Match Log'!$A$4:$A$1510),NA(),IFERROR(LOOKUP(2,1/(('Match Log'!$D$4:$D$1510=$M$24)*('Match Log'!$A$4:$A$1510&lt;=$J328)),'Match Log'!$N$4:$N$1510),NA()))</f>
        <v>1081.2287215286424</v>
      </c>
      <c r="N328">
        <f>IF($J328&gt;MAX('Match Log'!$A$4:$A$1510),NA(),IFERROR(LOOKUP(2,1/(('Match Log'!$D$4:$D$1510=$N$24)*('Match Log'!$A$4:$A$1510&lt;=$J328)),'Match Log'!$N$4:$N$1510),NA()))</f>
        <v>907.03133644117429</v>
      </c>
      <c r="O328">
        <f>IF($J328&gt;MAX('Match Log'!$A$4:$A$1510),NA(),IFERROR(LOOKUP(2,1/(('Match Log'!$D$4:$D$1510=$O$24)*('Match Log'!$A$4:$A$1510&lt;=$J328)),'Match Log'!$N$4:$N$1510),NA()))</f>
        <v>1192.3121492095624</v>
      </c>
      <c r="P328">
        <f>IF($J328&gt;MAX('Match Log'!$A$4:$A$1510),NA(),IFERROR(LOOKUP(2,1/(('Match Log'!$D$4:$D$1510=$P$24)*('Match Log'!$A$4:$A$1510&lt;=$J328)),'Match Log'!$N$4:$N$1510),NA()))</f>
        <v>1132.8537274164212</v>
      </c>
      <c r="Q328">
        <f>IF($J328&gt;MAX('Match Log'!$A$4:$A$1510),NA(),IFERROR(LOOKUP(2,1/(('Match Log'!$D$4:$D$1510=$Q$24)*('Match Log'!$A$4:$A$1510&lt;=$J328)),'Match Log'!$N$4:$N$1510),NA()))</f>
        <v>1215.996181687143</v>
      </c>
      <c r="R328">
        <f>IF($J328&gt;MAX('Match Log'!$A$4:$A$1510),NA(),IFERROR(LOOKUP(2,1/(('Match Log'!$D$4:$D$1510=$R$24)*('Match Log'!$A$4:$A$1510&lt;=$J328)),'Match Log'!$N$4:$N$1510),NA()))</f>
        <v>1221.3489842732085</v>
      </c>
      <c r="S328">
        <f>IF($J328&gt;MAX('Match Log'!$A$4:$A$1510),NA(),IFERROR(LOOKUP(2,1/(('Match Log'!$D$4:$D$1510=$S$24)*('Match Log'!$A$4:$A$1510&lt;=$J328)),'Match Log'!$N$4:$N$1510),NA()))</f>
        <v>1217.9015417269482</v>
      </c>
      <c r="T328">
        <f>IF($J328&gt;MAX('Match Log'!$A$4:$A$1510),NA(),IFERROR(LOOKUP(2,1/(('Match Log'!$D$4:$D$1510=$T$24)*('Match Log'!$A$4:$A$1510&lt;=$J328)),'Match Log'!$N$4:$N$1510),NA()))</f>
        <v>862.22294373677494</v>
      </c>
      <c r="U328">
        <f>IF($J328&gt;MAX('Match Log'!$A$4:$A$1510),NA(),IFERROR(LOOKUP(2,1/(('Match Log'!$D$4:$D$1510=$U$24)*('Match Log'!$A$4:$A$1510&lt;=$J328)),'Match Log'!$N$4:$N$1510),NA()))</f>
        <v>968.26132335618615</v>
      </c>
      <c r="V328">
        <f>IF($J328&gt;MAX('Match Log'!$A$4:$A$1510),NA(),IFERROR(LOOKUP(2,1/(('Match Log'!$D$4:$D$1510=$V$24)*('Match Log'!$A$4:$A$1510&lt;=$J328)),'Match Log'!$N$4:$N$1510),NA()))</f>
        <v>1087.5488947064855</v>
      </c>
      <c r="W328">
        <f>IF($J328&gt;MAX('Match Log'!$A$4:$A$1510),NA(),IFERROR(LOOKUP(2,1/(('Match Log'!$D$4:$D$1510=$W$24)*('Match Log'!$A$4:$A$1510&lt;=$J328)),'Match Log'!$N$4:$N$1510),NA()))</f>
        <v>1023.2192605207141</v>
      </c>
      <c r="X328" t="e">
        <f>IF($J328&gt;MAX('Match Log'!$A$4:$A$1510),NA(),IFERROR(LOOKUP(2,1/(('Match Log'!$D$4:$D$1510=$X$24)*('Match Log'!$A$4:$A$1510&lt;=$J328)),'Match Log'!$N$4:$N$1510),NA()))</f>
        <v>#N/A</v>
      </c>
      <c r="Y328">
        <f t="shared" ca="1" si="31"/>
        <v>1.508061538461533E-2</v>
      </c>
    </row>
    <row r="329" spans="1:25" x14ac:dyDescent="0.2">
      <c r="A329">
        <v>305</v>
      </c>
      <c r="B329">
        <f>IFERROR(INDEX('Match Log'!$B$4:$B$1510,MATCH($A329,'Match Log'!$A$4:$A$1510,0)),"")</f>
        <v>46292</v>
      </c>
      <c r="C329" t="str">
        <f>IFERROR(INDEX('Match Log'!$C$4:$C$1510,MATCH($A329,'Match Log'!$A$4:$A$1510,0)),"")</f>
        <v>Mario Kart</v>
      </c>
      <c r="D329" t="str">
        <f t="array" ref="D329">IFERROR(_xlfn.TEXTJOIN(" + ",TRUE(),IF(('Match Log'!$A$4:$A$1510=$A329)*('Match Log'!$E$4:$E$1510="Win"),'Match Log'!$D$4:$D$1510,"")),IFERROR(LOOKUP(2,1/(('Match Log'!$A$4:$A$1510=$A329)*('Match Log'!$E$4:$E$1510="Win")),'Match Log'!$D$4:$D$1510),""))</f>
        <v>Josh</v>
      </c>
      <c r="E329">
        <f>IFERROR(INDEX('Match Log'!$F$4:$F$1510,MATCH($A329,'Match Log'!$A$4:$A$1510,0)),"")</f>
        <v>2</v>
      </c>
      <c r="F329">
        <f>IFERROR(SUMIFS('Match Log'!$I$4:$I$1510,'Match Log'!$A$4:$A$1510,$A329,'Match Log'!$E$4:$E$1510,"Win"),"")</f>
        <v>0.55555555555555558</v>
      </c>
      <c r="G329">
        <f t="shared" si="29"/>
        <v>-0.11111111111111116</v>
      </c>
      <c r="H329" t="str">
        <f t="array" ref="H329">IFERROR(IF(COUNTIFS('Match Log'!$A$4:$A$1510,$A329,'Match Log'!$E$4:$E$1510,"Win")&gt;1,_xlfn.TEXTJOIN(" + ",TRUE(),IF(('Match Log'!$A$4:$A$1510=$A329)*('Match Log'!$E$4:$E$1510="Loss"),'Match Log'!$D$4:$D$1510,"")),IF($E329=2,LOOKUP(2,1/(('Match Log'!$A$4:$A$1510=$A329)*('Match Log'!$E$4:$E$1510="Loss")),'Match Log'!$D$4:$D$1510),"the field")),"")</f>
        <v>Daniel (Ferret)</v>
      </c>
      <c r="I329">
        <f t="shared" si="30"/>
        <v>-0.11141611111111116</v>
      </c>
      <c r="J329">
        <v>305</v>
      </c>
      <c r="K329">
        <f>IF($J329&gt;MAX('Match Log'!$A$4:$A$1510),NA(),IFERROR(LOOKUP(2,1/(('Match Log'!$D$4:$D$1510=$K$24)*('Match Log'!$A$4:$A$1510&lt;=$J329)),'Match Log'!$N$4:$N$1510),NA()))</f>
        <v>1217.5573388632245</v>
      </c>
      <c r="L329">
        <f>IF($J329&gt;MAX('Match Log'!$A$4:$A$1510),NA(),IFERROR(LOOKUP(2,1/(('Match Log'!$D$4:$D$1510=$L$24)*('Match Log'!$A$4:$A$1510&lt;=$J329)),'Match Log'!$N$4:$N$1510),NA()))</f>
        <v>1029.5175965335138</v>
      </c>
      <c r="M329">
        <f>IF($J329&gt;MAX('Match Log'!$A$4:$A$1510),NA(),IFERROR(LOOKUP(2,1/(('Match Log'!$D$4:$D$1510=$M$24)*('Match Log'!$A$4:$A$1510&lt;=$J329)),'Match Log'!$N$4:$N$1510),NA()))</f>
        <v>1081.2287215286424</v>
      </c>
      <c r="N329">
        <f>IF($J329&gt;MAX('Match Log'!$A$4:$A$1510),NA(),IFERROR(LOOKUP(2,1/(('Match Log'!$D$4:$D$1510=$N$24)*('Match Log'!$A$4:$A$1510&lt;=$J329)),'Match Log'!$N$4:$N$1510),NA()))</f>
        <v>907.03133644117429</v>
      </c>
      <c r="O329">
        <f>IF($J329&gt;MAX('Match Log'!$A$4:$A$1510),NA(),IFERROR(LOOKUP(2,1/(('Match Log'!$D$4:$D$1510=$O$24)*('Match Log'!$A$4:$A$1510&lt;=$J329)),'Match Log'!$N$4:$N$1510),NA()))</f>
        <v>1214.0557828344713</v>
      </c>
      <c r="P329">
        <f>IF($J329&gt;MAX('Match Log'!$A$4:$A$1510),NA(),IFERROR(LOOKUP(2,1/(('Match Log'!$D$4:$D$1510=$P$24)*('Match Log'!$A$4:$A$1510&lt;=$J329)),'Match Log'!$N$4:$N$1510),NA()))</f>
        <v>1132.8537274164212</v>
      </c>
      <c r="Q329">
        <f>IF($J329&gt;MAX('Match Log'!$A$4:$A$1510),NA(),IFERROR(LOOKUP(2,1/(('Match Log'!$D$4:$D$1510=$Q$24)*('Match Log'!$A$4:$A$1510&lt;=$J329)),'Match Log'!$N$4:$N$1510),NA()))</f>
        <v>1215.996181687143</v>
      </c>
      <c r="R329">
        <f>IF($J329&gt;MAX('Match Log'!$A$4:$A$1510),NA(),IFERROR(LOOKUP(2,1/(('Match Log'!$D$4:$D$1510=$R$24)*('Match Log'!$A$4:$A$1510&lt;=$J329)),'Match Log'!$N$4:$N$1510),NA()))</f>
        <v>1199.6053506482997</v>
      </c>
      <c r="S329">
        <f>IF($J329&gt;MAX('Match Log'!$A$4:$A$1510),NA(),IFERROR(LOOKUP(2,1/(('Match Log'!$D$4:$D$1510=$S$24)*('Match Log'!$A$4:$A$1510&lt;=$J329)),'Match Log'!$N$4:$N$1510),NA()))</f>
        <v>1217.9015417269482</v>
      </c>
      <c r="T329">
        <f>IF($J329&gt;MAX('Match Log'!$A$4:$A$1510),NA(),IFERROR(LOOKUP(2,1/(('Match Log'!$D$4:$D$1510=$T$24)*('Match Log'!$A$4:$A$1510&lt;=$J329)),'Match Log'!$N$4:$N$1510),NA()))</f>
        <v>862.22294373677494</v>
      </c>
      <c r="U329">
        <f>IF($J329&gt;MAX('Match Log'!$A$4:$A$1510),NA(),IFERROR(LOOKUP(2,1/(('Match Log'!$D$4:$D$1510=$U$24)*('Match Log'!$A$4:$A$1510&lt;=$J329)),'Match Log'!$N$4:$N$1510),NA()))</f>
        <v>968.26132335618615</v>
      </c>
      <c r="V329">
        <f>IF($J329&gt;MAX('Match Log'!$A$4:$A$1510),NA(),IFERROR(LOOKUP(2,1/(('Match Log'!$D$4:$D$1510=$V$24)*('Match Log'!$A$4:$A$1510&lt;=$J329)),'Match Log'!$N$4:$N$1510),NA()))</f>
        <v>1087.5488947064855</v>
      </c>
      <c r="W329">
        <f>IF($J329&gt;MAX('Match Log'!$A$4:$A$1510),NA(),IFERROR(LOOKUP(2,1/(('Match Log'!$D$4:$D$1510=$W$24)*('Match Log'!$A$4:$A$1510&lt;=$J329)),'Match Log'!$N$4:$N$1510),NA()))</f>
        <v>1023.2192605207141</v>
      </c>
      <c r="X329" t="e">
        <f>IF($J329&gt;MAX('Match Log'!$A$4:$A$1510),NA(),IFERROR(LOOKUP(2,1/(('Match Log'!$D$4:$D$1510=$X$24)*('Match Log'!$A$4:$A$1510&lt;=$J329)),'Match Log'!$N$4:$N$1510),NA()))</f>
        <v>#N/A</v>
      </c>
      <c r="Y329">
        <f t="shared" ca="1" si="31"/>
        <v>-0.11141611111111116</v>
      </c>
    </row>
    <row r="330" spans="1:25" x14ac:dyDescent="0.2">
      <c r="A330">
        <v>306</v>
      </c>
      <c r="B330">
        <f>IFERROR(INDEX('Match Log'!$B$4:$B$1510,MATCH($A330,'Match Log'!$A$4:$A$1510,0)),"")</f>
        <v>46292</v>
      </c>
      <c r="C330" t="str">
        <f>IFERROR(INDEX('Match Log'!$C$4:$C$1510,MATCH($A330,'Match Log'!$A$4:$A$1510,0)),"")</f>
        <v>Mario Kart</v>
      </c>
      <c r="D330" t="str">
        <f t="array" ref="D330">IFERROR(_xlfn.TEXTJOIN(" + ",TRUE(),IF(('Match Log'!$A$4:$A$1510=$A330)*('Match Log'!$E$4:$E$1510="Win"),'Match Log'!$D$4:$D$1510,"")),IFERROR(LOOKUP(2,1/(('Match Log'!$A$4:$A$1510=$A330)*('Match Log'!$E$4:$E$1510="Win")),'Match Log'!$D$4:$D$1510),""))</f>
        <v>Josh</v>
      </c>
      <c r="E330">
        <f>IFERROR(INDEX('Match Log'!$F$4:$F$1510,MATCH($A330,'Match Log'!$A$4:$A$1510,0)),"")</f>
        <v>2</v>
      </c>
      <c r="F330">
        <f>IFERROR(SUMIFS('Match Log'!$I$4:$I$1510,'Match Log'!$A$4:$A$1510,$A330,'Match Log'!$E$4:$E$1510,"Win"),"")</f>
        <v>0.6</v>
      </c>
      <c r="G330">
        <f t="shared" si="29"/>
        <v>-0.19999999999999996</v>
      </c>
      <c r="H330" t="str">
        <f t="array" ref="H330">IFERROR(IF(COUNTIFS('Match Log'!$A$4:$A$1510,$A330,'Match Log'!$E$4:$E$1510,"Win")&gt;1,_xlfn.TEXTJOIN(" + ",TRUE(),IF(('Match Log'!$A$4:$A$1510=$A330)*('Match Log'!$E$4:$E$1510="Loss"),'Match Log'!$D$4:$D$1510,"")),IF($E330=2,LOOKUP(2,1/(('Match Log'!$A$4:$A$1510=$A330)*('Match Log'!$E$4:$E$1510="Loss")),'Match Log'!$D$4:$D$1510),"the field")),"")</f>
        <v>Daniel (Ferret)</v>
      </c>
      <c r="I330">
        <f t="shared" si="30"/>
        <v>-0.20030599999999996</v>
      </c>
      <c r="J330">
        <v>306</v>
      </c>
      <c r="K330">
        <f>IF($J330&gt;MAX('Match Log'!$A$4:$A$1510),NA(),IFERROR(LOOKUP(2,1/(('Match Log'!$D$4:$D$1510=$K$24)*('Match Log'!$A$4:$A$1510&lt;=$J330)),'Match Log'!$N$4:$N$1510),NA()))</f>
        <v>1217.5573388632245</v>
      </c>
      <c r="L330">
        <f>IF($J330&gt;MAX('Match Log'!$A$4:$A$1510),NA(),IFERROR(LOOKUP(2,1/(('Match Log'!$D$4:$D$1510=$L$24)*('Match Log'!$A$4:$A$1510&lt;=$J330)),'Match Log'!$N$4:$N$1510),NA()))</f>
        <v>1029.5175965335138</v>
      </c>
      <c r="M330">
        <f>IF($J330&gt;MAX('Match Log'!$A$4:$A$1510),NA(),IFERROR(LOOKUP(2,1/(('Match Log'!$D$4:$D$1510=$M$24)*('Match Log'!$A$4:$A$1510&lt;=$J330)),'Match Log'!$N$4:$N$1510),NA()))</f>
        <v>1081.2287215286424</v>
      </c>
      <c r="N330">
        <f>IF($J330&gt;MAX('Match Log'!$A$4:$A$1510),NA(),IFERROR(LOOKUP(2,1/(('Match Log'!$D$4:$D$1510=$N$24)*('Match Log'!$A$4:$A$1510&lt;=$J330)),'Match Log'!$N$4:$N$1510),NA()))</f>
        <v>907.03133644117429</v>
      </c>
      <c r="O330">
        <f>IF($J330&gt;MAX('Match Log'!$A$4:$A$1510),NA(),IFERROR(LOOKUP(2,1/(('Match Log'!$D$4:$D$1510=$O$24)*('Match Log'!$A$4:$A$1510&lt;=$J330)),'Match Log'!$N$4:$N$1510),NA()))</f>
        <v>1233.497020705217</v>
      </c>
      <c r="P330">
        <f>IF($J330&gt;MAX('Match Log'!$A$4:$A$1510),NA(),IFERROR(LOOKUP(2,1/(('Match Log'!$D$4:$D$1510=$P$24)*('Match Log'!$A$4:$A$1510&lt;=$J330)),'Match Log'!$N$4:$N$1510),NA()))</f>
        <v>1132.8537274164212</v>
      </c>
      <c r="Q330">
        <f>IF($J330&gt;MAX('Match Log'!$A$4:$A$1510),NA(),IFERROR(LOOKUP(2,1/(('Match Log'!$D$4:$D$1510=$Q$24)*('Match Log'!$A$4:$A$1510&lt;=$J330)),'Match Log'!$N$4:$N$1510),NA()))</f>
        <v>1215.996181687143</v>
      </c>
      <c r="R330">
        <f>IF($J330&gt;MAX('Match Log'!$A$4:$A$1510),NA(),IFERROR(LOOKUP(2,1/(('Match Log'!$D$4:$D$1510=$R$24)*('Match Log'!$A$4:$A$1510&lt;=$J330)),'Match Log'!$N$4:$N$1510),NA()))</f>
        <v>1180.164112777554</v>
      </c>
      <c r="S330">
        <f>IF($J330&gt;MAX('Match Log'!$A$4:$A$1510),NA(),IFERROR(LOOKUP(2,1/(('Match Log'!$D$4:$D$1510=$S$24)*('Match Log'!$A$4:$A$1510&lt;=$J330)),'Match Log'!$N$4:$N$1510),NA()))</f>
        <v>1217.9015417269482</v>
      </c>
      <c r="T330">
        <f>IF($J330&gt;MAX('Match Log'!$A$4:$A$1510),NA(),IFERROR(LOOKUP(2,1/(('Match Log'!$D$4:$D$1510=$T$24)*('Match Log'!$A$4:$A$1510&lt;=$J330)),'Match Log'!$N$4:$N$1510),NA()))</f>
        <v>862.22294373677494</v>
      </c>
      <c r="U330">
        <f>IF($J330&gt;MAX('Match Log'!$A$4:$A$1510),NA(),IFERROR(LOOKUP(2,1/(('Match Log'!$D$4:$D$1510=$U$24)*('Match Log'!$A$4:$A$1510&lt;=$J330)),'Match Log'!$N$4:$N$1510),NA()))</f>
        <v>968.26132335618615</v>
      </c>
      <c r="V330">
        <f>IF($J330&gt;MAX('Match Log'!$A$4:$A$1510),NA(),IFERROR(LOOKUP(2,1/(('Match Log'!$D$4:$D$1510=$V$24)*('Match Log'!$A$4:$A$1510&lt;=$J330)),'Match Log'!$N$4:$N$1510),NA()))</f>
        <v>1087.5488947064855</v>
      </c>
      <c r="W330">
        <f>IF($J330&gt;MAX('Match Log'!$A$4:$A$1510),NA(),IFERROR(LOOKUP(2,1/(('Match Log'!$D$4:$D$1510=$W$24)*('Match Log'!$A$4:$A$1510&lt;=$J330)),'Match Log'!$N$4:$N$1510),NA()))</f>
        <v>1023.2192605207141</v>
      </c>
      <c r="X330" t="e">
        <f>IF($J330&gt;MAX('Match Log'!$A$4:$A$1510),NA(),IFERROR(LOOKUP(2,1/(('Match Log'!$D$4:$D$1510=$X$24)*('Match Log'!$A$4:$A$1510&lt;=$J330)),'Match Log'!$N$4:$N$1510),NA()))</f>
        <v>#N/A</v>
      </c>
      <c r="Y330">
        <f t="shared" ca="1" si="31"/>
        <v>-0.20030599999999996</v>
      </c>
    </row>
    <row r="331" spans="1:25" x14ac:dyDescent="0.2">
      <c r="A331">
        <v>307</v>
      </c>
      <c r="B331" t="str">
        <f>IFERROR(INDEX('Match Log'!$B$4:$B$1510,MATCH($A331,'Match Log'!$A$4:$A$1510,0)),"")</f>
        <v/>
      </c>
      <c r="C331" t="str">
        <f>IFERROR(INDEX('Match Log'!$C$4:$C$1510,MATCH($A331,'Match Log'!$A$4:$A$1510,0)),"")</f>
        <v/>
      </c>
      <c r="D331" t="str">
        <f t="array" ref="D331">IFERROR(_xlfn.TEXTJOIN(" + ",TRUE(),IF(('Match Log'!$A$4:$A$1510=$A331)*('Match Log'!$E$4:$E$1510="Win"),'Match Log'!$D$4:$D$1510,"")),IFERROR(LOOKUP(2,1/(('Match Log'!$A$4:$A$1510=$A331)*('Match Log'!$E$4:$E$1510="Win")),'Match Log'!$D$4:$D$1510),""))</f>
        <v/>
      </c>
      <c r="E331" t="str">
        <f>IFERROR(INDEX('Match Log'!$F$4:$F$1510,MATCH($A331,'Match Log'!$A$4:$A$1510,0)),"")</f>
        <v/>
      </c>
      <c r="F331">
        <f>IFERROR(SUMIFS('Match Log'!$I$4:$I$1510,'Match Log'!$A$4:$A$1510,$A331,'Match Log'!$E$4:$E$1510,"Win"),"")</f>
        <v>0</v>
      </c>
      <c r="G331" t="str">
        <f t="shared" si="29"/>
        <v/>
      </c>
      <c r="H331" t="str">
        <f t="array" ref="H331">IFERROR(IF(COUNTIFS('Match Log'!$A$4:$A$1510,$A331,'Match Log'!$E$4:$E$1510,"Win")&gt;1,_xlfn.TEXTJOIN(" + ",TRUE(),IF(('Match Log'!$A$4:$A$1510=$A331)*('Match Log'!$E$4:$E$1510="Loss"),'Match Log'!$D$4:$D$1510,"")),IF($E331=2,LOOKUP(2,1/(('Match Log'!$A$4:$A$1510=$A331)*('Match Log'!$E$4:$E$1510="Loss")),'Match Log'!$D$4:$D$1510),"the field")),"")</f>
        <v>the field</v>
      </c>
      <c r="I331" t="str">
        <f t="shared" si="30"/>
        <v/>
      </c>
      <c r="J331">
        <v>307</v>
      </c>
      <c r="K331" t="e">
        <f>IF($J331&gt;MAX('Match Log'!$A$4:$A$1510),NA(),IFERROR(LOOKUP(2,1/(('Match Log'!$D$4:$D$1510=$K$24)*('Match Log'!$A$4:$A$1510&lt;=$J331)),'Match Log'!$N$4:$N$1510),NA()))</f>
        <v>#N/A</v>
      </c>
      <c r="L331" t="e">
        <f>IF($J331&gt;MAX('Match Log'!$A$4:$A$1510),NA(),IFERROR(LOOKUP(2,1/(('Match Log'!$D$4:$D$1510=$L$24)*('Match Log'!$A$4:$A$1510&lt;=$J331)),'Match Log'!$N$4:$N$1510),NA()))</f>
        <v>#N/A</v>
      </c>
      <c r="M331" t="e">
        <f>IF($J331&gt;MAX('Match Log'!$A$4:$A$1510),NA(),IFERROR(LOOKUP(2,1/(('Match Log'!$D$4:$D$1510=$M$24)*('Match Log'!$A$4:$A$1510&lt;=$J331)),'Match Log'!$N$4:$N$1510),NA()))</f>
        <v>#N/A</v>
      </c>
      <c r="N331" t="e">
        <f>IF($J331&gt;MAX('Match Log'!$A$4:$A$1510),NA(),IFERROR(LOOKUP(2,1/(('Match Log'!$D$4:$D$1510=$N$24)*('Match Log'!$A$4:$A$1510&lt;=$J331)),'Match Log'!$N$4:$N$1510),NA()))</f>
        <v>#N/A</v>
      </c>
      <c r="O331" t="e">
        <f>IF($J331&gt;MAX('Match Log'!$A$4:$A$1510),NA(),IFERROR(LOOKUP(2,1/(('Match Log'!$D$4:$D$1510=$O$24)*('Match Log'!$A$4:$A$1510&lt;=$J331)),'Match Log'!$N$4:$N$1510),NA()))</f>
        <v>#N/A</v>
      </c>
      <c r="P331" t="e">
        <f>IF($J331&gt;MAX('Match Log'!$A$4:$A$1510),NA(),IFERROR(LOOKUP(2,1/(('Match Log'!$D$4:$D$1510=$P$24)*('Match Log'!$A$4:$A$1510&lt;=$J331)),'Match Log'!$N$4:$N$1510),NA()))</f>
        <v>#N/A</v>
      </c>
      <c r="Q331" t="e">
        <f>IF($J331&gt;MAX('Match Log'!$A$4:$A$1510),NA(),IFERROR(LOOKUP(2,1/(('Match Log'!$D$4:$D$1510=$Q$24)*('Match Log'!$A$4:$A$1510&lt;=$J331)),'Match Log'!$N$4:$N$1510),NA()))</f>
        <v>#N/A</v>
      </c>
      <c r="R331" t="e">
        <f>IF($J331&gt;MAX('Match Log'!$A$4:$A$1510),NA(),IFERROR(LOOKUP(2,1/(('Match Log'!$D$4:$D$1510=$R$24)*('Match Log'!$A$4:$A$1510&lt;=$J331)),'Match Log'!$N$4:$N$1510),NA()))</f>
        <v>#N/A</v>
      </c>
      <c r="S331" t="e">
        <f>IF($J331&gt;MAX('Match Log'!$A$4:$A$1510),NA(),IFERROR(LOOKUP(2,1/(('Match Log'!$D$4:$D$1510=$S$24)*('Match Log'!$A$4:$A$1510&lt;=$J331)),'Match Log'!$N$4:$N$1510),NA()))</f>
        <v>#N/A</v>
      </c>
      <c r="T331" t="e">
        <f>IF($J331&gt;MAX('Match Log'!$A$4:$A$1510),NA(),IFERROR(LOOKUP(2,1/(('Match Log'!$D$4:$D$1510=$T$24)*('Match Log'!$A$4:$A$1510&lt;=$J331)),'Match Log'!$N$4:$N$1510),NA()))</f>
        <v>#N/A</v>
      </c>
      <c r="U331" t="e">
        <f>IF($J331&gt;MAX('Match Log'!$A$4:$A$1510),NA(),IFERROR(LOOKUP(2,1/(('Match Log'!$D$4:$D$1510=$U$24)*('Match Log'!$A$4:$A$1510&lt;=$J331)),'Match Log'!$N$4:$N$1510),NA()))</f>
        <v>#N/A</v>
      </c>
      <c r="V331" t="e">
        <f>IF($J331&gt;MAX('Match Log'!$A$4:$A$1510),NA(),IFERROR(LOOKUP(2,1/(('Match Log'!$D$4:$D$1510=$V$24)*('Match Log'!$A$4:$A$1510&lt;=$J331)),'Match Log'!$N$4:$N$1510),NA()))</f>
        <v>#N/A</v>
      </c>
      <c r="W331" t="e">
        <f>IF($J331&gt;MAX('Match Log'!$A$4:$A$1510),NA(),IFERROR(LOOKUP(2,1/(('Match Log'!$D$4:$D$1510=$W$24)*('Match Log'!$A$4:$A$1510&lt;=$J331)),'Match Log'!$N$4:$N$1510),NA()))</f>
        <v>#N/A</v>
      </c>
      <c r="X331" t="e">
        <f>IF($J331&gt;MAX('Match Log'!$A$4:$A$1510),NA(),IFERROR(LOOKUP(2,1/(('Match Log'!$D$4:$D$1510=$X$24)*('Match Log'!$A$4:$A$1510&lt;=$J331)),'Match Log'!$N$4:$N$1510),NA()))</f>
        <v>#N/A</v>
      </c>
      <c r="Y331" t="str">
        <f t="shared" ca="1" si="31"/>
        <v/>
      </c>
    </row>
    <row r="332" spans="1:25" x14ac:dyDescent="0.2">
      <c r="A332">
        <v>308</v>
      </c>
      <c r="B332" t="str">
        <f>IFERROR(INDEX('Match Log'!$B$4:$B$1510,MATCH($A332,'Match Log'!$A$4:$A$1510,0)),"")</f>
        <v/>
      </c>
      <c r="C332" t="str">
        <f>IFERROR(INDEX('Match Log'!$C$4:$C$1510,MATCH($A332,'Match Log'!$A$4:$A$1510,0)),"")</f>
        <v/>
      </c>
      <c r="D332" t="str">
        <f t="array" ref="D332">IFERROR(_xlfn.TEXTJOIN(" + ",TRUE(),IF(('Match Log'!$A$4:$A$1510=$A332)*('Match Log'!$E$4:$E$1510="Win"),'Match Log'!$D$4:$D$1510,"")),IFERROR(LOOKUP(2,1/(('Match Log'!$A$4:$A$1510=$A332)*('Match Log'!$E$4:$E$1510="Win")),'Match Log'!$D$4:$D$1510),""))</f>
        <v/>
      </c>
      <c r="E332" t="str">
        <f>IFERROR(INDEX('Match Log'!$F$4:$F$1510,MATCH($A332,'Match Log'!$A$4:$A$1510,0)),"")</f>
        <v/>
      </c>
      <c r="F332">
        <f>IFERROR(SUMIFS('Match Log'!$I$4:$I$1510,'Match Log'!$A$4:$A$1510,$A332,'Match Log'!$E$4:$E$1510,"Win"),"")</f>
        <v>0</v>
      </c>
      <c r="G332" t="str">
        <f t="shared" si="29"/>
        <v/>
      </c>
      <c r="H332" t="str">
        <f t="array" ref="H332">IFERROR(IF(COUNTIFS('Match Log'!$A$4:$A$1510,$A332,'Match Log'!$E$4:$E$1510,"Win")&gt;1,_xlfn.TEXTJOIN(" + ",TRUE(),IF(('Match Log'!$A$4:$A$1510=$A332)*('Match Log'!$E$4:$E$1510="Loss"),'Match Log'!$D$4:$D$1510,"")),IF($E332=2,LOOKUP(2,1/(('Match Log'!$A$4:$A$1510=$A332)*('Match Log'!$E$4:$E$1510="Loss")),'Match Log'!$D$4:$D$1510),"the field")),"")</f>
        <v>the field</v>
      </c>
      <c r="I332" t="str">
        <f t="shared" si="30"/>
        <v/>
      </c>
      <c r="J332">
        <v>308</v>
      </c>
      <c r="K332" t="e">
        <f>IF($J332&gt;MAX('Match Log'!$A$4:$A$1510),NA(),IFERROR(LOOKUP(2,1/(('Match Log'!$D$4:$D$1510=$K$24)*('Match Log'!$A$4:$A$1510&lt;=$J332)),'Match Log'!$N$4:$N$1510),NA()))</f>
        <v>#N/A</v>
      </c>
      <c r="L332" t="e">
        <f>IF($J332&gt;MAX('Match Log'!$A$4:$A$1510),NA(),IFERROR(LOOKUP(2,1/(('Match Log'!$D$4:$D$1510=$L$24)*('Match Log'!$A$4:$A$1510&lt;=$J332)),'Match Log'!$N$4:$N$1510),NA()))</f>
        <v>#N/A</v>
      </c>
      <c r="M332" t="e">
        <f>IF($J332&gt;MAX('Match Log'!$A$4:$A$1510),NA(),IFERROR(LOOKUP(2,1/(('Match Log'!$D$4:$D$1510=$M$24)*('Match Log'!$A$4:$A$1510&lt;=$J332)),'Match Log'!$N$4:$N$1510),NA()))</f>
        <v>#N/A</v>
      </c>
      <c r="N332" t="e">
        <f>IF($J332&gt;MAX('Match Log'!$A$4:$A$1510),NA(),IFERROR(LOOKUP(2,1/(('Match Log'!$D$4:$D$1510=$N$24)*('Match Log'!$A$4:$A$1510&lt;=$J332)),'Match Log'!$N$4:$N$1510),NA()))</f>
        <v>#N/A</v>
      </c>
      <c r="O332" t="e">
        <f>IF($J332&gt;MAX('Match Log'!$A$4:$A$1510),NA(),IFERROR(LOOKUP(2,1/(('Match Log'!$D$4:$D$1510=$O$24)*('Match Log'!$A$4:$A$1510&lt;=$J332)),'Match Log'!$N$4:$N$1510),NA()))</f>
        <v>#N/A</v>
      </c>
      <c r="P332" t="e">
        <f>IF($J332&gt;MAX('Match Log'!$A$4:$A$1510),NA(),IFERROR(LOOKUP(2,1/(('Match Log'!$D$4:$D$1510=$P$24)*('Match Log'!$A$4:$A$1510&lt;=$J332)),'Match Log'!$N$4:$N$1510),NA()))</f>
        <v>#N/A</v>
      </c>
      <c r="Q332" t="e">
        <f>IF($J332&gt;MAX('Match Log'!$A$4:$A$1510),NA(),IFERROR(LOOKUP(2,1/(('Match Log'!$D$4:$D$1510=$Q$24)*('Match Log'!$A$4:$A$1510&lt;=$J332)),'Match Log'!$N$4:$N$1510),NA()))</f>
        <v>#N/A</v>
      </c>
      <c r="R332" t="e">
        <f>IF($J332&gt;MAX('Match Log'!$A$4:$A$1510),NA(),IFERROR(LOOKUP(2,1/(('Match Log'!$D$4:$D$1510=$R$24)*('Match Log'!$A$4:$A$1510&lt;=$J332)),'Match Log'!$N$4:$N$1510),NA()))</f>
        <v>#N/A</v>
      </c>
      <c r="S332" t="e">
        <f>IF($J332&gt;MAX('Match Log'!$A$4:$A$1510),NA(),IFERROR(LOOKUP(2,1/(('Match Log'!$D$4:$D$1510=$S$24)*('Match Log'!$A$4:$A$1510&lt;=$J332)),'Match Log'!$N$4:$N$1510),NA()))</f>
        <v>#N/A</v>
      </c>
      <c r="T332" t="e">
        <f>IF($J332&gt;MAX('Match Log'!$A$4:$A$1510),NA(),IFERROR(LOOKUP(2,1/(('Match Log'!$D$4:$D$1510=$T$24)*('Match Log'!$A$4:$A$1510&lt;=$J332)),'Match Log'!$N$4:$N$1510),NA()))</f>
        <v>#N/A</v>
      </c>
      <c r="U332" t="e">
        <f>IF($J332&gt;MAX('Match Log'!$A$4:$A$1510),NA(),IFERROR(LOOKUP(2,1/(('Match Log'!$D$4:$D$1510=$U$24)*('Match Log'!$A$4:$A$1510&lt;=$J332)),'Match Log'!$N$4:$N$1510),NA()))</f>
        <v>#N/A</v>
      </c>
      <c r="V332" t="e">
        <f>IF($J332&gt;MAX('Match Log'!$A$4:$A$1510),NA(),IFERROR(LOOKUP(2,1/(('Match Log'!$D$4:$D$1510=$V$24)*('Match Log'!$A$4:$A$1510&lt;=$J332)),'Match Log'!$N$4:$N$1510),NA()))</f>
        <v>#N/A</v>
      </c>
      <c r="W332" t="e">
        <f>IF($J332&gt;MAX('Match Log'!$A$4:$A$1510),NA(),IFERROR(LOOKUP(2,1/(('Match Log'!$D$4:$D$1510=$W$24)*('Match Log'!$A$4:$A$1510&lt;=$J332)),'Match Log'!$N$4:$N$1510),NA()))</f>
        <v>#N/A</v>
      </c>
      <c r="X332" t="e">
        <f>IF($J332&gt;MAX('Match Log'!$A$4:$A$1510),NA(),IFERROR(LOOKUP(2,1/(('Match Log'!$D$4:$D$1510=$X$24)*('Match Log'!$A$4:$A$1510&lt;=$J332)),'Match Log'!$N$4:$N$1510),NA()))</f>
        <v>#N/A</v>
      </c>
      <c r="Y332" t="str">
        <f t="shared" ca="1" si="31"/>
        <v/>
      </c>
    </row>
    <row r="333" spans="1:25" x14ac:dyDescent="0.2">
      <c r="A333">
        <v>309</v>
      </c>
      <c r="B333" t="str">
        <f>IFERROR(INDEX('Match Log'!$B$4:$B$1510,MATCH($A333,'Match Log'!$A$4:$A$1510,0)),"")</f>
        <v/>
      </c>
      <c r="C333" t="str">
        <f>IFERROR(INDEX('Match Log'!$C$4:$C$1510,MATCH($A333,'Match Log'!$A$4:$A$1510,0)),"")</f>
        <v/>
      </c>
      <c r="D333" t="str">
        <f t="array" ref="D333">IFERROR(_xlfn.TEXTJOIN(" + ",TRUE(),IF(('Match Log'!$A$4:$A$1510=$A333)*('Match Log'!$E$4:$E$1510="Win"),'Match Log'!$D$4:$D$1510,"")),IFERROR(LOOKUP(2,1/(('Match Log'!$A$4:$A$1510=$A333)*('Match Log'!$E$4:$E$1510="Win")),'Match Log'!$D$4:$D$1510),""))</f>
        <v/>
      </c>
      <c r="E333" t="str">
        <f>IFERROR(INDEX('Match Log'!$F$4:$F$1510,MATCH($A333,'Match Log'!$A$4:$A$1510,0)),"")</f>
        <v/>
      </c>
      <c r="F333">
        <f>IFERROR(SUMIFS('Match Log'!$I$4:$I$1510,'Match Log'!$A$4:$A$1510,$A333,'Match Log'!$E$4:$E$1510,"Win"),"")</f>
        <v>0</v>
      </c>
      <c r="G333" t="str">
        <f t="shared" si="29"/>
        <v/>
      </c>
      <c r="H333" t="str">
        <f t="array" ref="H333">IFERROR(IF(COUNTIFS('Match Log'!$A$4:$A$1510,$A333,'Match Log'!$E$4:$E$1510,"Win")&gt;1,_xlfn.TEXTJOIN(" + ",TRUE(),IF(('Match Log'!$A$4:$A$1510=$A333)*('Match Log'!$E$4:$E$1510="Loss"),'Match Log'!$D$4:$D$1510,"")),IF($E333=2,LOOKUP(2,1/(('Match Log'!$A$4:$A$1510=$A333)*('Match Log'!$E$4:$E$1510="Loss")),'Match Log'!$D$4:$D$1510),"the field")),"")</f>
        <v>the field</v>
      </c>
      <c r="I333" t="str">
        <f t="shared" si="30"/>
        <v/>
      </c>
      <c r="J333">
        <v>309</v>
      </c>
      <c r="K333" t="e">
        <f>IF($J333&gt;MAX('Match Log'!$A$4:$A$1510),NA(),IFERROR(LOOKUP(2,1/(('Match Log'!$D$4:$D$1510=$K$24)*('Match Log'!$A$4:$A$1510&lt;=$J333)),'Match Log'!$N$4:$N$1510),NA()))</f>
        <v>#N/A</v>
      </c>
      <c r="L333" t="e">
        <f>IF($J333&gt;MAX('Match Log'!$A$4:$A$1510),NA(),IFERROR(LOOKUP(2,1/(('Match Log'!$D$4:$D$1510=$L$24)*('Match Log'!$A$4:$A$1510&lt;=$J333)),'Match Log'!$N$4:$N$1510),NA()))</f>
        <v>#N/A</v>
      </c>
      <c r="M333" t="e">
        <f>IF($J333&gt;MAX('Match Log'!$A$4:$A$1510),NA(),IFERROR(LOOKUP(2,1/(('Match Log'!$D$4:$D$1510=$M$24)*('Match Log'!$A$4:$A$1510&lt;=$J333)),'Match Log'!$N$4:$N$1510),NA()))</f>
        <v>#N/A</v>
      </c>
      <c r="N333" t="e">
        <f>IF($J333&gt;MAX('Match Log'!$A$4:$A$1510),NA(),IFERROR(LOOKUP(2,1/(('Match Log'!$D$4:$D$1510=$N$24)*('Match Log'!$A$4:$A$1510&lt;=$J333)),'Match Log'!$N$4:$N$1510),NA()))</f>
        <v>#N/A</v>
      </c>
      <c r="O333" t="e">
        <f>IF($J333&gt;MAX('Match Log'!$A$4:$A$1510),NA(),IFERROR(LOOKUP(2,1/(('Match Log'!$D$4:$D$1510=$O$24)*('Match Log'!$A$4:$A$1510&lt;=$J333)),'Match Log'!$N$4:$N$1510),NA()))</f>
        <v>#N/A</v>
      </c>
      <c r="P333" t="e">
        <f>IF($J333&gt;MAX('Match Log'!$A$4:$A$1510),NA(),IFERROR(LOOKUP(2,1/(('Match Log'!$D$4:$D$1510=$P$24)*('Match Log'!$A$4:$A$1510&lt;=$J333)),'Match Log'!$N$4:$N$1510),NA()))</f>
        <v>#N/A</v>
      </c>
      <c r="Q333" t="e">
        <f>IF($J333&gt;MAX('Match Log'!$A$4:$A$1510),NA(),IFERROR(LOOKUP(2,1/(('Match Log'!$D$4:$D$1510=$Q$24)*('Match Log'!$A$4:$A$1510&lt;=$J333)),'Match Log'!$N$4:$N$1510),NA()))</f>
        <v>#N/A</v>
      </c>
      <c r="R333" t="e">
        <f>IF($J333&gt;MAX('Match Log'!$A$4:$A$1510),NA(),IFERROR(LOOKUP(2,1/(('Match Log'!$D$4:$D$1510=$R$24)*('Match Log'!$A$4:$A$1510&lt;=$J333)),'Match Log'!$N$4:$N$1510),NA()))</f>
        <v>#N/A</v>
      </c>
      <c r="S333" t="e">
        <f>IF($J333&gt;MAX('Match Log'!$A$4:$A$1510),NA(),IFERROR(LOOKUP(2,1/(('Match Log'!$D$4:$D$1510=$S$24)*('Match Log'!$A$4:$A$1510&lt;=$J333)),'Match Log'!$N$4:$N$1510),NA()))</f>
        <v>#N/A</v>
      </c>
      <c r="T333" t="e">
        <f>IF($J333&gt;MAX('Match Log'!$A$4:$A$1510),NA(),IFERROR(LOOKUP(2,1/(('Match Log'!$D$4:$D$1510=$T$24)*('Match Log'!$A$4:$A$1510&lt;=$J333)),'Match Log'!$N$4:$N$1510),NA()))</f>
        <v>#N/A</v>
      </c>
      <c r="U333" t="e">
        <f>IF($J333&gt;MAX('Match Log'!$A$4:$A$1510),NA(),IFERROR(LOOKUP(2,1/(('Match Log'!$D$4:$D$1510=$U$24)*('Match Log'!$A$4:$A$1510&lt;=$J333)),'Match Log'!$N$4:$N$1510),NA()))</f>
        <v>#N/A</v>
      </c>
      <c r="V333" t="e">
        <f>IF($J333&gt;MAX('Match Log'!$A$4:$A$1510),NA(),IFERROR(LOOKUP(2,1/(('Match Log'!$D$4:$D$1510=$V$24)*('Match Log'!$A$4:$A$1510&lt;=$J333)),'Match Log'!$N$4:$N$1510),NA()))</f>
        <v>#N/A</v>
      </c>
      <c r="W333" t="e">
        <f>IF($J333&gt;MAX('Match Log'!$A$4:$A$1510),NA(),IFERROR(LOOKUP(2,1/(('Match Log'!$D$4:$D$1510=$W$24)*('Match Log'!$A$4:$A$1510&lt;=$J333)),'Match Log'!$N$4:$N$1510),NA()))</f>
        <v>#N/A</v>
      </c>
      <c r="X333" t="e">
        <f>IF($J333&gt;MAX('Match Log'!$A$4:$A$1510),NA(),IFERROR(LOOKUP(2,1/(('Match Log'!$D$4:$D$1510=$X$24)*('Match Log'!$A$4:$A$1510&lt;=$J333)),'Match Log'!$N$4:$N$1510),NA()))</f>
        <v>#N/A</v>
      </c>
      <c r="Y333" t="str">
        <f t="shared" ca="1" si="31"/>
        <v/>
      </c>
    </row>
    <row r="334" spans="1:25" x14ac:dyDescent="0.2">
      <c r="A334">
        <v>310</v>
      </c>
      <c r="B334" t="str">
        <f>IFERROR(INDEX('Match Log'!$B$4:$B$1510,MATCH($A334,'Match Log'!$A$4:$A$1510,0)),"")</f>
        <v/>
      </c>
      <c r="C334" t="str">
        <f>IFERROR(INDEX('Match Log'!$C$4:$C$1510,MATCH($A334,'Match Log'!$A$4:$A$1510,0)),"")</f>
        <v/>
      </c>
      <c r="D334" t="str">
        <f t="array" ref="D334">IFERROR(_xlfn.TEXTJOIN(" + ",TRUE(),IF(('Match Log'!$A$4:$A$1510=$A334)*('Match Log'!$E$4:$E$1510="Win"),'Match Log'!$D$4:$D$1510,"")),IFERROR(LOOKUP(2,1/(('Match Log'!$A$4:$A$1510=$A334)*('Match Log'!$E$4:$E$1510="Win")),'Match Log'!$D$4:$D$1510),""))</f>
        <v/>
      </c>
      <c r="E334" t="str">
        <f>IFERROR(INDEX('Match Log'!$F$4:$F$1510,MATCH($A334,'Match Log'!$A$4:$A$1510,0)),"")</f>
        <v/>
      </c>
      <c r="F334">
        <f>IFERROR(SUMIFS('Match Log'!$I$4:$I$1510,'Match Log'!$A$4:$A$1510,$A334,'Match Log'!$E$4:$E$1510,"Win"),"")</f>
        <v>0</v>
      </c>
      <c r="G334" t="str">
        <f t="shared" si="29"/>
        <v/>
      </c>
      <c r="H334" t="str">
        <f t="array" ref="H334">IFERROR(IF(COUNTIFS('Match Log'!$A$4:$A$1510,$A334,'Match Log'!$E$4:$E$1510,"Win")&gt;1,_xlfn.TEXTJOIN(" + ",TRUE(),IF(('Match Log'!$A$4:$A$1510=$A334)*('Match Log'!$E$4:$E$1510="Loss"),'Match Log'!$D$4:$D$1510,"")),IF($E334=2,LOOKUP(2,1/(('Match Log'!$A$4:$A$1510=$A334)*('Match Log'!$E$4:$E$1510="Loss")),'Match Log'!$D$4:$D$1510),"the field")),"")</f>
        <v>the field</v>
      </c>
      <c r="I334" t="str">
        <f t="shared" si="30"/>
        <v/>
      </c>
      <c r="J334">
        <v>310</v>
      </c>
      <c r="K334" t="e">
        <f>IF($J334&gt;MAX('Match Log'!$A$4:$A$1510),NA(),IFERROR(LOOKUP(2,1/(('Match Log'!$D$4:$D$1510=$K$24)*('Match Log'!$A$4:$A$1510&lt;=$J334)),'Match Log'!$N$4:$N$1510),NA()))</f>
        <v>#N/A</v>
      </c>
      <c r="L334" t="e">
        <f>IF($J334&gt;MAX('Match Log'!$A$4:$A$1510),NA(),IFERROR(LOOKUP(2,1/(('Match Log'!$D$4:$D$1510=$L$24)*('Match Log'!$A$4:$A$1510&lt;=$J334)),'Match Log'!$N$4:$N$1510),NA()))</f>
        <v>#N/A</v>
      </c>
      <c r="M334" t="e">
        <f>IF($J334&gt;MAX('Match Log'!$A$4:$A$1510),NA(),IFERROR(LOOKUP(2,1/(('Match Log'!$D$4:$D$1510=$M$24)*('Match Log'!$A$4:$A$1510&lt;=$J334)),'Match Log'!$N$4:$N$1510),NA()))</f>
        <v>#N/A</v>
      </c>
      <c r="N334" t="e">
        <f>IF($J334&gt;MAX('Match Log'!$A$4:$A$1510),NA(),IFERROR(LOOKUP(2,1/(('Match Log'!$D$4:$D$1510=$N$24)*('Match Log'!$A$4:$A$1510&lt;=$J334)),'Match Log'!$N$4:$N$1510),NA()))</f>
        <v>#N/A</v>
      </c>
      <c r="O334" t="e">
        <f>IF($J334&gt;MAX('Match Log'!$A$4:$A$1510),NA(),IFERROR(LOOKUP(2,1/(('Match Log'!$D$4:$D$1510=$O$24)*('Match Log'!$A$4:$A$1510&lt;=$J334)),'Match Log'!$N$4:$N$1510),NA()))</f>
        <v>#N/A</v>
      </c>
      <c r="P334" t="e">
        <f>IF($J334&gt;MAX('Match Log'!$A$4:$A$1510),NA(),IFERROR(LOOKUP(2,1/(('Match Log'!$D$4:$D$1510=$P$24)*('Match Log'!$A$4:$A$1510&lt;=$J334)),'Match Log'!$N$4:$N$1510),NA()))</f>
        <v>#N/A</v>
      </c>
      <c r="Q334" t="e">
        <f>IF($J334&gt;MAX('Match Log'!$A$4:$A$1510),NA(),IFERROR(LOOKUP(2,1/(('Match Log'!$D$4:$D$1510=$Q$24)*('Match Log'!$A$4:$A$1510&lt;=$J334)),'Match Log'!$N$4:$N$1510),NA()))</f>
        <v>#N/A</v>
      </c>
      <c r="R334" t="e">
        <f>IF($J334&gt;MAX('Match Log'!$A$4:$A$1510),NA(),IFERROR(LOOKUP(2,1/(('Match Log'!$D$4:$D$1510=$R$24)*('Match Log'!$A$4:$A$1510&lt;=$J334)),'Match Log'!$N$4:$N$1510),NA()))</f>
        <v>#N/A</v>
      </c>
      <c r="S334" t="e">
        <f>IF($J334&gt;MAX('Match Log'!$A$4:$A$1510),NA(),IFERROR(LOOKUP(2,1/(('Match Log'!$D$4:$D$1510=$S$24)*('Match Log'!$A$4:$A$1510&lt;=$J334)),'Match Log'!$N$4:$N$1510),NA()))</f>
        <v>#N/A</v>
      </c>
      <c r="T334" t="e">
        <f>IF($J334&gt;MAX('Match Log'!$A$4:$A$1510),NA(),IFERROR(LOOKUP(2,1/(('Match Log'!$D$4:$D$1510=$T$24)*('Match Log'!$A$4:$A$1510&lt;=$J334)),'Match Log'!$N$4:$N$1510),NA()))</f>
        <v>#N/A</v>
      </c>
      <c r="U334" t="e">
        <f>IF($J334&gt;MAX('Match Log'!$A$4:$A$1510),NA(),IFERROR(LOOKUP(2,1/(('Match Log'!$D$4:$D$1510=$U$24)*('Match Log'!$A$4:$A$1510&lt;=$J334)),'Match Log'!$N$4:$N$1510),NA()))</f>
        <v>#N/A</v>
      </c>
      <c r="V334" t="e">
        <f>IF($J334&gt;MAX('Match Log'!$A$4:$A$1510),NA(),IFERROR(LOOKUP(2,1/(('Match Log'!$D$4:$D$1510=$V$24)*('Match Log'!$A$4:$A$1510&lt;=$J334)),'Match Log'!$N$4:$N$1510),NA()))</f>
        <v>#N/A</v>
      </c>
      <c r="W334" t="e">
        <f>IF($J334&gt;MAX('Match Log'!$A$4:$A$1510),NA(),IFERROR(LOOKUP(2,1/(('Match Log'!$D$4:$D$1510=$W$24)*('Match Log'!$A$4:$A$1510&lt;=$J334)),'Match Log'!$N$4:$N$1510),NA()))</f>
        <v>#N/A</v>
      </c>
      <c r="X334" t="e">
        <f>IF($J334&gt;MAX('Match Log'!$A$4:$A$1510),NA(),IFERROR(LOOKUP(2,1/(('Match Log'!$D$4:$D$1510=$X$24)*('Match Log'!$A$4:$A$1510&lt;=$J334)),'Match Log'!$N$4:$N$1510),NA()))</f>
        <v>#N/A</v>
      </c>
      <c r="Y334" t="str">
        <f t="shared" ca="1" si="31"/>
        <v/>
      </c>
    </row>
    <row r="335" spans="1:25" x14ac:dyDescent="0.2">
      <c r="A335">
        <v>311</v>
      </c>
      <c r="B335" t="str">
        <f>IFERROR(INDEX('Match Log'!$B$4:$B$1510,MATCH($A335,'Match Log'!$A$4:$A$1510,0)),"")</f>
        <v/>
      </c>
      <c r="C335" t="str">
        <f>IFERROR(INDEX('Match Log'!$C$4:$C$1510,MATCH($A335,'Match Log'!$A$4:$A$1510,0)),"")</f>
        <v/>
      </c>
      <c r="D335" t="str">
        <f t="array" ref="D335">IFERROR(_xlfn.TEXTJOIN(" + ",TRUE(),IF(('Match Log'!$A$4:$A$1510=$A335)*('Match Log'!$E$4:$E$1510="Win"),'Match Log'!$D$4:$D$1510,"")),IFERROR(LOOKUP(2,1/(('Match Log'!$A$4:$A$1510=$A335)*('Match Log'!$E$4:$E$1510="Win")),'Match Log'!$D$4:$D$1510),""))</f>
        <v/>
      </c>
      <c r="E335" t="str">
        <f>IFERROR(INDEX('Match Log'!$F$4:$F$1510,MATCH($A335,'Match Log'!$A$4:$A$1510,0)),"")</f>
        <v/>
      </c>
      <c r="F335">
        <f>IFERROR(SUMIFS('Match Log'!$I$4:$I$1510,'Match Log'!$A$4:$A$1510,$A335,'Match Log'!$E$4:$E$1510,"Win"),"")</f>
        <v>0</v>
      </c>
      <c r="G335" t="str">
        <f t="shared" si="29"/>
        <v/>
      </c>
      <c r="H335" t="str">
        <f t="array" ref="H335">IFERROR(IF(COUNTIFS('Match Log'!$A$4:$A$1510,$A335,'Match Log'!$E$4:$E$1510,"Win")&gt;1,_xlfn.TEXTJOIN(" + ",TRUE(),IF(('Match Log'!$A$4:$A$1510=$A335)*('Match Log'!$E$4:$E$1510="Loss"),'Match Log'!$D$4:$D$1510,"")),IF($E335=2,LOOKUP(2,1/(('Match Log'!$A$4:$A$1510=$A335)*('Match Log'!$E$4:$E$1510="Loss")),'Match Log'!$D$4:$D$1510),"the field")),"")</f>
        <v>the field</v>
      </c>
      <c r="I335" t="str">
        <f t="shared" si="30"/>
        <v/>
      </c>
      <c r="J335">
        <v>311</v>
      </c>
      <c r="K335" t="e">
        <f>IF($J335&gt;MAX('Match Log'!$A$4:$A$1510),NA(),IFERROR(LOOKUP(2,1/(('Match Log'!$D$4:$D$1510=$K$24)*('Match Log'!$A$4:$A$1510&lt;=$J335)),'Match Log'!$N$4:$N$1510),NA()))</f>
        <v>#N/A</v>
      </c>
      <c r="L335" t="e">
        <f>IF($J335&gt;MAX('Match Log'!$A$4:$A$1510),NA(),IFERROR(LOOKUP(2,1/(('Match Log'!$D$4:$D$1510=$L$24)*('Match Log'!$A$4:$A$1510&lt;=$J335)),'Match Log'!$N$4:$N$1510),NA()))</f>
        <v>#N/A</v>
      </c>
      <c r="M335" t="e">
        <f>IF($J335&gt;MAX('Match Log'!$A$4:$A$1510),NA(),IFERROR(LOOKUP(2,1/(('Match Log'!$D$4:$D$1510=$M$24)*('Match Log'!$A$4:$A$1510&lt;=$J335)),'Match Log'!$N$4:$N$1510),NA()))</f>
        <v>#N/A</v>
      </c>
      <c r="N335" t="e">
        <f>IF($J335&gt;MAX('Match Log'!$A$4:$A$1510),NA(),IFERROR(LOOKUP(2,1/(('Match Log'!$D$4:$D$1510=$N$24)*('Match Log'!$A$4:$A$1510&lt;=$J335)),'Match Log'!$N$4:$N$1510),NA()))</f>
        <v>#N/A</v>
      </c>
      <c r="O335" t="e">
        <f>IF($J335&gt;MAX('Match Log'!$A$4:$A$1510),NA(),IFERROR(LOOKUP(2,1/(('Match Log'!$D$4:$D$1510=$O$24)*('Match Log'!$A$4:$A$1510&lt;=$J335)),'Match Log'!$N$4:$N$1510),NA()))</f>
        <v>#N/A</v>
      </c>
      <c r="P335" t="e">
        <f>IF($J335&gt;MAX('Match Log'!$A$4:$A$1510),NA(),IFERROR(LOOKUP(2,1/(('Match Log'!$D$4:$D$1510=$P$24)*('Match Log'!$A$4:$A$1510&lt;=$J335)),'Match Log'!$N$4:$N$1510),NA()))</f>
        <v>#N/A</v>
      </c>
      <c r="Q335" t="e">
        <f>IF($J335&gt;MAX('Match Log'!$A$4:$A$1510),NA(),IFERROR(LOOKUP(2,1/(('Match Log'!$D$4:$D$1510=$Q$24)*('Match Log'!$A$4:$A$1510&lt;=$J335)),'Match Log'!$N$4:$N$1510),NA()))</f>
        <v>#N/A</v>
      </c>
      <c r="R335" t="e">
        <f>IF($J335&gt;MAX('Match Log'!$A$4:$A$1510),NA(),IFERROR(LOOKUP(2,1/(('Match Log'!$D$4:$D$1510=$R$24)*('Match Log'!$A$4:$A$1510&lt;=$J335)),'Match Log'!$N$4:$N$1510),NA()))</f>
        <v>#N/A</v>
      </c>
      <c r="S335" t="e">
        <f>IF($J335&gt;MAX('Match Log'!$A$4:$A$1510),NA(),IFERROR(LOOKUP(2,1/(('Match Log'!$D$4:$D$1510=$S$24)*('Match Log'!$A$4:$A$1510&lt;=$J335)),'Match Log'!$N$4:$N$1510),NA()))</f>
        <v>#N/A</v>
      </c>
      <c r="T335" t="e">
        <f>IF($J335&gt;MAX('Match Log'!$A$4:$A$1510),NA(),IFERROR(LOOKUP(2,1/(('Match Log'!$D$4:$D$1510=$T$24)*('Match Log'!$A$4:$A$1510&lt;=$J335)),'Match Log'!$N$4:$N$1510),NA()))</f>
        <v>#N/A</v>
      </c>
      <c r="U335" t="e">
        <f>IF($J335&gt;MAX('Match Log'!$A$4:$A$1510),NA(),IFERROR(LOOKUP(2,1/(('Match Log'!$D$4:$D$1510=$U$24)*('Match Log'!$A$4:$A$1510&lt;=$J335)),'Match Log'!$N$4:$N$1510),NA()))</f>
        <v>#N/A</v>
      </c>
      <c r="V335" t="e">
        <f>IF($J335&gt;MAX('Match Log'!$A$4:$A$1510),NA(),IFERROR(LOOKUP(2,1/(('Match Log'!$D$4:$D$1510=$V$24)*('Match Log'!$A$4:$A$1510&lt;=$J335)),'Match Log'!$N$4:$N$1510),NA()))</f>
        <v>#N/A</v>
      </c>
      <c r="W335" t="e">
        <f>IF($J335&gt;MAX('Match Log'!$A$4:$A$1510),NA(),IFERROR(LOOKUP(2,1/(('Match Log'!$D$4:$D$1510=$W$24)*('Match Log'!$A$4:$A$1510&lt;=$J335)),'Match Log'!$N$4:$N$1510),NA()))</f>
        <v>#N/A</v>
      </c>
      <c r="X335" t="e">
        <f>IF($J335&gt;MAX('Match Log'!$A$4:$A$1510),NA(),IFERROR(LOOKUP(2,1/(('Match Log'!$D$4:$D$1510=$X$24)*('Match Log'!$A$4:$A$1510&lt;=$J335)),'Match Log'!$N$4:$N$1510),NA()))</f>
        <v>#N/A</v>
      </c>
      <c r="Y335" t="str">
        <f t="shared" ca="1" si="31"/>
        <v/>
      </c>
    </row>
    <row r="336" spans="1:25" x14ac:dyDescent="0.2">
      <c r="A336">
        <v>312</v>
      </c>
      <c r="B336" t="str">
        <f>IFERROR(INDEX('Match Log'!$B$4:$B$1510,MATCH($A336,'Match Log'!$A$4:$A$1510,0)),"")</f>
        <v/>
      </c>
      <c r="C336" t="str">
        <f>IFERROR(INDEX('Match Log'!$C$4:$C$1510,MATCH($A336,'Match Log'!$A$4:$A$1510,0)),"")</f>
        <v/>
      </c>
      <c r="D336" t="str">
        <f t="array" ref="D336">IFERROR(_xlfn.TEXTJOIN(" + ",TRUE(),IF(('Match Log'!$A$4:$A$1510=$A336)*('Match Log'!$E$4:$E$1510="Win"),'Match Log'!$D$4:$D$1510,"")),IFERROR(LOOKUP(2,1/(('Match Log'!$A$4:$A$1510=$A336)*('Match Log'!$E$4:$E$1510="Win")),'Match Log'!$D$4:$D$1510),""))</f>
        <v/>
      </c>
      <c r="E336" t="str">
        <f>IFERROR(INDEX('Match Log'!$F$4:$F$1510,MATCH($A336,'Match Log'!$A$4:$A$1510,0)),"")</f>
        <v/>
      </c>
      <c r="F336">
        <f>IFERROR(SUMIFS('Match Log'!$I$4:$I$1510,'Match Log'!$A$4:$A$1510,$A336,'Match Log'!$E$4:$E$1510,"Win"),"")</f>
        <v>0</v>
      </c>
      <c r="G336" t="str">
        <f t="shared" si="29"/>
        <v/>
      </c>
      <c r="H336" t="str">
        <f t="array" ref="H336">IFERROR(IF(COUNTIFS('Match Log'!$A$4:$A$1510,$A336,'Match Log'!$E$4:$E$1510,"Win")&gt;1,_xlfn.TEXTJOIN(" + ",TRUE(),IF(('Match Log'!$A$4:$A$1510=$A336)*('Match Log'!$E$4:$E$1510="Loss"),'Match Log'!$D$4:$D$1510,"")),IF($E336=2,LOOKUP(2,1/(('Match Log'!$A$4:$A$1510=$A336)*('Match Log'!$E$4:$E$1510="Loss")),'Match Log'!$D$4:$D$1510),"the field")),"")</f>
        <v>the field</v>
      </c>
      <c r="I336" t="str">
        <f t="shared" si="30"/>
        <v/>
      </c>
      <c r="J336">
        <v>312</v>
      </c>
      <c r="K336" t="e">
        <f>IF($J336&gt;MAX('Match Log'!$A$4:$A$1510),NA(),IFERROR(LOOKUP(2,1/(('Match Log'!$D$4:$D$1510=$K$24)*('Match Log'!$A$4:$A$1510&lt;=$J336)),'Match Log'!$N$4:$N$1510),NA()))</f>
        <v>#N/A</v>
      </c>
      <c r="L336" t="e">
        <f>IF($J336&gt;MAX('Match Log'!$A$4:$A$1510),NA(),IFERROR(LOOKUP(2,1/(('Match Log'!$D$4:$D$1510=$L$24)*('Match Log'!$A$4:$A$1510&lt;=$J336)),'Match Log'!$N$4:$N$1510),NA()))</f>
        <v>#N/A</v>
      </c>
      <c r="M336" t="e">
        <f>IF($J336&gt;MAX('Match Log'!$A$4:$A$1510),NA(),IFERROR(LOOKUP(2,1/(('Match Log'!$D$4:$D$1510=$M$24)*('Match Log'!$A$4:$A$1510&lt;=$J336)),'Match Log'!$N$4:$N$1510),NA()))</f>
        <v>#N/A</v>
      </c>
      <c r="N336" t="e">
        <f>IF($J336&gt;MAX('Match Log'!$A$4:$A$1510),NA(),IFERROR(LOOKUP(2,1/(('Match Log'!$D$4:$D$1510=$N$24)*('Match Log'!$A$4:$A$1510&lt;=$J336)),'Match Log'!$N$4:$N$1510),NA()))</f>
        <v>#N/A</v>
      </c>
      <c r="O336" t="e">
        <f>IF($J336&gt;MAX('Match Log'!$A$4:$A$1510),NA(),IFERROR(LOOKUP(2,1/(('Match Log'!$D$4:$D$1510=$O$24)*('Match Log'!$A$4:$A$1510&lt;=$J336)),'Match Log'!$N$4:$N$1510),NA()))</f>
        <v>#N/A</v>
      </c>
      <c r="P336" t="e">
        <f>IF($J336&gt;MAX('Match Log'!$A$4:$A$1510),NA(),IFERROR(LOOKUP(2,1/(('Match Log'!$D$4:$D$1510=$P$24)*('Match Log'!$A$4:$A$1510&lt;=$J336)),'Match Log'!$N$4:$N$1510),NA()))</f>
        <v>#N/A</v>
      </c>
      <c r="Q336" t="e">
        <f>IF($J336&gt;MAX('Match Log'!$A$4:$A$1510),NA(),IFERROR(LOOKUP(2,1/(('Match Log'!$D$4:$D$1510=$Q$24)*('Match Log'!$A$4:$A$1510&lt;=$J336)),'Match Log'!$N$4:$N$1510),NA()))</f>
        <v>#N/A</v>
      </c>
      <c r="R336" t="e">
        <f>IF($J336&gt;MAX('Match Log'!$A$4:$A$1510),NA(),IFERROR(LOOKUP(2,1/(('Match Log'!$D$4:$D$1510=$R$24)*('Match Log'!$A$4:$A$1510&lt;=$J336)),'Match Log'!$N$4:$N$1510),NA()))</f>
        <v>#N/A</v>
      </c>
      <c r="S336" t="e">
        <f>IF($J336&gt;MAX('Match Log'!$A$4:$A$1510),NA(),IFERROR(LOOKUP(2,1/(('Match Log'!$D$4:$D$1510=$S$24)*('Match Log'!$A$4:$A$1510&lt;=$J336)),'Match Log'!$N$4:$N$1510),NA()))</f>
        <v>#N/A</v>
      </c>
      <c r="T336" t="e">
        <f>IF($J336&gt;MAX('Match Log'!$A$4:$A$1510),NA(),IFERROR(LOOKUP(2,1/(('Match Log'!$D$4:$D$1510=$T$24)*('Match Log'!$A$4:$A$1510&lt;=$J336)),'Match Log'!$N$4:$N$1510),NA()))</f>
        <v>#N/A</v>
      </c>
      <c r="U336" t="e">
        <f>IF($J336&gt;MAX('Match Log'!$A$4:$A$1510),NA(),IFERROR(LOOKUP(2,1/(('Match Log'!$D$4:$D$1510=$U$24)*('Match Log'!$A$4:$A$1510&lt;=$J336)),'Match Log'!$N$4:$N$1510),NA()))</f>
        <v>#N/A</v>
      </c>
      <c r="V336" t="e">
        <f>IF($J336&gt;MAX('Match Log'!$A$4:$A$1510),NA(),IFERROR(LOOKUP(2,1/(('Match Log'!$D$4:$D$1510=$V$24)*('Match Log'!$A$4:$A$1510&lt;=$J336)),'Match Log'!$N$4:$N$1510),NA()))</f>
        <v>#N/A</v>
      </c>
      <c r="W336" t="e">
        <f>IF($J336&gt;MAX('Match Log'!$A$4:$A$1510),NA(),IFERROR(LOOKUP(2,1/(('Match Log'!$D$4:$D$1510=$W$24)*('Match Log'!$A$4:$A$1510&lt;=$J336)),'Match Log'!$N$4:$N$1510),NA()))</f>
        <v>#N/A</v>
      </c>
      <c r="X336" t="e">
        <f>IF($J336&gt;MAX('Match Log'!$A$4:$A$1510),NA(),IFERROR(LOOKUP(2,1/(('Match Log'!$D$4:$D$1510=$X$24)*('Match Log'!$A$4:$A$1510&lt;=$J336)),'Match Log'!$N$4:$N$1510),NA()))</f>
        <v>#N/A</v>
      </c>
      <c r="Y336" t="str">
        <f t="shared" ca="1" si="31"/>
        <v/>
      </c>
    </row>
    <row r="337" spans="1:25" x14ac:dyDescent="0.2">
      <c r="A337">
        <v>313</v>
      </c>
      <c r="B337" t="str">
        <f>IFERROR(INDEX('Match Log'!$B$4:$B$1510,MATCH($A337,'Match Log'!$A$4:$A$1510,0)),"")</f>
        <v/>
      </c>
      <c r="C337" t="str">
        <f>IFERROR(INDEX('Match Log'!$C$4:$C$1510,MATCH($A337,'Match Log'!$A$4:$A$1510,0)),"")</f>
        <v/>
      </c>
      <c r="D337" t="str">
        <f t="array" ref="D337">IFERROR(_xlfn.TEXTJOIN(" + ",TRUE(),IF(('Match Log'!$A$4:$A$1510=$A337)*('Match Log'!$E$4:$E$1510="Win"),'Match Log'!$D$4:$D$1510,"")),IFERROR(LOOKUP(2,1/(('Match Log'!$A$4:$A$1510=$A337)*('Match Log'!$E$4:$E$1510="Win")),'Match Log'!$D$4:$D$1510),""))</f>
        <v/>
      </c>
      <c r="E337" t="str">
        <f>IFERROR(INDEX('Match Log'!$F$4:$F$1510,MATCH($A337,'Match Log'!$A$4:$A$1510,0)),"")</f>
        <v/>
      </c>
      <c r="F337">
        <f>IFERROR(SUMIFS('Match Log'!$I$4:$I$1510,'Match Log'!$A$4:$A$1510,$A337,'Match Log'!$E$4:$E$1510,"Win"),"")</f>
        <v>0</v>
      </c>
      <c r="G337" t="str">
        <f t="shared" si="29"/>
        <v/>
      </c>
      <c r="H337" t="str">
        <f t="array" ref="H337">IFERROR(IF(COUNTIFS('Match Log'!$A$4:$A$1510,$A337,'Match Log'!$E$4:$E$1510,"Win")&gt;1,_xlfn.TEXTJOIN(" + ",TRUE(),IF(('Match Log'!$A$4:$A$1510=$A337)*('Match Log'!$E$4:$E$1510="Loss"),'Match Log'!$D$4:$D$1510,"")),IF($E337=2,LOOKUP(2,1/(('Match Log'!$A$4:$A$1510=$A337)*('Match Log'!$E$4:$E$1510="Loss")),'Match Log'!$D$4:$D$1510),"the field")),"")</f>
        <v>the field</v>
      </c>
      <c r="I337" t="str">
        <f t="shared" si="30"/>
        <v/>
      </c>
      <c r="J337">
        <v>313</v>
      </c>
      <c r="K337" t="e">
        <f>IF($J337&gt;MAX('Match Log'!$A$4:$A$1510),NA(),IFERROR(LOOKUP(2,1/(('Match Log'!$D$4:$D$1510=$K$24)*('Match Log'!$A$4:$A$1510&lt;=$J337)),'Match Log'!$N$4:$N$1510),NA()))</f>
        <v>#N/A</v>
      </c>
      <c r="L337" t="e">
        <f>IF($J337&gt;MAX('Match Log'!$A$4:$A$1510),NA(),IFERROR(LOOKUP(2,1/(('Match Log'!$D$4:$D$1510=$L$24)*('Match Log'!$A$4:$A$1510&lt;=$J337)),'Match Log'!$N$4:$N$1510),NA()))</f>
        <v>#N/A</v>
      </c>
      <c r="M337" t="e">
        <f>IF($J337&gt;MAX('Match Log'!$A$4:$A$1510),NA(),IFERROR(LOOKUP(2,1/(('Match Log'!$D$4:$D$1510=$M$24)*('Match Log'!$A$4:$A$1510&lt;=$J337)),'Match Log'!$N$4:$N$1510),NA()))</f>
        <v>#N/A</v>
      </c>
      <c r="N337" t="e">
        <f>IF($J337&gt;MAX('Match Log'!$A$4:$A$1510),NA(),IFERROR(LOOKUP(2,1/(('Match Log'!$D$4:$D$1510=$N$24)*('Match Log'!$A$4:$A$1510&lt;=$J337)),'Match Log'!$N$4:$N$1510),NA()))</f>
        <v>#N/A</v>
      </c>
      <c r="O337" t="e">
        <f>IF($J337&gt;MAX('Match Log'!$A$4:$A$1510),NA(),IFERROR(LOOKUP(2,1/(('Match Log'!$D$4:$D$1510=$O$24)*('Match Log'!$A$4:$A$1510&lt;=$J337)),'Match Log'!$N$4:$N$1510),NA()))</f>
        <v>#N/A</v>
      </c>
      <c r="P337" t="e">
        <f>IF($J337&gt;MAX('Match Log'!$A$4:$A$1510),NA(),IFERROR(LOOKUP(2,1/(('Match Log'!$D$4:$D$1510=$P$24)*('Match Log'!$A$4:$A$1510&lt;=$J337)),'Match Log'!$N$4:$N$1510),NA()))</f>
        <v>#N/A</v>
      </c>
      <c r="Q337" t="e">
        <f>IF($J337&gt;MAX('Match Log'!$A$4:$A$1510),NA(),IFERROR(LOOKUP(2,1/(('Match Log'!$D$4:$D$1510=$Q$24)*('Match Log'!$A$4:$A$1510&lt;=$J337)),'Match Log'!$N$4:$N$1510),NA()))</f>
        <v>#N/A</v>
      </c>
      <c r="R337" t="e">
        <f>IF($J337&gt;MAX('Match Log'!$A$4:$A$1510),NA(),IFERROR(LOOKUP(2,1/(('Match Log'!$D$4:$D$1510=$R$24)*('Match Log'!$A$4:$A$1510&lt;=$J337)),'Match Log'!$N$4:$N$1510),NA()))</f>
        <v>#N/A</v>
      </c>
      <c r="S337" t="e">
        <f>IF($J337&gt;MAX('Match Log'!$A$4:$A$1510),NA(),IFERROR(LOOKUP(2,1/(('Match Log'!$D$4:$D$1510=$S$24)*('Match Log'!$A$4:$A$1510&lt;=$J337)),'Match Log'!$N$4:$N$1510),NA()))</f>
        <v>#N/A</v>
      </c>
      <c r="T337" t="e">
        <f>IF($J337&gt;MAX('Match Log'!$A$4:$A$1510),NA(),IFERROR(LOOKUP(2,1/(('Match Log'!$D$4:$D$1510=$T$24)*('Match Log'!$A$4:$A$1510&lt;=$J337)),'Match Log'!$N$4:$N$1510),NA()))</f>
        <v>#N/A</v>
      </c>
      <c r="U337" t="e">
        <f>IF($J337&gt;MAX('Match Log'!$A$4:$A$1510),NA(),IFERROR(LOOKUP(2,1/(('Match Log'!$D$4:$D$1510=$U$24)*('Match Log'!$A$4:$A$1510&lt;=$J337)),'Match Log'!$N$4:$N$1510),NA()))</f>
        <v>#N/A</v>
      </c>
      <c r="V337" t="e">
        <f>IF($J337&gt;MAX('Match Log'!$A$4:$A$1510),NA(),IFERROR(LOOKUP(2,1/(('Match Log'!$D$4:$D$1510=$V$24)*('Match Log'!$A$4:$A$1510&lt;=$J337)),'Match Log'!$N$4:$N$1510),NA()))</f>
        <v>#N/A</v>
      </c>
      <c r="W337" t="e">
        <f>IF($J337&gt;MAX('Match Log'!$A$4:$A$1510),NA(),IFERROR(LOOKUP(2,1/(('Match Log'!$D$4:$D$1510=$W$24)*('Match Log'!$A$4:$A$1510&lt;=$J337)),'Match Log'!$N$4:$N$1510),NA()))</f>
        <v>#N/A</v>
      </c>
      <c r="X337" t="e">
        <f>IF($J337&gt;MAX('Match Log'!$A$4:$A$1510),NA(),IFERROR(LOOKUP(2,1/(('Match Log'!$D$4:$D$1510=$X$24)*('Match Log'!$A$4:$A$1510&lt;=$J337)),'Match Log'!$N$4:$N$1510),NA()))</f>
        <v>#N/A</v>
      </c>
      <c r="Y337" t="str">
        <f t="shared" ca="1" si="31"/>
        <v/>
      </c>
    </row>
    <row r="338" spans="1:25" x14ac:dyDescent="0.2">
      <c r="A338">
        <v>314</v>
      </c>
      <c r="B338" t="str">
        <f>IFERROR(INDEX('Match Log'!$B$4:$B$1510,MATCH($A338,'Match Log'!$A$4:$A$1510,0)),"")</f>
        <v/>
      </c>
      <c r="C338" t="str">
        <f>IFERROR(INDEX('Match Log'!$C$4:$C$1510,MATCH($A338,'Match Log'!$A$4:$A$1510,0)),"")</f>
        <v/>
      </c>
      <c r="D338" t="str">
        <f t="array" ref="D338">IFERROR(_xlfn.TEXTJOIN(" + ",TRUE(),IF(('Match Log'!$A$4:$A$1510=$A338)*('Match Log'!$E$4:$E$1510="Win"),'Match Log'!$D$4:$D$1510,"")),IFERROR(LOOKUP(2,1/(('Match Log'!$A$4:$A$1510=$A338)*('Match Log'!$E$4:$E$1510="Win")),'Match Log'!$D$4:$D$1510),""))</f>
        <v/>
      </c>
      <c r="E338" t="str">
        <f>IFERROR(INDEX('Match Log'!$F$4:$F$1510,MATCH($A338,'Match Log'!$A$4:$A$1510,0)),"")</f>
        <v/>
      </c>
      <c r="F338">
        <f>IFERROR(SUMIFS('Match Log'!$I$4:$I$1510,'Match Log'!$A$4:$A$1510,$A338,'Match Log'!$E$4:$E$1510,"Win"),"")</f>
        <v>0</v>
      </c>
      <c r="G338" t="str">
        <f t="shared" si="29"/>
        <v/>
      </c>
      <c r="H338" t="str">
        <f t="array" ref="H338">IFERROR(IF(COUNTIFS('Match Log'!$A$4:$A$1510,$A338,'Match Log'!$E$4:$E$1510,"Win")&gt;1,_xlfn.TEXTJOIN(" + ",TRUE(),IF(('Match Log'!$A$4:$A$1510=$A338)*('Match Log'!$E$4:$E$1510="Loss"),'Match Log'!$D$4:$D$1510,"")),IF($E338=2,LOOKUP(2,1/(('Match Log'!$A$4:$A$1510=$A338)*('Match Log'!$E$4:$E$1510="Loss")),'Match Log'!$D$4:$D$1510),"the field")),"")</f>
        <v>the field</v>
      </c>
      <c r="I338" t="str">
        <f t="shared" si="30"/>
        <v/>
      </c>
      <c r="J338">
        <v>314</v>
      </c>
      <c r="K338" t="e">
        <f>IF($J338&gt;MAX('Match Log'!$A$4:$A$1510),NA(),IFERROR(LOOKUP(2,1/(('Match Log'!$D$4:$D$1510=$K$24)*('Match Log'!$A$4:$A$1510&lt;=$J338)),'Match Log'!$N$4:$N$1510),NA()))</f>
        <v>#N/A</v>
      </c>
      <c r="L338" t="e">
        <f>IF($J338&gt;MAX('Match Log'!$A$4:$A$1510),NA(),IFERROR(LOOKUP(2,1/(('Match Log'!$D$4:$D$1510=$L$24)*('Match Log'!$A$4:$A$1510&lt;=$J338)),'Match Log'!$N$4:$N$1510),NA()))</f>
        <v>#N/A</v>
      </c>
      <c r="M338" t="e">
        <f>IF($J338&gt;MAX('Match Log'!$A$4:$A$1510),NA(),IFERROR(LOOKUP(2,1/(('Match Log'!$D$4:$D$1510=$M$24)*('Match Log'!$A$4:$A$1510&lt;=$J338)),'Match Log'!$N$4:$N$1510),NA()))</f>
        <v>#N/A</v>
      </c>
      <c r="N338" t="e">
        <f>IF($J338&gt;MAX('Match Log'!$A$4:$A$1510),NA(),IFERROR(LOOKUP(2,1/(('Match Log'!$D$4:$D$1510=$N$24)*('Match Log'!$A$4:$A$1510&lt;=$J338)),'Match Log'!$N$4:$N$1510),NA()))</f>
        <v>#N/A</v>
      </c>
      <c r="O338" t="e">
        <f>IF($J338&gt;MAX('Match Log'!$A$4:$A$1510),NA(),IFERROR(LOOKUP(2,1/(('Match Log'!$D$4:$D$1510=$O$24)*('Match Log'!$A$4:$A$1510&lt;=$J338)),'Match Log'!$N$4:$N$1510),NA()))</f>
        <v>#N/A</v>
      </c>
      <c r="P338" t="e">
        <f>IF($J338&gt;MAX('Match Log'!$A$4:$A$1510),NA(),IFERROR(LOOKUP(2,1/(('Match Log'!$D$4:$D$1510=$P$24)*('Match Log'!$A$4:$A$1510&lt;=$J338)),'Match Log'!$N$4:$N$1510),NA()))</f>
        <v>#N/A</v>
      </c>
      <c r="Q338" t="e">
        <f>IF($J338&gt;MAX('Match Log'!$A$4:$A$1510),NA(),IFERROR(LOOKUP(2,1/(('Match Log'!$D$4:$D$1510=$Q$24)*('Match Log'!$A$4:$A$1510&lt;=$J338)),'Match Log'!$N$4:$N$1510),NA()))</f>
        <v>#N/A</v>
      </c>
      <c r="R338" t="e">
        <f>IF($J338&gt;MAX('Match Log'!$A$4:$A$1510),NA(),IFERROR(LOOKUP(2,1/(('Match Log'!$D$4:$D$1510=$R$24)*('Match Log'!$A$4:$A$1510&lt;=$J338)),'Match Log'!$N$4:$N$1510),NA()))</f>
        <v>#N/A</v>
      </c>
      <c r="S338" t="e">
        <f>IF($J338&gt;MAX('Match Log'!$A$4:$A$1510),NA(),IFERROR(LOOKUP(2,1/(('Match Log'!$D$4:$D$1510=$S$24)*('Match Log'!$A$4:$A$1510&lt;=$J338)),'Match Log'!$N$4:$N$1510),NA()))</f>
        <v>#N/A</v>
      </c>
      <c r="T338" t="e">
        <f>IF($J338&gt;MAX('Match Log'!$A$4:$A$1510),NA(),IFERROR(LOOKUP(2,1/(('Match Log'!$D$4:$D$1510=$T$24)*('Match Log'!$A$4:$A$1510&lt;=$J338)),'Match Log'!$N$4:$N$1510),NA()))</f>
        <v>#N/A</v>
      </c>
      <c r="U338" t="e">
        <f>IF($J338&gt;MAX('Match Log'!$A$4:$A$1510),NA(),IFERROR(LOOKUP(2,1/(('Match Log'!$D$4:$D$1510=$U$24)*('Match Log'!$A$4:$A$1510&lt;=$J338)),'Match Log'!$N$4:$N$1510),NA()))</f>
        <v>#N/A</v>
      </c>
      <c r="V338" t="e">
        <f>IF($J338&gt;MAX('Match Log'!$A$4:$A$1510),NA(),IFERROR(LOOKUP(2,1/(('Match Log'!$D$4:$D$1510=$V$24)*('Match Log'!$A$4:$A$1510&lt;=$J338)),'Match Log'!$N$4:$N$1510),NA()))</f>
        <v>#N/A</v>
      </c>
      <c r="W338" t="e">
        <f>IF($J338&gt;MAX('Match Log'!$A$4:$A$1510),NA(),IFERROR(LOOKUP(2,1/(('Match Log'!$D$4:$D$1510=$W$24)*('Match Log'!$A$4:$A$1510&lt;=$J338)),'Match Log'!$N$4:$N$1510),NA()))</f>
        <v>#N/A</v>
      </c>
      <c r="X338" t="e">
        <f>IF($J338&gt;MAX('Match Log'!$A$4:$A$1510),NA(),IFERROR(LOOKUP(2,1/(('Match Log'!$D$4:$D$1510=$X$24)*('Match Log'!$A$4:$A$1510&lt;=$J338)),'Match Log'!$N$4:$N$1510),NA()))</f>
        <v>#N/A</v>
      </c>
      <c r="Y338" t="str">
        <f t="shared" ca="1" si="31"/>
        <v/>
      </c>
    </row>
    <row r="339" spans="1:25" x14ac:dyDescent="0.2">
      <c r="A339">
        <v>315</v>
      </c>
      <c r="B339" t="str">
        <f>IFERROR(INDEX('Match Log'!$B$4:$B$1510,MATCH($A339,'Match Log'!$A$4:$A$1510,0)),"")</f>
        <v/>
      </c>
      <c r="C339" t="str">
        <f>IFERROR(INDEX('Match Log'!$C$4:$C$1510,MATCH($A339,'Match Log'!$A$4:$A$1510,0)),"")</f>
        <v/>
      </c>
      <c r="D339" t="str">
        <f t="array" ref="D339">IFERROR(_xlfn.TEXTJOIN(" + ",TRUE(),IF(('Match Log'!$A$4:$A$1510=$A339)*('Match Log'!$E$4:$E$1510="Win"),'Match Log'!$D$4:$D$1510,"")),IFERROR(LOOKUP(2,1/(('Match Log'!$A$4:$A$1510=$A339)*('Match Log'!$E$4:$E$1510="Win")),'Match Log'!$D$4:$D$1510),""))</f>
        <v/>
      </c>
      <c r="E339" t="str">
        <f>IFERROR(INDEX('Match Log'!$F$4:$F$1510,MATCH($A339,'Match Log'!$A$4:$A$1510,0)),"")</f>
        <v/>
      </c>
      <c r="F339">
        <f>IFERROR(SUMIFS('Match Log'!$I$4:$I$1510,'Match Log'!$A$4:$A$1510,$A339,'Match Log'!$E$4:$E$1510,"Win"),"")</f>
        <v>0</v>
      </c>
      <c r="G339" t="str">
        <f t="shared" si="29"/>
        <v/>
      </c>
      <c r="H339" t="str">
        <f t="array" ref="H339">IFERROR(IF(COUNTIFS('Match Log'!$A$4:$A$1510,$A339,'Match Log'!$E$4:$E$1510,"Win")&gt;1,_xlfn.TEXTJOIN(" + ",TRUE(),IF(('Match Log'!$A$4:$A$1510=$A339)*('Match Log'!$E$4:$E$1510="Loss"),'Match Log'!$D$4:$D$1510,"")),IF($E339=2,LOOKUP(2,1/(('Match Log'!$A$4:$A$1510=$A339)*('Match Log'!$E$4:$E$1510="Loss")),'Match Log'!$D$4:$D$1510),"the field")),"")</f>
        <v>the field</v>
      </c>
      <c r="I339" t="str">
        <f t="shared" si="30"/>
        <v/>
      </c>
      <c r="J339">
        <v>315</v>
      </c>
      <c r="K339" t="e">
        <f>IF($J339&gt;MAX('Match Log'!$A$4:$A$1510),NA(),IFERROR(LOOKUP(2,1/(('Match Log'!$D$4:$D$1510=$K$24)*('Match Log'!$A$4:$A$1510&lt;=$J339)),'Match Log'!$N$4:$N$1510),NA()))</f>
        <v>#N/A</v>
      </c>
      <c r="L339" t="e">
        <f>IF($J339&gt;MAX('Match Log'!$A$4:$A$1510),NA(),IFERROR(LOOKUP(2,1/(('Match Log'!$D$4:$D$1510=$L$24)*('Match Log'!$A$4:$A$1510&lt;=$J339)),'Match Log'!$N$4:$N$1510),NA()))</f>
        <v>#N/A</v>
      </c>
      <c r="M339" t="e">
        <f>IF($J339&gt;MAX('Match Log'!$A$4:$A$1510),NA(),IFERROR(LOOKUP(2,1/(('Match Log'!$D$4:$D$1510=$M$24)*('Match Log'!$A$4:$A$1510&lt;=$J339)),'Match Log'!$N$4:$N$1510),NA()))</f>
        <v>#N/A</v>
      </c>
      <c r="N339" t="e">
        <f>IF($J339&gt;MAX('Match Log'!$A$4:$A$1510),NA(),IFERROR(LOOKUP(2,1/(('Match Log'!$D$4:$D$1510=$N$24)*('Match Log'!$A$4:$A$1510&lt;=$J339)),'Match Log'!$N$4:$N$1510),NA()))</f>
        <v>#N/A</v>
      </c>
      <c r="O339" t="e">
        <f>IF($J339&gt;MAX('Match Log'!$A$4:$A$1510),NA(),IFERROR(LOOKUP(2,1/(('Match Log'!$D$4:$D$1510=$O$24)*('Match Log'!$A$4:$A$1510&lt;=$J339)),'Match Log'!$N$4:$N$1510),NA()))</f>
        <v>#N/A</v>
      </c>
      <c r="P339" t="e">
        <f>IF($J339&gt;MAX('Match Log'!$A$4:$A$1510),NA(),IFERROR(LOOKUP(2,1/(('Match Log'!$D$4:$D$1510=$P$24)*('Match Log'!$A$4:$A$1510&lt;=$J339)),'Match Log'!$N$4:$N$1510),NA()))</f>
        <v>#N/A</v>
      </c>
      <c r="Q339" t="e">
        <f>IF($J339&gt;MAX('Match Log'!$A$4:$A$1510),NA(),IFERROR(LOOKUP(2,1/(('Match Log'!$D$4:$D$1510=$Q$24)*('Match Log'!$A$4:$A$1510&lt;=$J339)),'Match Log'!$N$4:$N$1510),NA()))</f>
        <v>#N/A</v>
      </c>
      <c r="R339" t="e">
        <f>IF($J339&gt;MAX('Match Log'!$A$4:$A$1510),NA(),IFERROR(LOOKUP(2,1/(('Match Log'!$D$4:$D$1510=$R$24)*('Match Log'!$A$4:$A$1510&lt;=$J339)),'Match Log'!$N$4:$N$1510),NA()))</f>
        <v>#N/A</v>
      </c>
      <c r="S339" t="e">
        <f>IF($J339&gt;MAX('Match Log'!$A$4:$A$1510),NA(),IFERROR(LOOKUP(2,1/(('Match Log'!$D$4:$D$1510=$S$24)*('Match Log'!$A$4:$A$1510&lt;=$J339)),'Match Log'!$N$4:$N$1510),NA()))</f>
        <v>#N/A</v>
      </c>
      <c r="T339" t="e">
        <f>IF($J339&gt;MAX('Match Log'!$A$4:$A$1510),NA(),IFERROR(LOOKUP(2,1/(('Match Log'!$D$4:$D$1510=$T$24)*('Match Log'!$A$4:$A$1510&lt;=$J339)),'Match Log'!$N$4:$N$1510),NA()))</f>
        <v>#N/A</v>
      </c>
      <c r="U339" t="e">
        <f>IF($J339&gt;MAX('Match Log'!$A$4:$A$1510),NA(),IFERROR(LOOKUP(2,1/(('Match Log'!$D$4:$D$1510=$U$24)*('Match Log'!$A$4:$A$1510&lt;=$J339)),'Match Log'!$N$4:$N$1510),NA()))</f>
        <v>#N/A</v>
      </c>
      <c r="V339" t="e">
        <f>IF($J339&gt;MAX('Match Log'!$A$4:$A$1510),NA(),IFERROR(LOOKUP(2,1/(('Match Log'!$D$4:$D$1510=$V$24)*('Match Log'!$A$4:$A$1510&lt;=$J339)),'Match Log'!$N$4:$N$1510),NA()))</f>
        <v>#N/A</v>
      </c>
      <c r="W339" t="e">
        <f>IF($J339&gt;MAX('Match Log'!$A$4:$A$1510),NA(),IFERROR(LOOKUP(2,1/(('Match Log'!$D$4:$D$1510=$W$24)*('Match Log'!$A$4:$A$1510&lt;=$J339)),'Match Log'!$N$4:$N$1510),NA()))</f>
        <v>#N/A</v>
      </c>
      <c r="X339" t="e">
        <f>IF($J339&gt;MAX('Match Log'!$A$4:$A$1510),NA(),IFERROR(LOOKUP(2,1/(('Match Log'!$D$4:$D$1510=$X$24)*('Match Log'!$A$4:$A$1510&lt;=$J339)),'Match Log'!$N$4:$N$1510),NA()))</f>
        <v>#N/A</v>
      </c>
      <c r="Y339" t="str">
        <f t="shared" ca="1" si="31"/>
        <v/>
      </c>
    </row>
    <row r="340" spans="1:25" x14ac:dyDescent="0.2">
      <c r="A340">
        <v>316</v>
      </c>
      <c r="B340" t="str">
        <f>IFERROR(INDEX('Match Log'!$B$4:$B$1510,MATCH($A340,'Match Log'!$A$4:$A$1510,0)),"")</f>
        <v/>
      </c>
      <c r="C340" t="str">
        <f>IFERROR(INDEX('Match Log'!$C$4:$C$1510,MATCH($A340,'Match Log'!$A$4:$A$1510,0)),"")</f>
        <v/>
      </c>
      <c r="D340" t="str">
        <f t="array" ref="D340">IFERROR(_xlfn.TEXTJOIN(" + ",TRUE(),IF(('Match Log'!$A$4:$A$1510=$A340)*('Match Log'!$E$4:$E$1510="Win"),'Match Log'!$D$4:$D$1510,"")),IFERROR(LOOKUP(2,1/(('Match Log'!$A$4:$A$1510=$A340)*('Match Log'!$E$4:$E$1510="Win")),'Match Log'!$D$4:$D$1510),""))</f>
        <v/>
      </c>
      <c r="E340" t="str">
        <f>IFERROR(INDEX('Match Log'!$F$4:$F$1510,MATCH($A340,'Match Log'!$A$4:$A$1510,0)),"")</f>
        <v/>
      </c>
      <c r="F340">
        <f>IFERROR(SUMIFS('Match Log'!$I$4:$I$1510,'Match Log'!$A$4:$A$1510,$A340,'Match Log'!$E$4:$E$1510,"Win"),"")</f>
        <v>0</v>
      </c>
      <c r="G340" t="str">
        <f t="shared" si="29"/>
        <v/>
      </c>
      <c r="H340" t="str">
        <f t="array" ref="H340">IFERROR(IF(COUNTIFS('Match Log'!$A$4:$A$1510,$A340,'Match Log'!$E$4:$E$1510,"Win")&gt;1,_xlfn.TEXTJOIN(" + ",TRUE(),IF(('Match Log'!$A$4:$A$1510=$A340)*('Match Log'!$E$4:$E$1510="Loss"),'Match Log'!$D$4:$D$1510,"")),IF($E340=2,LOOKUP(2,1/(('Match Log'!$A$4:$A$1510=$A340)*('Match Log'!$E$4:$E$1510="Loss")),'Match Log'!$D$4:$D$1510),"the field")),"")</f>
        <v>the field</v>
      </c>
      <c r="I340" t="str">
        <f t="shared" si="30"/>
        <v/>
      </c>
      <c r="J340">
        <v>316</v>
      </c>
      <c r="K340" t="e">
        <f>IF($J340&gt;MAX('Match Log'!$A$4:$A$1510),NA(),IFERROR(LOOKUP(2,1/(('Match Log'!$D$4:$D$1510=$K$24)*('Match Log'!$A$4:$A$1510&lt;=$J340)),'Match Log'!$N$4:$N$1510),NA()))</f>
        <v>#N/A</v>
      </c>
      <c r="L340" t="e">
        <f>IF($J340&gt;MAX('Match Log'!$A$4:$A$1510),NA(),IFERROR(LOOKUP(2,1/(('Match Log'!$D$4:$D$1510=$L$24)*('Match Log'!$A$4:$A$1510&lt;=$J340)),'Match Log'!$N$4:$N$1510),NA()))</f>
        <v>#N/A</v>
      </c>
      <c r="M340" t="e">
        <f>IF($J340&gt;MAX('Match Log'!$A$4:$A$1510),NA(),IFERROR(LOOKUP(2,1/(('Match Log'!$D$4:$D$1510=$M$24)*('Match Log'!$A$4:$A$1510&lt;=$J340)),'Match Log'!$N$4:$N$1510),NA()))</f>
        <v>#N/A</v>
      </c>
      <c r="N340" t="e">
        <f>IF($J340&gt;MAX('Match Log'!$A$4:$A$1510),NA(),IFERROR(LOOKUP(2,1/(('Match Log'!$D$4:$D$1510=$N$24)*('Match Log'!$A$4:$A$1510&lt;=$J340)),'Match Log'!$N$4:$N$1510),NA()))</f>
        <v>#N/A</v>
      </c>
      <c r="O340" t="e">
        <f>IF($J340&gt;MAX('Match Log'!$A$4:$A$1510),NA(),IFERROR(LOOKUP(2,1/(('Match Log'!$D$4:$D$1510=$O$24)*('Match Log'!$A$4:$A$1510&lt;=$J340)),'Match Log'!$N$4:$N$1510),NA()))</f>
        <v>#N/A</v>
      </c>
      <c r="P340" t="e">
        <f>IF($J340&gt;MAX('Match Log'!$A$4:$A$1510),NA(),IFERROR(LOOKUP(2,1/(('Match Log'!$D$4:$D$1510=$P$24)*('Match Log'!$A$4:$A$1510&lt;=$J340)),'Match Log'!$N$4:$N$1510),NA()))</f>
        <v>#N/A</v>
      </c>
      <c r="Q340" t="e">
        <f>IF($J340&gt;MAX('Match Log'!$A$4:$A$1510),NA(),IFERROR(LOOKUP(2,1/(('Match Log'!$D$4:$D$1510=$Q$24)*('Match Log'!$A$4:$A$1510&lt;=$J340)),'Match Log'!$N$4:$N$1510),NA()))</f>
        <v>#N/A</v>
      </c>
      <c r="R340" t="e">
        <f>IF($J340&gt;MAX('Match Log'!$A$4:$A$1510),NA(),IFERROR(LOOKUP(2,1/(('Match Log'!$D$4:$D$1510=$R$24)*('Match Log'!$A$4:$A$1510&lt;=$J340)),'Match Log'!$N$4:$N$1510),NA()))</f>
        <v>#N/A</v>
      </c>
      <c r="S340" t="e">
        <f>IF($J340&gt;MAX('Match Log'!$A$4:$A$1510),NA(),IFERROR(LOOKUP(2,1/(('Match Log'!$D$4:$D$1510=$S$24)*('Match Log'!$A$4:$A$1510&lt;=$J340)),'Match Log'!$N$4:$N$1510),NA()))</f>
        <v>#N/A</v>
      </c>
      <c r="T340" t="e">
        <f>IF($J340&gt;MAX('Match Log'!$A$4:$A$1510),NA(),IFERROR(LOOKUP(2,1/(('Match Log'!$D$4:$D$1510=$T$24)*('Match Log'!$A$4:$A$1510&lt;=$J340)),'Match Log'!$N$4:$N$1510),NA()))</f>
        <v>#N/A</v>
      </c>
      <c r="U340" t="e">
        <f>IF($J340&gt;MAX('Match Log'!$A$4:$A$1510),NA(),IFERROR(LOOKUP(2,1/(('Match Log'!$D$4:$D$1510=$U$24)*('Match Log'!$A$4:$A$1510&lt;=$J340)),'Match Log'!$N$4:$N$1510),NA()))</f>
        <v>#N/A</v>
      </c>
      <c r="V340" t="e">
        <f>IF($J340&gt;MAX('Match Log'!$A$4:$A$1510),NA(),IFERROR(LOOKUP(2,1/(('Match Log'!$D$4:$D$1510=$V$24)*('Match Log'!$A$4:$A$1510&lt;=$J340)),'Match Log'!$N$4:$N$1510),NA()))</f>
        <v>#N/A</v>
      </c>
      <c r="W340" t="e">
        <f>IF($J340&gt;MAX('Match Log'!$A$4:$A$1510),NA(),IFERROR(LOOKUP(2,1/(('Match Log'!$D$4:$D$1510=$W$24)*('Match Log'!$A$4:$A$1510&lt;=$J340)),'Match Log'!$N$4:$N$1510),NA()))</f>
        <v>#N/A</v>
      </c>
      <c r="X340" t="e">
        <f>IF($J340&gt;MAX('Match Log'!$A$4:$A$1510),NA(),IFERROR(LOOKUP(2,1/(('Match Log'!$D$4:$D$1510=$X$24)*('Match Log'!$A$4:$A$1510&lt;=$J340)),'Match Log'!$N$4:$N$1510),NA()))</f>
        <v>#N/A</v>
      </c>
      <c r="Y340" t="str">
        <f t="shared" ca="1" si="31"/>
        <v/>
      </c>
    </row>
    <row r="341" spans="1:25" x14ac:dyDescent="0.2">
      <c r="A341">
        <v>317</v>
      </c>
      <c r="B341" t="str">
        <f>IFERROR(INDEX('Match Log'!$B$4:$B$1510,MATCH($A341,'Match Log'!$A$4:$A$1510,0)),"")</f>
        <v/>
      </c>
      <c r="C341" t="str">
        <f>IFERROR(INDEX('Match Log'!$C$4:$C$1510,MATCH($A341,'Match Log'!$A$4:$A$1510,0)),"")</f>
        <v/>
      </c>
      <c r="D341" t="str">
        <f t="array" ref="D341">IFERROR(_xlfn.TEXTJOIN(" + ",TRUE(),IF(('Match Log'!$A$4:$A$1510=$A341)*('Match Log'!$E$4:$E$1510="Win"),'Match Log'!$D$4:$D$1510,"")),IFERROR(LOOKUP(2,1/(('Match Log'!$A$4:$A$1510=$A341)*('Match Log'!$E$4:$E$1510="Win")),'Match Log'!$D$4:$D$1510),""))</f>
        <v/>
      </c>
      <c r="E341" t="str">
        <f>IFERROR(INDEX('Match Log'!$F$4:$F$1510,MATCH($A341,'Match Log'!$A$4:$A$1510,0)),"")</f>
        <v/>
      </c>
      <c r="F341">
        <f>IFERROR(SUMIFS('Match Log'!$I$4:$I$1510,'Match Log'!$A$4:$A$1510,$A341,'Match Log'!$E$4:$E$1510,"Win"),"")</f>
        <v>0</v>
      </c>
      <c r="G341" t="str">
        <f t="shared" si="29"/>
        <v/>
      </c>
      <c r="H341" t="str">
        <f t="array" ref="H341">IFERROR(IF(COUNTIFS('Match Log'!$A$4:$A$1510,$A341,'Match Log'!$E$4:$E$1510,"Win")&gt;1,_xlfn.TEXTJOIN(" + ",TRUE(),IF(('Match Log'!$A$4:$A$1510=$A341)*('Match Log'!$E$4:$E$1510="Loss"),'Match Log'!$D$4:$D$1510,"")),IF($E341=2,LOOKUP(2,1/(('Match Log'!$A$4:$A$1510=$A341)*('Match Log'!$E$4:$E$1510="Loss")),'Match Log'!$D$4:$D$1510),"the field")),"")</f>
        <v>the field</v>
      </c>
      <c r="I341" t="str">
        <f t="shared" si="30"/>
        <v/>
      </c>
      <c r="J341">
        <v>317</v>
      </c>
      <c r="K341" t="e">
        <f>IF($J341&gt;MAX('Match Log'!$A$4:$A$1510),NA(),IFERROR(LOOKUP(2,1/(('Match Log'!$D$4:$D$1510=$K$24)*('Match Log'!$A$4:$A$1510&lt;=$J341)),'Match Log'!$N$4:$N$1510),NA()))</f>
        <v>#N/A</v>
      </c>
      <c r="L341" t="e">
        <f>IF($J341&gt;MAX('Match Log'!$A$4:$A$1510),NA(),IFERROR(LOOKUP(2,1/(('Match Log'!$D$4:$D$1510=$L$24)*('Match Log'!$A$4:$A$1510&lt;=$J341)),'Match Log'!$N$4:$N$1510),NA()))</f>
        <v>#N/A</v>
      </c>
      <c r="M341" t="e">
        <f>IF($J341&gt;MAX('Match Log'!$A$4:$A$1510),NA(),IFERROR(LOOKUP(2,1/(('Match Log'!$D$4:$D$1510=$M$24)*('Match Log'!$A$4:$A$1510&lt;=$J341)),'Match Log'!$N$4:$N$1510),NA()))</f>
        <v>#N/A</v>
      </c>
      <c r="N341" t="e">
        <f>IF($J341&gt;MAX('Match Log'!$A$4:$A$1510),NA(),IFERROR(LOOKUP(2,1/(('Match Log'!$D$4:$D$1510=$N$24)*('Match Log'!$A$4:$A$1510&lt;=$J341)),'Match Log'!$N$4:$N$1510),NA()))</f>
        <v>#N/A</v>
      </c>
      <c r="O341" t="e">
        <f>IF($J341&gt;MAX('Match Log'!$A$4:$A$1510),NA(),IFERROR(LOOKUP(2,1/(('Match Log'!$D$4:$D$1510=$O$24)*('Match Log'!$A$4:$A$1510&lt;=$J341)),'Match Log'!$N$4:$N$1510),NA()))</f>
        <v>#N/A</v>
      </c>
      <c r="P341" t="e">
        <f>IF($J341&gt;MAX('Match Log'!$A$4:$A$1510),NA(),IFERROR(LOOKUP(2,1/(('Match Log'!$D$4:$D$1510=$P$24)*('Match Log'!$A$4:$A$1510&lt;=$J341)),'Match Log'!$N$4:$N$1510),NA()))</f>
        <v>#N/A</v>
      </c>
      <c r="Q341" t="e">
        <f>IF($J341&gt;MAX('Match Log'!$A$4:$A$1510),NA(),IFERROR(LOOKUP(2,1/(('Match Log'!$D$4:$D$1510=$Q$24)*('Match Log'!$A$4:$A$1510&lt;=$J341)),'Match Log'!$N$4:$N$1510),NA()))</f>
        <v>#N/A</v>
      </c>
      <c r="R341" t="e">
        <f>IF($J341&gt;MAX('Match Log'!$A$4:$A$1510),NA(),IFERROR(LOOKUP(2,1/(('Match Log'!$D$4:$D$1510=$R$24)*('Match Log'!$A$4:$A$1510&lt;=$J341)),'Match Log'!$N$4:$N$1510),NA()))</f>
        <v>#N/A</v>
      </c>
      <c r="S341" t="e">
        <f>IF($J341&gt;MAX('Match Log'!$A$4:$A$1510),NA(),IFERROR(LOOKUP(2,1/(('Match Log'!$D$4:$D$1510=$S$24)*('Match Log'!$A$4:$A$1510&lt;=$J341)),'Match Log'!$N$4:$N$1510),NA()))</f>
        <v>#N/A</v>
      </c>
      <c r="T341" t="e">
        <f>IF($J341&gt;MAX('Match Log'!$A$4:$A$1510),NA(),IFERROR(LOOKUP(2,1/(('Match Log'!$D$4:$D$1510=$T$24)*('Match Log'!$A$4:$A$1510&lt;=$J341)),'Match Log'!$N$4:$N$1510),NA()))</f>
        <v>#N/A</v>
      </c>
      <c r="U341" t="e">
        <f>IF($J341&gt;MAX('Match Log'!$A$4:$A$1510),NA(),IFERROR(LOOKUP(2,1/(('Match Log'!$D$4:$D$1510=$U$24)*('Match Log'!$A$4:$A$1510&lt;=$J341)),'Match Log'!$N$4:$N$1510),NA()))</f>
        <v>#N/A</v>
      </c>
      <c r="V341" t="e">
        <f>IF($J341&gt;MAX('Match Log'!$A$4:$A$1510),NA(),IFERROR(LOOKUP(2,1/(('Match Log'!$D$4:$D$1510=$V$24)*('Match Log'!$A$4:$A$1510&lt;=$J341)),'Match Log'!$N$4:$N$1510),NA()))</f>
        <v>#N/A</v>
      </c>
      <c r="W341" t="e">
        <f>IF($J341&gt;MAX('Match Log'!$A$4:$A$1510),NA(),IFERROR(LOOKUP(2,1/(('Match Log'!$D$4:$D$1510=$W$24)*('Match Log'!$A$4:$A$1510&lt;=$J341)),'Match Log'!$N$4:$N$1510),NA()))</f>
        <v>#N/A</v>
      </c>
      <c r="X341" t="e">
        <f>IF($J341&gt;MAX('Match Log'!$A$4:$A$1510),NA(),IFERROR(LOOKUP(2,1/(('Match Log'!$D$4:$D$1510=$X$24)*('Match Log'!$A$4:$A$1510&lt;=$J341)),'Match Log'!$N$4:$N$1510),NA()))</f>
        <v>#N/A</v>
      </c>
      <c r="Y341" t="str">
        <f t="shared" ca="1" si="31"/>
        <v/>
      </c>
    </row>
    <row r="342" spans="1:25" x14ac:dyDescent="0.2">
      <c r="A342">
        <v>318</v>
      </c>
      <c r="B342" t="str">
        <f>IFERROR(INDEX('Match Log'!$B$4:$B$1510,MATCH($A342,'Match Log'!$A$4:$A$1510,0)),"")</f>
        <v/>
      </c>
      <c r="C342" t="str">
        <f>IFERROR(INDEX('Match Log'!$C$4:$C$1510,MATCH($A342,'Match Log'!$A$4:$A$1510,0)),"")</f>
        <v/>
      </c>
      <c r="D342" t="str">
        <f t="array" ref="D342">IFERROR(_xlfn.TEXTJOIN(" + ",TRUE(),IF(('Match Log'!$A$4:$A$1510=$A342)*('Match Log'!$E$4:$E$1510="Win"),'Match Log'!$D$4:$D$1510,"")),IFERROR(LOOKUP(2,1/(('Match Log'!$A$4:$A$1510=$A342)*('Match Log'!$E$4:$E$1510="Win")),'Match Log'!$D$4:$D$1510),""))</f>
        <v/>
      </c>
      <c r="E342" t="str">
        <f>IFERROR(INDEX('Match Log'!$F$4:$F$1510,MATCH($A342,'Match Log'!$A$4:$A$1510,0)),"")</f>
        <v/>
      </c>
      <c r="F342">
        <f>IFERROR(SUMIFS('Match Log'!$I$4:$I$1510,'Match Log'!$A$4:$A$1510,$A342,'Match Log'!$E$4:$E$1510,"Win"),"")</f>
        <v>0</v>
      </c>
      <c r="G342" t="str">
        <f t="shared" si="29"/>
        <v/>
      </c>
      <c r="H342" t="str">
        <f t="array" ref="H342">IFERROR(IF(COUNTIFS('Match Log'!$A$4:$A$1510,$A342,'Match Log'!$E$4:$E$1510,"Win")&gt;1,_xlfn.TEXTJOIN(" + ",TRUE(),IF(('Match Log'!$A$4:$A$1510=$A342)*('Match Log'!$E$4:$E$1510="Loss"),'Match Log'!$D$4:$D$1510,"")),IF($E342=2,LOOKUP(2,1/(('Match Log'!$A$4:$A$1510=$A342)*('Match Log'!$E$4:$E$1510="Loss")),'Match Log'!$D$4:$D$1510),"the field")),"")</f>
        <v>the field</v>
      </c>
      <c r="I342" t="str">
        <f t="shared" si="30"/>
        <v/>
      </c>
      <c r="J342">
        <v>318</v>
      </c>
      <c r="K342" t="e">
        <f>IF($J342&gt;MAX('Match Log'!$A$4:$A$1510),NA(),IFERROR(LOOKUP(2,1/(('Match Log'!$D$4:$D$1510=$K$24)*('Match Log'!$A$4:$A$1510&lt;=$J342)),'Match Log'!$N$4:$N$1510),NA()))</f>
        <v>#N/A</v>
      </c>
      <c r="L342" t="e">
        <f>IF($J342&gt;MAX('Match Log'!$A$4:$A$1510),NA(),IFERROR(LOOKUP(2,1/(('Match Log'!$D$4:$D$1510=$L$24)*('Match Log'!$A$4:$A$1510&lt;=$J342)),'Match Log'!$N$4:$N$1510),NA()))</f>
        <v>#N/A</v>
      </c>
      <c r="M342" t="e">
        <f>IF($J342&gt;MAX('Match Log'!$A$4:$A$1510),NA(),IFERROR(LOOKUP(2,1/(('Match Log'!$D$4:$D$1510=$M$24)*('Match Log'!$A$4:$A$1510&lt;=$J342)),'Match Log'!$N$4:$N$1510),NA()))</f>
        <v>#N/A</v>
      </c>
      <c r="N342" t="e">
        <f>IF($J342&gt;MAX('Match Log'!$A$4:$A$1510),NA(),IFERROR(LOOKUP(2,1/(('Match Log'!$D$4:$D$1510=$N$24)*('Match Log'!$A$4:$A$1510&lt;=$J342)),'Match Log'!$N$4:$N$1510),NA()))</f>
        <v>#N/A</v>
      </c>
      <c r="O342" t="e">
        <f>IF($J342&gt;MAX('Match Log'!$A$4:$A$1510),NA(),IFERROR(LOOKUP(2,1/(('Match Log'!$D$4:$D$1510=$O$24)*('Match Log'!$A$4:$A$1510&lt;=$J342)),'Match Log'!$N$4:$N$1510),NA()))</f>
        <v>#N/A</v>
      </c>
      <c r="P342" t="e">
        <f>IF($J342&gt;MAX('Match Log'!$A$4:$A$1510),NA(),IFERROR(LOOKUP(2,1/(('Match Log'!$D$4:$D$1510=$P$24)*('Match Log'!$A$4:$A$1510&lt;=$J342)),'Match Log'!$N$4:$N$1510),NA()))</f>
        <v>#N/A</v>
      </c>
      <c r="Q342" t="e">
        <f>IF($J342&gt;MAX('Match Log'!$A$4:$A$1510),NA(),IFERROR(LOOKUP(2,1/(('Match Log'!$D$4:$D$1510=$Q$24)*('Match Log'!$A$4:$A$1510&lt;=$J342)),'Match Log'!$N$4:$N$1510),NA()))</f>
        <v>#N/A</v>
      </c>
      <c r="R342" t="e">
        <f>IF($J342&gt;MAX('Match Log'!$A$4:$A$1510),NA(),IFERROR(LOOKUP(2,1/(('Match Log'!$D$4:$D$1510=$R$24)*('Match Log'!$A$4:$A$1510&lt;=$J342)),'Match Log'!$N$4:$N$1510),NA()))</f>
        <v>#N/A</v>
      </c>
      <c r="S342" t="e">
        <f>IF($J342&gt;MAX('Match Log'!$A$4:$A$1510),NA(),IFERROR(LOOKUP(2,1/(('Match Log'!$D$4:$D$1510=$S$24)*('Match Log'!$A$4:$A$1510&lt;=$J342)),'Match Log'!$N$4:$N$1510),NA()))</f>
        <v>#N/A</v>
      </c>
      <c r="T342" t="e">
        <f>IF($J342&gt;MAX('Match Log'!$A$4:$A$1510),NA(),IFERROR(LOOKUP(2,1/(('Match Log'!$D$4:$D$1510=$T$24)*('Match Log'!$A$4:$A$1510&lt;=$J342)),'Match Log'!$N$4:$N$1510),NA()))</f>
        <v>#N/A</v>
      </c>
      <c r="U342" t="e">
        <f>IF($J342&gt;MAX('Match Log'!$A$4:$A$1510),NA(),IFERROR(LOOKUP(2,1/(('Match Log'!$D$4:$D$1510=$U$24)*('Match Log'!$A$4:$A$1510&lt;=$J342)),'Match Log'!$N$4:$N$1510),NA()))</f>
        <v>#N/A</v>
      </c>
      <c r="V342" t="e">
        <f>IF($J342&gt;MAX('Match Log'!$A$4:$A$1510),NA(),IFERROR(LOOKUP(2,1/(('Match Log'!$D$4:$D$1510=$V$24)*('Match Log'!$A$4:$A$1510&lt;=$J342)),'Match Log'!$N$4:$N$1510),NA()))</f>
        <v>#N/A</v>
      </c>
      <c r="W342" t="e">
        <f>IF($J342&gt;MAX('Match Log'!$A$4:$A$1510),NA(),IFERROR(LOOKUP(2,1/(('Match Log'!$D$4:$D$1510=$W$24)*('Match Log'!$A$4:$A$1510&lt;=$J342)),'Match Log'!$N$4:$N$1510),NA()))</f>
        <v>#N/A</v>
      </c>
      <c r="X342" t="e">
        <f>IF($J342&gt;MAX('Match Log'!$A$4:$A$1510),NA(),IFERROR(LOOKUP(2,1/(('Match Log'!$D$4:$D$1510=$X$24)*('Match Log'!$A$4:$A$1510&lt;=$J342)),'Match Log'!$N$4:$N$1510),NA()))</f>
        <v>#N/A</v>
      </c>
      <c r="Y342" t="str">
        <f t="shared" ca="1" si="31"/>
        <v/>
      </c>
    </row>
    <row r="343" spans="1:25" x14ac:dyDescent="0.2">
      <c r="A343">
        <v>319</v>
      </c>
      <c r="B343" t="str">
        <f>IFERROR(INDEX('Match Log'!$B$4:$B$1510,MATCH($A343,'Match Log'!$A$4:$A$1510,0)),"")</f>
        <v/>
      </c>
      <c r="C343" t="str">
        <f>IFERROR(INDEX('Match Log'!$C$4:$C$1510,MATCH($A343,'Match Log'!$A$4:$A$1510,0)),"")</f>
        <v/>
      </c>
      <c r="D343" t="str">
        <f t="array" ref="D343">IFERROR(_xlfn.TEXTJOIN(" + ",TRUE(),IF(('Match Log'!$A$4:$A$1510=$A343)*('Match Log'!$E$4:$E$1510="Win"),'Match Log'!$D$4:$D$1510,"")),IFERROR(LOOKUP(2,1/(('Match Log'!$A$4:$A$1510=$A343)*('Match Log'!$E$4:$E$1510="Win")),'Match Log'!$D$4:$D$1510),""))</f>
        <v/>
      </c>
      <c r="E343" t="str">
        <f>IFERROR(INDEX('Match Log'!$F$4:$F$1510,MATCH($A343,'Match Log'!$A$4:$A$1510,0)),"")</f>
        <v/>
      </c>
      <c r="F343">
        <f>IFERROR(SUMIFS('Match Log'!$I$4:$I$1510,'Match Log'!$A$4:$A$1510,$A343,'Match Log'!$E$4:$E$1510,"Win"),"")</f>
        <v>0</v>
      </c>
      <c r="G343" t="str">
        <f t="shared" si="29"/>
        <v/>
      </c>
      <c r="H343" t="str">
        <f t="array" ref="H343">IFERROR(IF(COUNTIFS('Match Log'!$A$4:$A$1510,$A343,'Match Log'!$E$4:$E$1510,"Win")&gt;1,_xlfn.TEXTJOIN(" + ",TRUE(),IF(('Match Log'!$A$4:$A$1510=$A343)*('Match Log'!$E$4:$E$1510="Loss"),'Match Log'!$D$4:$D$1510,"")),IF($E343=2,LOOKUP(2,1/(('Match Log'!$A$4:$A$1510=$A343)*('Match Log'!$E$4:$E$1510="Loss")),'Match Log'!$D$4:$D$1510),"the field")),"")</f>
        <v>the field</v>
      </c>
      <c r="I343" t="str">
        <f t="shared" si="30"/>
        <v/>
      </c>
      <c r="J343">
        <v>319</v>
      </c>
      <c r="K343" t="e">
        <f>IF($J343&gt;MAX('Match Log'!$A$4:$A$1510),NA(),IFERROR(LOOKUP(2,1/(('Match Log'!$D$4:$D$1510=$K$24)*('Match Log'!$A$4:$A$1510&lt;=$J343)),'Match Log'!$N$4:$N$1510),NA()))</f>
        <v>#N/A</v>
      </c>
      <c r="L343" t="e">
        <f>IF($J343&gt;MAX('Match Log'!$A$4:$A$1510),NA(),IFERROR(LOOKUP(2,1/(('Match Log'!$D$4:$D$1510=$L$24)*('Match Log'!$A$4:$A$1510&lt;=$J343)),'Match Log'!$N$4:$N$1510),NA()))</f>
        <v>#N/A</v>
      </c>
      <c r="M343" t="e">
        <f>IF($J343&gt;MAX('Match Log'!$A$4:$A$1510),NA(),IFERROR(LOOKUP(2,1/(('Match Log'!$D$4:$D$1510=$M$24)*('Match Log'!$A$4:$A$1510&lt;=$J343)),'Match Log'!$N$4:$N$1510),NA()))</f>
        <v>#N/A</v>
      </c>
      <c r="N343" t="e">
        <f>IF($J343&gt;MAX('Match Log'!$A$4:$A$1510),NA(),IFERROR(LOOKUP(2,1/(('Match Log'!$D$4:$D$1510=$N$24)*('Match Log'!$A$4:$A$1510&lt;=$J343)),'Match Log'!$N$4:$N$1510),NA()))</f>
        <v>#N/A</v>
      </c>
      <c r="O343" t="e">
        <f>IF($J343&gt;MAX('Match Log'!$A$4:$A$1510),NA(),IFERROR(LOOKUP(2,1/(('Match Log'!$D$4:$D$1510=$O$24)*('Match Log'!$A$4:$A$1510&lt;=$J343)),'Match Log'!$N$4:$N$1510),NA()))</f>
        <v>#N/A</v>
      </c>
      <c r="P343" t="e">
        <f>IF($J343&gt;MAX('Match Log'!$A$4:$A$1510),NA(),IFERROR(LOOKUP(2,1/(('Match Log'!$D$4:$D$1510=$P$24)*('Match Log'!$A$4:$A$1510&lt;=$J343)),'Match Log'!$N$4:$N$1510),NA()))</f>
        <v>#N/A</v>
      </c>
      <c r="Q343" t="e">
        <f>IF($J343&gt;MAX('Match Log'!$A$4:$A$1510),NA(),IFERROR(LOOKUP(2,1/(('Match Log'!$D$4:$D$1510=$Q$24)*('Match Log'!$A$4:$A$1510&lt;=$J343)),'Match Log'!$N$4:$N$1510),NA()))</f>
        <v>#N/A</v>
      </c>
      <c r="R343" t="e">
        <f>IF($J343&gt;MAX('Match Log'!$A$4:$A$1510),NA(),IFERROR(LOOKUP(2,1/(('Match Log'!$D$4:$D$1510=$R$24)*('Match Log'!$A$4:$A$1510&lt;=$J343)),'Match Log'!$N$4:$N$1510),NA()))</f>
        <v>#N/A</v>
      </c>
      <c r="S343" t="e">
        <f>IF($J343&gt;MAX('Match Log'!$A$4:$A$1510),NA(),IFERROR(LOOKUP(2,1/(('Match Log'!$D$4:$D$1510=$S$24)*('Match Log'!$A$4:$A$1510&lt;=$J343)),'Match Log'!$N$4:$N$1510),NA()))</f>
        <v>#N/A</v>
      </c>
      <c r="T343" t="e">
        <f>IF($J343&gt;MAX('Match Log'!$A$4:$A$1510),NA(),IFERROR(LOOKUP(2,1/(('Match Log'!$D$4:$D$1510=$T$24)*('Match Log'!$A$4:$A$1510&lt;=$J343)),'Match Log'!$N$4:$N$1510),NA()))</f>
        <v>#N/A</v>
      </c>
      <c r="U343" t="e">
        <f>IF($J343&gt;MAX('Match Log'!$A$4:$A$1510),NA(),IFERROR(LOOKUP(2,1/(('Match Log'!$D$4:$D$1510=$U$24)*('Match Log'!$A$4:$A$1510&lt;=$J343)),'Match Log'!$N$4:$N$1510),NA()))</f>
        <v>#N/A</v>
      </c>
      <c r="V343" t="e">
        <f>IF($J343&gt;MAX('Match Log'!$A$4:$A$1510),NA(),IFERROR(LOOKUP(2,1/(('Match Log'!$D$4:$D$1510=$V$24)*('Match Log'!$A$4:$A$1510&lt;=$J343)),'Match Log'!$N$4:$N$1510),NA()))</f>
        <v>#N/A</v>
      </c>
      <c r="W343" t="e">
        <f>IF($J343&gt;MAX('Match Log'!$A$4:$A$1510),NA(),IFERROR(LOOKUP(2,1/(('Match Log'!$D$4:$D$1510=$W$24)*('Match Log'!$A$4:$A$1510&lt;=$J343)),'Match Log'!$N$4:$N$1510),NA()))</f>
        <v>#N/A</v>
      </c>
      <c r="X343" t="e">
        <f>IF($J343&gt;MAX('Match Log'!$A$4:$A$1510),NA(),IFERROR(LOOKUP(2,1/(('Match Log'!$D$4:$D$1510=$X$24)*('Match Log'!$A$4:$A$1510&lt;=$J343)),'Match Log'!$N$4:$N$1510),NA()))</f>
        <v>#N/A</v>
      </c>
      <c r="Y343" t="str">
        <f t="shared" ca="1" si="31"/>
        <v/>
      </c>
    </row>
    <row r="344" spans="1:25" x14ac:dyDescent="0.2">
      <c r="A344">
        <v>320</v>
      </c>
      <c r="B344" t="str">
        <f>IFERROR(INDEX('Match Log'!$B$4:$B$1510,MATCH($A344,'Match Log'!$A$4:$A$1510,0)),"")</f>
        <v/>
      </c>
      <c r="C344" t="str">
        <f>IFERROR(INDEX('Match Log'!$C$4:$C$1510,MATCH($A344,'Match Log'!$A$4:$A$1510,0)),"")</f>
        <v/>
      </c>
      <c r="D344" t="str">
        <f t="array" ref="D344">IFERROR(_xlfn.TEXTJOIN(" + ",TRUE(),IF(('Match Log'!$A$4:$A$1510=$A344)*('Match Log'!$E$4:$E$1510="Win"),'Match Log'!$D$4:$D$1510,"")),IFERROR(LOOKUP(2,1/(('Match Log'!$A$4:$A$1510=$A344)*('Match Log'!$E$4:$E$1510="Win")),'Match Log'!$D$4:$D$1510),""))</f>
        <v/>
      </c>
      <c r="E344" t="str">
        <f>IFERROR(INDEX('Match Log'!$F$4:$F$1510,MATCH($A344,'Match Log'!$A$4:$A$1510,0)),"")</f>
        <v/>
      </c>
      <c r="F344">
        <f>IFERROR(SUMIFS('Match Log'!$I$4:$I$1510,'Match Log'!$A$4:$A$1510,$A344,'Match Log'!$E$4:$E$1510,"Win"),"")</f>
        <v>0</v>
      </c>
      <c r="G344" t="str">
        <f t="shared" si="29"/>
        <v/>
      </c>
      <c r="H344" t="str">
        <f t="array" ref="H344">IFERROR(IF(COUNTIFS('Match Log'!$A$4:$A$1510,$A344,'Match Log'!$E$4:$E$1510,"Win")&gt;1,_xlfn.TEXTJOIN(" + ",TRUE(),IF(('Match Log'!$A$4:$A$1510=$A344)*('Match Log'!$E$4:$E$1510="Loss"),'Match Log'!$D$4:$D$1510,"")),IF($E344=2,LOOKUP(2,1/(('Match Log'!$A$4:$A$1510=$A344)*('Match Log'!$E$4:$E$1510="Loss")),'Match Log'!$D$4:$D$1510),"the field")),"")</f>
        <v>the field</v>
      </c>
      <c r="I344" t="str">
        <f t="shared" si="30"/>
        <v/>
      </c>
      <c r="J344">
        <v>320</v>
      </c>
      <c r="K344" t="e">
        <f>IF($J344&gt;MAX('Match Log'!$A$4:$A$1510),NA(),IFERROR(LOOKUP(2,1/(('Match Log'!$D$4:$D$1510=$K$24)*('Match Log'!$A$4:$A$1510&lt;=$J344)),'Match Log'!$N$4:$N$1510),NA()))</f>
        <v>#N/A</v>
      </c>
      <c r="L344" t="e">
        <f>IF($J344&gt;MAX('Match Log'!$A$4:$A$1510),NA(),IFERROR(LOOKUP(2,1/(('Match Log'!$D$4:$D$1510=$L$24)*('Match Log'!$A$4:$A$1510&lt;=$J344)),'Match Log'!$N$4:$N$1510),NA()))</f>
        <v>#N/A</v>
      </c>
      <c r="M344" t="e">
        <f>IF($J344&gt;MAX('Match Log'!$A$4:$A$1510),NA(),IFERROR(LOOKUP(2,1/(('Match Log'!$D$4:$D$1510=$M$24)*('Match Log'!$A$4:$A$1510&lt;=$J344)),'Match Log'!$N$4:$N$1510),NA()))</f>
        <v>#N/A</v>
      </c>
      <c r="N344" t="e">
        <f>IF($J344&gt;MAX('Match Log'!$A$4:$A$1510),NA(),IFERROR(LOOKUP(2,1/(('Match Log'!$D$4:$D$1510=$N$24)*('Match Log'!$A$4:$A$1510&lt;=$J344)),'Match Log'!$N$4:$N$1510),NA()))</f>
        <v>#N/A</v>
      </c>
      <c r="O344" t="e">
        <f>IF($J344&gt;MAX('Match Log'!$A$4:$A$1510),NA(),IFERROR(LOOKUP(2,1/(('Match Log'!$D$4:$D$1510=$O$24)*('Match Log'!$A$4:$A$1510&lt;=$J344)),'Match Log'!$N$4:$N$1510),NA()))</f>
        <v>#N/A</v>
      </c>
      <c r="P344" t="e">
        <f>IF($J344&gt;MAX('Match Log'!$A$4:$A$1510),NA(),IFERROR(LOOKUP(2,1/(('Match Log'!$D$4:$D$1510=$P$24)*('Match Log'!$A$4:$A$1510&lt;=$J344)),'Match Log'!$N$4:$N$1510),NA()))</f>
        <v>#N/A</v>
      </c>
      <c r="Q344" t="e">
        <f>IF($J344&gt;MAX('Match Log'!$A$4:$A$1510),NA(),IFERROR(LOOKUP(2,1/(('Match Log'!$D$4:$D$1510=$Q$24)*('Match Log'!$A$4:$A$1510&lt;=$J344)),'Match Log'!$N$4:$N$1510),NA()))</f>
        <v>#N/A</v>
      </c>
      <c r="R344" t="e">
        <f>IF($J344&gt;MAX('Match Log'!$A$4:$A$1510),NA(),IFERROR(LOOKUP(2,1/(('Match Log'!$D$4:$D$1510=$R$24)*('Match Log'!$A$4:$A$1510&lt;=$J344)),'Match Log'!$N$4:$N$1510),NA()))</f>
        <v>#N/A</v>
      </c>
      <c r="S344" t="e">
        <f>IF($J344&gt;MAX('Match Log'!$A$4:$A$1510),NA(),IFERROR(LOOKUP(2,1/(('Match Log'!$D$4:$D$1510=$S$24)*('Match Log'!$A$4:$A$1510&lt;=$J344)),'Match Log'!$N$4:$N$1510),NA()))</f>
        <v>#N/A</v>
      </c>
      <c r="T344" t="e">
        <f>IF($J344&gt;MAX('Match Log'!$A$4:$A$1510),NA(),IFERROR(LOOKUP(2,1/(('Match Log'!$D$4:$D$1510=$T$24)*('Match Log'!$A$4:$A$1510&lt;=$J344)),'Match Log'!$N$4:$N$1510),NA()))</f>
        <v>#N/A</v>
      </c>
      <c r="U344" t="e">
        <f>IF($J344&gt;MAX('Match Log'!$A$4:$A$1510),NA(),IFERROR(LOOKUP(2,1/(('Match Log'!$D$4:$D$1510=$U$24)*('Match Log'!$A$4:$A$1510&lt;=$J344)),'Match Log'!$N$4:$N$1510),NA()))</f>
        <v>#N/A</v>
      </c>
      <c r="V344" t="e">
        <f>IF($J344&gt;MAX('Match Log'!$A$4:$A$1510),NA(),IFERROR(LOOKUP(2,1/(('Match Log'!$D$4:$D$1510=$V$24)*('Match Log'!$A$4:$A$1510&lt;=$J344)),'Match Log'!$N$4:$N$1510),NA()))</f>
        <v>#N/A</v>
      </c>
      <c r="W344" t="e">
        <f>IF($J344&gt;MAX('Match Log'!$A$4:$A$1510),NA(),IFERROR(LOOKUP(2,1/(('Match Log'!$D$4:$D$1510=$W$24)*('Match Log'!$A$4:$A$1510&lt;=$J344)),'Match Log'!$N$4:$N$1510),NA()))</f>
        <v>#N/A</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1217.5573388632245</v>
      </c>
      <c r="C2">
        <f>IFERROR(SUMPRODUCT(INDEX('Head-to-Head'!$B$22:$O$35,1,0),$D$2:$Q$2)/SUM(INDEX('Head-to-Head'!$B$22:$O$35,1,0)),"")</f>
        <v>1123.3386571798642</v>
      </c>
      <c r="D2">
        <f>$B$2</f>
        <v>1217.5573388632245</v>
      </c>
      <c r="E2">
        <f>$B$3</f>
        <v>1029.5175965335138</v>
      </c>
      <c r="F2">
        <f>$B$4</f>
        <v>1081.2287215286424</v>
      </c>
      <c r="G2">
        <f>$B$5</f>
        <v>907.03133644117429</v>
      </c>
      <c r="H2">
        <f>$B$6</f>
        <v>1233.497020705217</v>
      </c>
      <c r="I2">
        <f>$B$7</f>
        <v>1132.8537274164212</v>
      </c>
      <c r="J2">
        <f>$B$8</f>
        <v>1215.996181687143</v>
      </c>
      <c r="K2">
        <f>$B$9</f>
        <v>1180.164112777554</v>
      </c>
      <c r="L2">
        <f>$B$10</f>
        <v>1217.9015417269482</v>
      </c>
      <c r="M2">
        <f>$B$11</f>
        <v>862.22294373677494</v>
      </c>
      <c r="N2">
        <f>$B$12</f>
        <v>968.26132335618615</v>
      </c>
      <c r="O2">
        <f>$B$13</f>
        <v>1087.5488947064855</v>
      </c>
      <c r="P2">
        <f>$B$14</f>
        <v>1023.2192605207141</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1093.9220605220819</v>
      </c>
    </row>
    <row r="4" spans="1:17" ht="15" customHeight="1" x14ac:dyDescent="0.2">
      <c r="A4" t="s">
        <v>17</v>
      </c>
      <c r="B4">
        <f>IF(COUNTIF('Match Log'!$D$4:$D$1510,$A4)=0,'Guide &amp; Settings'!$C$41,IFERROR(LOOKUP(2,1/('Match Log'!$D$4:$D$1510=$A4),'Match Log'!$N$4:$N$1510),'Guide &amp; Settings'!$C$41))</f>
        <v>1081.2287215286424</v>
      </c>
      <c r="C4">
        <f>IFERROR(SUMPRODUCT(INDEX('Head-to-Head'!$B$22:$O$35,3,0),$D$2:$Q$2)/SUM(INDEX('Head-to-Head'!$B$22:$O$35,3,0)),"")</f>
        <v>1127.400685202153</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1159.2986464389289</v>
      </c>
    </row>
    <row r="6" spans="1:17" ht="15" customHeight="1" x14ac:dyDescent="0.2">
      <c r="A6" t="s">
        <v>19</v>
      </c>
      <c r="B6">
        <f>IF(COUNTIF('Match Log'!$D$4:$D$1510,$A6)=0,'Guide &amp; Settings'!$C$41,IFERROR(LOOKUP(2,1/('Match Log'!$D$4:$D$1510=$A6),'Match Log'!$N$4:$N$1510),'Guide &amp; Settings'!$C$41))</f>
        <v>1233.497020705217</v>
      </c>
      <c r="C6">
        <f>IFERROR(SUMPRODUCT(INDEX('Head-to-Head'!$B$22:$O$35,5,0),$D$2:$Q$2)/SUM(INDEX('Head-to-Head'!$B$22:$O$35,5,0)),"")</f>
        <v>1122.8870443335802</v>
      </c>
    </row>
    <row r="7" spans="1:17" ht="15" customHeight="1" x14ac:dyDescent="0.2">
      <c r="A7" t="s">
        <v>20</v>
      </c>
      <c r="B7">
        <f>IF(COUNTIF('Match Log'!$D$4:$D$1510,$A7)=0,'Guide &amp; Settings'!$C$41,IFERROR(LOOKUP(2,1/('Match Log'!$D$4:$D$1510=$A7),'Match Log'!$N$4:$N$1510),'Guide &amp; Settings'!$C$41))</f>
        <v>1132.8537274164212</v>
      </c>
      <c r="C7">
        <f>IFERROR(SUMPRODUCT(INDEX('Head-to-Head'!$B$22:$O$35,6,0),$D$2:$Q$2)/SUM(INDEX('Head-to-Head'!$B$22:$O$35,6,0)),"")</f>
        <v>1144.9300050548341</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1071.5000984207491</v>
      </c>
    </row>
    <row r="9" spans="1:17" ht="15" customHeight="1" x14ac:dyDescent="0.2">
      <c r="A9" t="s">
        <v>22</v>
      </c>
      <c r="B9">
        <f>IF(COUNTIF('Match Log'!$D$4:$D$1510,$A9)=0,'Guide &amp; Settings'!$C$41,IFERROR(LOOKUP(2,1/('Match Log'!$D$4:$D$1510=$A9),'Match Log'!$N$4:$N$1510),'Guide &amp; Settings'!$C$41))</f>
        <v>1180.164112777554</v>
      </c>
      <c r="C9">
        <f>IFERROR(SUMPRODUCT(INDEX('Head-to-Head'!$B$22:$O$35,8,0),$D$2:$Q$2)/SUM(INDEX('Head-to-Head'!$B$22:$O$35,8,0)),"")</f>
        <v>1143.4731534680354</v>
      </c>
    </row>
    <row r="10" spans="1:17" ht="15" customHeight="1" x14ac:dyDescent="0.2">
      <c r="A10" t="s">
        <v>23</v>
      </c>
      <c r="B10">
        <f>IF(COUNTIF('Match Log'!$D$4:$D$1510,$A10)=0,'Guide &amp; Settings'!$C$41,IFERROR(LOOKUP(2,1/('Match Log'!$D$4:$D$1510=$A10),'Match Log'!$N$4:$N$1510),'Guide &amp; Settings'!$C$41))</f>
        <v>1217.9015417269482</v>
      </c>
      <c r="C10">
        <f>IFERROR(SUMPRODUCT(INDEX('Head-to-Head'!$B$22:$O$35,9,0),$D$2:$Q$2)/SUM(INDEX('Head-to-Head'!$B$22:$O$35,9,0)),"")</f>
        <v>1128.6162246665585</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1126.981824789618</v>
      </c>
    </row>
    <row r="12" spans="1:17" ht="15" customHeight="1" x14ac:dyDescent="0.2">
      <c r="A12" t="s">
        <v>25</v>
      </c>
      <c r="B12">
        <f>IF(COUNTIF('Match Log'!$D$4:$D$1510,$A12)=0,'Guide &amp; Settings'!$C$41,IFERROR(LOOKUP(2,1/('Match Log'!$D$4:$D$1510=$A12),'Match Log'!$N$4:$N$1510),'Guide &amp; Settings'!$C$41))</f>
        <v>968.26132335618615</v>
      </c>
      <c r="C12">
        <f>IFERROR(SUMPRODUCT(INDEX('Head-to-Head'!$B$22:$O$35,11,0),$D$2:$Q$2)/SUM(INDEX('Head-to-Head'!$B$22:$O$35,11,0)),"")</f>
        <v>1152.1620835642163</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1070.0329344029183</v>
      </c>
    </row>
    <row r="14" spans="1:17" ht="15" customHeight="1" x14ac:dyDescent="0.2">
      <c r="A14" t="s">
        <v>27</v>
      </c>
      <c r="B14">
        <f>IF(COUNTIF('Match Log'!$D$4:$D$1510,$A14)=0,'Guide &amp; Settings'!$C$41,IFERROR(LOOKUP(2,1/('Match Log'!$D$4:$D$1510=$A14),'Match Log'!$N$4:$N$1510),'Guide &amp; Settings'!$C$41))</f>
        <v>1023.2192605207141</v>
      </c>
      <c r="C14">
        <f>IFERROR(SUMPRODUCT(INDEX('Head-to-Head'!$B$22:$O$35,13,0),$D$2:$Q$2)/SUM(INDEX('Head-to-Head'!$B$22:$O$35,13,0)),"")</f>
        <v>1106.5053382716901</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2026-09-27T04:27:41Z</dcterms:modified>
  <dc:language>en-US</dc:language>
</cp:coreProperties>
</file>