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32FB6673-848D-B24C-B768-4C969083E450}"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27" i="13"/>
  <c r="H327" i="13" s="1" a="1"/>
  <c r="H327" i="13" s="1"/>
  <c r="E328" i="13"/>
  <c r="H328" i="13" s="1" a="1"/>
  <c r="H328" i="13" s="1"/>
  <c r="E329" i="13"/>
  <c r="E330" i="13"/>
  <c r="E331" i="13"/>
  <c r="E332" i="13"/>
  <c r="E333" i="13"/>
  <c r="E334" i="13"/>
  <c r="E335" i="13"/>
  <c r="E336" i="13"/>
  <c r="E337" i="13"/>
  <c r="E338" i="13"/>
  <c r="E339" i="13"/>
  <c r="E340" i="13"/>
  <c r="E341" i="13"/>
  <c r="H341" i="13" s="1" a="1"/>
  <c r="H341" i="13" s="1"/>
  <c r="E342" i="13"/>
  <c r="H342" i="13" s="1" a="1"/>
  <c r="H342" i="13" s="1"/>
  <c r="E343" i="13"/>
  <c r="H343" i="13" s="1" a="1"/>
  <c r="H343" i="13" s="1"/>
  <c r="E344" i="13"/>
  <c r="H344" i="13" s="1" a="1"/>
  <c r="H344" i="13" s="1"/>
  <c r="E345" i="13"/>
  <c r="E346" i="13"/>
  <c r="E347" i="13"/>
  <c r="E348" i="13"/>
  <c r="E349" i="13"/>
  <c r="E350" i="13"/>
  <c r="E351" i="13"/>
  <c r="E352" i="13"/>
  <c r="E353" i="13"/>
  <c r="E354" i="13"/>
  <c r="E355" i="13"/>
  <c r="H355" i="13" s="1" a="1"/>
  <c r="H355" i="13" s="1"/>
  <c r="E356" i="13"/>
  <c r="H356" i="13" s="1" a="1"/>
  <c r="H356" i="13" s="1"/>
  <c r="E357" i="13"/>
  <c r="H357" i="13" s="1" a="1"/>
  <c r="H357" i="13" s="1"/>
  <c r="E358" i="13"/>
  <c r="H358" i="13" s="1" a="1"/>
  <c r="H358" i="13" s="1"/>
  <c r="E359" i="13"/>
  <c r="H359" i="13" s="1" a="1"/>
  <c r="H359" i="13" s="1"/>
  <c r="E360" i="13"/>
  <c r="H360" i="13" s="1" a="1"/>
  <c r="H360" i="13" s="1"/>
  <c r="E361" i="13"/>
  <c r="H361" i="13" s="1" a="1"/>
  <c r="H361" i="13" s="1"/>
  <c r="E362" i="13"/>
  <c r="H362" i="13" s="1" a="1"/>
  <c r="H362" i="13" s="1"/>
  <c r="E363" i="13"/>
  <c r="H363" i="13" s="1" a="1"/>
  <c r="H363" i="13" s="1"/>
  <c r="E364" i="13"/>
  <c r="H364" i="13" s="1" a="1"/>
  <c r="H364" i="13" s="1"/>
  <c r="E365" i="13"/>
  <c r="H365" i="13" s="1" a="1"/>
  <c r="H365" i="13" s="1"/>
  <c r="E366" i="13"/>
  <c r="H366" i="13" s="1" a="1"/>
  <c r="H366" i="13" s="1"/>
  <c r="E367" i="13"/>
  <c r="H367" i="13" s="1" a="1"/>
  <c r="H367" i="13" s="1"/>
  <c r="E368" i="13"/>
  <c r="H368" i="13" s="1" a="1"/>
  <c r="H368" i="13" s="1"/>
  <c r="E369" i="13"/>
  <c r="H369" i="13" s="1" a="1"/>
  <c r="H369" i="13" s="1"/>
  <c r="E370" i="13"/>
  <c r="H370" i="13" s="1" a="1"/>
  <c r="H370" i="13" s="1"/>
  <c r="E371" i="13"/>
  <c r="E372" i="13"/>
  <c r="E373" i="13"/>
  <c r="H373" i="13" s="1" a="1"/>
  <c r="H373" i="13" s="1"/>
  <c r="E374" i="13"/>
  <c r="H374" i="13" s="1" a="1"/>
  <c r="H374" i="13" s="1"/>
  <c r="E375" i="13"/>
  <c r="H375" i="13" s="1" a="1"/>
  <c r="H375" i="13" s="1"/>
  <c r="E376" i="13"/>
  <c r="H376" i="13" s="1" a="1"/>
  <c r="H376" i="13" s="1"/>
  <c r="E377" i="13"/>
  <c r="E378" i="13"/>
  <c r="E379" i="13"/>
  <c r="E380" i="13"/>
  <c r="E381" i="13"/>
  <c r="E382" i="13"/>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E506" i="13"/>
  <c r="E507" i="13"/>
  <c r="E508" i="13"/>
  <c r="H508" i="13" s="1" a="1"/>
  <c r="H508" i="13" s="1"/>
  <c r="E509" i="13"/>
  <c r="H509" i="13" s="1" a="1"/>
  <c r="H509" i="13" s="1"/>
  <c r="E510" i="13"/>
  <c r="H510" i="13" s="1" a="1"/>
  <c r="H510" i="13" s="1"/>
  <c r="E511" i="13"/>
  <c r="E512" i="13"/>
  <c r="E513" i="13"/>
  <c r="H513" i="13" s="1" a="1"/>
  <c r="H513" i="13" s="1"/>
  <c r="E514" i="13"/>
  <c r="H514" i="13" s="1" a="1"/>
  <c r="H514" i="13" s="1"/>
  <c r="E515" i="13"/>
  <c r="H515" i="13" s="1" a="1"/>
  <c r="H515" i="13" s="1"/>
  <c r="E516" i="13"/>
  <c r="H516" i="13" s="1" a="1"/>
  <c r="H516" i="13" s="1"/>
  <c r="E517" i="13"/>
  <c r="E518" i="13"/>
  <c r="H518" i="13" s="1" a="1"/>
  <c r="H518" i="13" s="1"/>
  <c r="E519" i="13"/>
  <c r="H519" i="13" s="1" a="1"/>
  <c r="H519" i="13" s="1"/>
  <c r="E520" i="13"/>
  <c r="H520" i="13" s="1" a="1"/>
  <c r="H520" i="13" s="1"/>
  <c r="E521" i="13"/>
  <c r="H521" i="13" s="1" a="1"/>
  <c r="H521" i="13" s="1"/>
  <c r="E522" i="13"/>
  <c r="H522" i="13" s="1" a="1"/>
  <c r="H522" i="13" s="1"/>
  <c r="E523" i="13"/>
  <c r="E524" i="13"/>
  <c r="E525" i="13"/>
  <c r="E526" i="13"/>
  <c r="E527" i="13"/>
  <c r="H527" i="13" s="1" a="1"/>
  <c r="H527" i="13" s="1"/>
  <c r="E528" i="13"/>
  <c r="E529" i="13"/>
  <c r="H529" i="13" s="1" a="1"/>
  <c r="H529" i="13" s="1"/>
  <c r="E530" i="13"/>
  <c r="H530" i="13" s="1" a="1"/>
  <c r="H530" i="13" s="1"/>
  <c r="E531" i="13"/>
  <c r="H531" i="13" s="1" a="1"/>
  <c r="H531" i="13" s="1"/>
  <c r="E532" i="13"/>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E547" i="13"/>
  <c r="E548" i="13"/>
  <c r="E549" i="13"/>
  <c r="E550" i="13"/>
  <c r="E551" i="13"/>
  <c r="H551" i="13" s="1" a="1"/>
  <c r="H551" i="13" s="1"/>
  <c r="E552" i="13"/>
  <c r="H552" i="13" s="1" a="1"/>
  <c r="H552" i="13" s="1"/>
  <c r="E553" i="13"/>
  <c r="E554" i="13"/>
  <c r="E555" i="13"/>
  <c r="H555" i="13" s="1" a="1"/>
  <c r="H555" i="13" s="1"/>
  <c r="E556" i="13"/>
  <c r="H556" i="13" s="1" a="1"/>
  <c r="H556" i="13" s="1"/>
  <c r="E557" i="13"/>
  <c r="H557" i="13" s="1" a="1"/>
  <c r="H557" i="13" s="1"/>
  <c r="E558" i="13"/>
  <c r="E559" i="13"/>
  <c r="E560" i="13"/>
  <c r="E561" i="13"/>
  <c r="E562" i="13"/>
  <c r="E563" i="13"/>
  <c r="E564" i="13"/>
  <c r="E565" i="13"/>
  <c r="E566" i="13"/>
  <c r="H566" i="13" s="1" a="1"/>
  <c r="H566" i="13" s="1"/>
  <c r="E567" i="13"/>
  <c r="H567" i="13" s="1" a="1"/>
  <c r="H567" i="13" s="1"/>
  <c r="E568" i="13"/>
  <c r="H568" i="13" s="1" a="1"/>
  <c r="H568" i="13" s="1"/>
  <c r="E569" i="13"/>
  <c r="E570" i="13"/>
  <c r="E571" i="13"/>
  <c r="E572" i="13"/>
  <c r="E573" i="13"/>
  <c r="E574" i="13"/>
  <c r="E575" i="13"/>
  <c r="H575" i="13" s="1" a="1"/>
  <c r="H575" i="13" s="1"/>
  <c r="E576" i="13"/>
  <c r="H576" i="13" s="1" a="1"/>
  <c r="H576" i="13" s="1"/>
  <c r="E577" i="13"/>
  <c r="H577" i="13" s="1" a="1"/>
  <c r="H577" i="13" s="1"/>
  <c r="E578" i="13"/>
  <c r="H578" i="13" s="1" a="1"/>
  <c r="H578" i="13" s="1"/>
  <c r="E579" i="13"/>
  <c r="H579" i="13" s="1" a="1"/>
  <c r="H579" i="13" s="1"/>
  <c r="E580" i="13"/>
  <c r="E581" i="13"/>
  <c r="E582" i="13"/>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E629" i="13"/>
  <c r="E630" i="13"/>
  <c r="E631" i="13"/>
  <c r="E632" i="13"/>
  <c r="E633" i="13"/>
  <c r="E634" i="13"/>
  <c r="E635" i="13"/>
  <c r="E636" i="13"/>
  <c r="E637" i="13"/>
  <c r="E638" i="13"/>
  <c r="E639" i="13"/>
  <c r="H639" i="13" s="1" a="1"/>
  <c r="H639" i="13" s="1"/>
  <c r="E640" i="13"/>
  <c r="H640" i="13" s="1" a="1"/>
  <c r="H640" i="13" s="1"/>
  <c r="E641" i="13"/>
  <c r="H641" i="13" s="1" a="1"/>
  <c r="H641" i="13" s="1"/>
  <c r="E642" i="13"/>
  <c r="E643" i="13"/>
  <c r="E644" i="13"/>
  <c r="E645" i="13"/>
  <c r="E646" i="13"/>
  <c r="E647" i="13"/>
  <c r="H647" i="13" s="1" a="1"/>
  <c r="H647" i="13" s="1"/>
  <c r="E648" i="13"/>
  <c r="H648" i="13" s="1" a="1"/>
  <c r="H648" i="13" s="1"/>
  <c r="E649" i="13"/>
  <c r="E650" i="13"/>
  <c r="E651" i="13"/>
  <c r="E652" i="13"/>
  <c r="E653" i="13"/>
  <c r="E654" i="13"/>
  <c r="E655" i="13"/>
  <c r="H655" i="13" s="1" a="1"/>
  <c r="H655" i="13" s="1"/>
  <c r="E656" i="13"/>
  <c r="E657" i="13"/>
  <c r="E658" i="13"/>
  <c r="E659" i="13"/>
  <c r="E660" i="13"/>
  <c r="E661" i="13"/>
  <c r="H661" i="13" s="1" a="1"/>
  <c r="H661" i="13" s="1"/>
  <c r="E662" i="13"/>
  <c r="H662" i="13" s="1" a="1"/>
  <c r="H662" i="13" s="1"/>
  <c r="E663" i="13"/>
  <c r="H663" i="13" s="1" a="1"/>
  <c r="H663" i="13" s="1"/>
  <c r="E664" i="13"/>
  <c r="H664" i="13" s="1" a="1"/>
  <c r="H664" i="13" s="1"/>
  <c r="E665" i="13"/>
  <c r="E666" i="13"/>
  <c r="E667" i="13"/>
  <c r="E668" i="13"/>
  <c r="E669" i="13"/>
  <c r="E670" i="13"/>
  <c r="E671" i="13"/>
  <c r="E672" i="13"/>
  <c r="E673" i="13"/>
  <c r="E674" i="13"/>
  <c r="E675" i="13"/>
  <c r="E676" i="13"/>
  <c r="E677" i="13"/>
  <c r="E678" i="13"/>
  <c r="E679" i="13"/>
  <c r="H679" i="13" s="1" a="1"/>
  <c r="H679" i="13" s="1"/>
  <c r="E680" i="13"/>
  <c r="H680" i="13" s="1" a="1"/>
  <c r="H680" i="13" s="1"/>
  <c r="E681" i="13"/>
  <c r="E682" i="13"/>
  <c r="E683" i="13"/>
  <c r="E684" i="13"/>
  <c r="E685" i="13"/>
  <c r="E686" i="13"/>
  <c r="E687" i="13"/>
  <c r="H687" i="13" s="1" a="1"/>
  <c r="H687" i="13" s="1"/>
  <c r="E688" i="13"/>
  <c r="E689" i="13"/>
  <c r="E690" i="13"/>
  <c r="H690" i="13" s="1" a="1"/>
  <c r="H690" i="13" s="1"/>
  <c r="E691" i="13"/>
  <c r="E692" i="13"/>
  <c r="E693" i="13"/>
  <c r="E694" i="13"/>
  <c r="E695" i="13"/>
  <c r="E696" i="13"/>
  <c r="H696" i="13" s="1" a="1"/>
  <c r="H696" i="13" s="1"/>
  <c r="E697" i="13"/>
  <c r="E698" i="13"/>
  <c r="E699" i="13"/>
  <c r="E700" i="13"/>
  <c r="E701" i="13"/>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E713" i="13"/>
  <c r="E714" i="13"/>
  <c r="E715" i="13"/>
  <c r="E716" i="13"/>
  <c r="E717" i="13"/>
  <c r="E718" i="13"/>
  <c r="E719" i="13"/>
  <c r="E720" i="13"/>
  <c r="E721" i="13"/>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H505" i="13" a="1"/>
  <c r="H505" i="13" s="1"/>
  <c r="K505" i="13"/>
  <c r="L505" i="13"/>
  <c r="M505" i="13"/>
  <c r="N505" i="13"/>
  <c r="O505" i="13"/>
  <c r="P505" i="13"/>
  <c r="Q505" i="13"/>
  <c r="R505" i="13"/>
  <c r="S505" i="13"/>
  <c r="T505" i="13"/>
  <c r="U505" i="13"/>
  <c r="V505" i="13"/>
  <c r="W505" i="13"/>
  <c r="X505" i="13"/>
  <c r="D506" i="13" a="1"/>
  <c r="D506" i="13" s="1"/>
  <c r="G506" i="13" s="1"/>
  <c r="I506" i="13" s="1"/>
  <c r="H506" i="13" a="1"/>
  <c r="H506" i="13" s="1"/>
  <c r="K506" i="13"/>
  <c r="L506" i="13"/>
  <c r="M506" i="13"/>
  <c r="N506" i="13"/>
  <c r="O506" i="13"/>
  <c r="P506" i="13"/>
  <c r="Q506" i="13"/>
  <c r="R506" i="13"/>
  <c r="S506" i="13"/>
  <c r="T506" i="13"/>
  <c r="U506" i="13"/>
  <c r="V506" i="13"/>
  <c r="W506" i="13"/>
  <c r="X506" i="13"/>
  <c r="D507" i="13" a="1"/>
  <c r="D507" i="13" s="1"/>
  <c r="G507" i="13" s="1"/>
  <c r="I507" i="13" s="1"/>
  <c r="H507" i="13" a="1"/>
  <c r="H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H511" i="13" a="1"/>
  <c r="H511" i="13" s="1"/>
  <c r="K511" i="13"/>
  <c r="L511" i="13"/>
  <c r="M511" i="13"/>
  <c r="N511" i="13"/>
  <c r="O511" i="13"/>
  <c r="P511" i="13"/>
  <c r="Q511" i="13"/>
  <c r="R511" i="13"/>
  <c r="S511" i="13"/>
  <c r="T511" i="13"/>
  <c r="U511" i="13"/>
  <c r="V511" i="13"/>
  <c r="W511" i="13"/>
  <c r="X511" i="13"/>
  <c r="D512" i="13" a="1"/>
  <c r="D512" i="13" s="1"/>
  <c r="G512" i="13" s="1"/>
  <c r="I512" i="13" s="1"/>
  <c r="H512" i="13" a="1"/>
  <c r="H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H517" i="13" a="1"/>
  <c r="H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H523" i="13" a="1"/>
  <c r="H523" i="13" s="1"/>
  <c r="K523" i="13"/>
  <c r="L523" i="13"/>
  <c r="M523" i="13"/>
  <c r="N523" i="13"/>
  <c r="O523" i="13"/>
  <c r="P523" i="13"/>
  <c r="Q523" i="13"/>
  <c r="R523" i="13"/>
  <c r="S523" i="13"/>
  <c r="T523" i="13"/>
  <c r="U523" i="13"/>
  <c r="V523" i="13"/>
  <c r="W523" i="13"/>
  <c r="X523" i="13"/>
  <c r="D524" i="13" a="1"/>
  <c r="D524" i="13" s="1"/>
  <c r="G524" i="13" s="1"/>
  <c r="I524" i="13" s="1"/>
  <c r="H524" i="13" a="1"/>
  <c r="H524" i="13" s="1"/>
  <c r="K524" i="13"/>
  <c r="L524" i="13"/>
  <c r="M524" i="13"/>
  <c r="N524" i="13"/>
  <c r="O524" i="13"/>
  <c r="P524" i="13"/>
  <c r="Q524" i="13"/>
  <c r="R524" i="13"/>
  <c r="S524" i="13"/>
  <c r="T524" i="13"/>
  <c r="U524" i="13"/>
  <c r="V524" i="13"/>
  <c r="W524" i="13"/>
  <c r="X524" i="13"/>
  <c r="D525" i="13" a="1"/>
  <c r="D525" i="13" s="1"/>
  <c r="G525" i="13" s="1"/>
  <c r="I525" i="13" s="1"/>
  <c r="H525" i="13" a="1"/>
  <c r="H525" i="13" s="1"/>
  <c r="K525" i="13"/>
  <c r="L525" i="13"/>
  <c r="M525" i="13"/>
  <c r="N525" i="13"/>
  <c r="O525" i="13"/>
  <c r="P525" i="13"/>
  <c r="Q525" i="13"/>
  <c r="R525" i="13"/>
  <c r="S525" i="13"/>
  <c r="T525" i="13"/>
  <c r="U525" i="13"/>
  <c r="V525" i="13"/>
  <c r="W525" i="13"/>
  <c r="X525" i="13"/>
  <c r="D526" i="13" a="1"/>
  <c r="D526" i="13" s="1"/>
  <c r="G526" i="13" s="1"/>
  <c r="I526" i="13" s="1"/>
  <c r="H526" i="13" a="1"/>
  <c r="H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H528" i="13" a="1"/>
  <c r="H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H532" i="13" a="1"/>
  <c r="H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H546" i="13" a="1"/>
  <c r="H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H549" i="13" a="1"/>
  <c r="H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H554" i="13" a="1"/>
  <c r="H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H558" i="13" a="1"/>
  <c r="H558" i="13" s="1"/>
  <c r="K558" i="13"/>
  <c r="L558" i="13"/>
  <c r="M558" i="13"/>
  <c r="N558" i="13"/>
  <c r="O558" i="13"/>
  <c r="P558" i="13"/>
  <c r="Q558" i="13"/>
  <c r="R558" i="13"/>
  <c r="S558" i="13"/>
  <c r="T558" i="13"/>
  <c r="U558" i="13"/>
  <c r="V558" i="13"/>
  <c r="W558" i="13"/>
  <c r="X558" i="13"/>
  <c r="D559" i="13" a="1"/>
  <c r="D559" i="13" s="1"/>
  <c r="G559" i="13" s="1"/>
  <c r="I559" i="13" s="1"/>
  <c r="H559" i="13" a="1"/>
  <c r="H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H561" i="13" a="1"/>
  <c r="H561" i="13" s="1"/>
  <c r="K561" i="13"/>
  <c r="L561" i="13"/>
  <c r="M561" i="13"/>
  <c r="N561" i="13"/>
  <c r="O561" i="13"/>
  <c r="P561" i="13"/>
  <c r="Q561" i="13"/>
  <c r="R561" i="13"/>
  <c r="S561" i="13"/>
  <c r="T561" i="13"/>
  <c r="U561" i="13"/>
  <c r="V561" i="13"/>
  <c r="W561" i="13"/>
  <c r="X561" i="13"/>
  <c r="D562" i="13" a="1"/>
  <c r="D562" i="13" s="1"/>
  <c r="G562" i="13" s="1"/>
  <c r="I562" i="13" s="1"/>
  <c r="H562" i="13" a="1"/>
  <c r="H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H564" i="13" a="1"/>
  <c r="H564" i="13" s="1"/>
  <c r="K564" i="13"/>
  <c r="L564" i="13"/>
  <c r="M564" i="13"/>
  <c r="N564" i="13"/>
  <c r="O564" i="13"/>
  <c r="P564" i="13"/>
  <c r="Q564" i="13"/>
  <c r="R564" i="13"/>
  <c r="S564" i="13"/>
  <c r="T564" i="13"/>
  <c r="U564" i="13"/>
  <c r="V564" i="13"/>
  <c r="W564" i="13"/>
  <c r="X564" i="13"/>
  <c r="D565" i="13" a="1"/>
  <c r="D565" i="13" s="1"/>
  <c r="G565" i="13" s="1"/>
  <c r="I565" i="13" s="1"/>
  <c r="H565" i="13" a="1"/>
  <c r="H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H570" i="13" a="1"/>
  <c r="H570" i="13" s="1"/>
  <c r="K570" i="13"/>
  <c r="L570" i="13"/>
  <c r="M570" i="13"/>
  <c r="N570" i="13"/>
  <c r="O570" i="13"/>
  <c r="P570" i="13"/>
  <c r="Q570" i="13"/>
  <c r="R570" i="13"/>
  <c r="S570" i="13"/>
  <c r="T570" i="13"/>
  <c r="U570" i="13"/>
  <c r="V570" i="13"/>
  <c r="W570" i="13"/>
  <c r="X570" i="13"/>
  <c r="D571" i="13" a="1"/>
  <c r="D571" i="13" s="1"/>
  <c r="G571" i="13" s="1"/>
  <c r="I571" i="13" s="1"/>
  <c r="H571" i="13" a="1"/>
  <c r="H571" i="13" s="1"/>
  <c r="K571" i="13"/>
  <c r="L571" i="13"/>
  <c r="M571" i="13"/>
  <c r="N571" i="13"/>
  <c r="O571" i="13"/>
  <c r="P571" i="13"/>
  <c r="Q571" i="13"/>
  <c r="R571" i="13"/>
  <c r="S571" i="13"/>
  <c r="T571" i="13"/>
  <c r="U571" i="13"/>
  <c r="V571" i="13"/>
  <c r="W571" i="13"/>
  <c r="X571" i="13"/>
  <c r="D572" i="13" a="1"/>
  <c r="D572" i="13" s="1"/>
  <c r="G572" i="13" s="1"/>
  <c r="I572" i="13" s="1"/>
  <c r="H572" i="13" a="1"/>
  <c r="H572" i="13" s="1"/>
  <c r="K572" i="13"/>
  <c r="L572" i="13"/>
  <c r="M572" i="13"/>
  <c r="N572" i="13"/>
  <c r="O572" i="13"/>
  <c r="P572" i="13"/>
  <c r="Q572" i="13"/>
  <c r="R572" i="13"/>
  <c r="S572" i="13"/>
  <c r="T572" i="13"/>
  <c r="U572" i="13"/>
  <c r="V572" i="13"/>
  <c r="W572" i="13"/>
  <c r="X572" i="13"/>
  <c r="D573" i="13" a="1"/>
  <c r="D573" i="13" s="1"/>
  <c r="G573" i="13" s="1"/>
  <c r="I573" i="13" s="1"/>
  <c r="H573" i="13" a="1"/>
  <c r="H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H580" i="13" a="1"/>
  <c r="H580" i="13" s="1"/>
  <c r="K580" i="13"/>
  <c r="L580" i="13"/>
  <c r="M580" i="13"/>
  <c r="N580" i="13"/>
  <c r="O580" i="13"/>
  <c r="P580" i="13"/>
  <c r="Q580" i="13"/>
  <c r="R580" i="13"/>
  <c r="S580" i="13"/>
  <c r="T580" i="13"/>
  <c r="U580" i="13"/>
  <c r="V580" i="13"/>
  <c r="W580" i="13"/>
  <c r="X580" i="13"/>
  <c r="D581" i="13" a="1"/>
  <c r="D581" i="13" s="1"/>
  <c r="G581" i="13" s="1"/>
  <c r="I581" i="13" s="1"/>
  <c r="H581" i="13" a="1"/>
  <c r="H581" i="13" s="1"/>
  <c r="K581" i="13"/>
  <c r="L581" i="13"/>
  <c r="M581" i="13"/>
  <c r="N581" i="13"/>
  <c r="O581" i="13"/>
  <c r="P581" i="13"/>
  <c r="Q581" i="13"/>
  <c r="R581" i="13"/>
  <c r="S581" i="13"/>
  <c r="T581" i="13"/>
  <c r="U581" i="13"/>
  <c r="V581" i="13"/>
  <c r="W581" i="13"/>
  <c r="X581" i="13"/>
  <c r="D582" i="13" a="1"/>
  <c r="D582" i="13" s="1"/>
  <c r="G582" i="13" s="1"/>
  <c r="I582" i="13" s="1"/>
  <c r="H582" i="13" a="1"/>
  <c r="H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H628" i="13" a="1"/>
  <c r="H628" i="13" s="1"/>
  <c r="K628" i="13"/>
  <c r="L628" i="13"/>
  <c r="M628" i="13"/>
  <c r="N628" i="13"/>
  <c r="O628" i="13"/>
  <c r="P628" i="13"/>
  <c r="Q628" i="13"/>
  <c r="R628" i="13"/>
  <c r="S628" i="13"/>
  <c r="T628" i="13"/>
  <c r="U628" i="13"/>
  <c r="V628" i="13"/>
  <c r="W628" i="13"/>
  <c r="X628" i="13"/>
  <c r="D629" i="13" a="1"/>
  <c r="D629" i="13" s="1"/>
  <c r="G629" i="13" s="1"/>
  <c r="I629" i="13" s="1"/>
  <c r="H629" i="13" a="1"/>
  <c r="H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s="1"/>
  <c r="G631" i="13" s="1"/>
  <c r="I631" i="13" s="1"/>
  <c r="H631" i="13" a="1"/>
  <c r="H631" i="13" s="1"/>
  <c r="K631" i="13"/>
  <c r="L631" i="13"/>
  <c r="M631" i="13"/>
  <c r="N631" i="13"/>
  <c r="O631" i="13"/>
  <c r="P631" i="13"/>
  <c r="Q631" i="13"/>
  <c r="R631" i="13"/>
  <c r="S631" i="13"/>
  <c r="T631" i="13"/>
  <c r="U631" i="13"/>
  <c r="V631" i="13"/>
  <c r="W631" i="13"/>
  <c r="X631" i="13"/>
  <c r="D632" i="13" a="1"/>
  <c r="D632" i="13" s="1"/>
  <c r="G632" i="13" s="1"/>
  <c r="I632" i="13" s="1"/>
  <c r="H632" i="13" a="1"/>
  <c r="H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H634" i="13" a="1"/>
  <c r="H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H637" i="13" a="1"/>
  <c r="H637" i="13" s="1"/>
  <c r="K637" i="13"/>
  <c r="L637" i="13"/>
  <c r="M637" i="13"/>
  <c r="N637" i="13"/>
  <c r="O637" i="13"/>
  <c r="P637" i="13"/>
  <c r="Q637" i="13"/>
  <c r="R637" i="13"/>
  <c r="S637" i="13"/>
  <c r="T637" i="13"/>
  <c r="U637" i="13"/>
  <c r="V637" i="13"/>
  <c r="W637" i="13"/>
  <c r="X637" i="13"/>
  <c r="D638" i="13" a="1"/>
  <c r="D638" i="13" s="1"/>
  <c r="G638" i="13" s="1"/>
  <c r="I638" i="13" s="1"/>
  <c r="H638" i="13" a="1"/>
  <c r="H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H642" i="13" a="1"/>
  <c r="H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H644" i="13" a="1"/>
  <c r="H644" i="13" s="1"/>
  <c r="K644" i="13"/>
  <c r="L644" i="13"/>
  <c r="M644" i="13"/>
  <c r="N644" i="13"/>
  <c r="O644" i="13"/>
  <c r="P644" i="13"/>
  <c r="Q644" i="13"/>
  <c r="R644" i="13"/>
  <c r="S644" i="13"/>
  <c r="T644" i="13"/>
  <c r="U644" i="13"/>
  <c r="V644" i="13"/>
  <c r="W644" i="13"/>
  <c r="X644" i="13"/>
  <c r="D645" i="13" a="1"/>
  <c r="D645" i="13" s="1"/>
  <c r="G645" i="13" s="1"/>
  <c r="I645" i="13" s="1"/>
  <c r="H645" i="13" a="1"/>
  <c r="H645" i="13" s="1"/>
  <c r="K645" i="13"/>
  <c r="L645" i="13"/>
  <c r="M645" i="13"/>
  <c r="N645" i="13"/>
  <c r="O645" i="13"/>
  <c r="P645" i="13"/>
  <c r="Q645" i="13"/>
  <c r="R645" i="13"/>
  <c r="S645" i="13"/>
  <c r="T645" i="13"/>
  <c r="U645" i="13"/>
  <c r="V645" i="13"/>
  <c r="W645" i="13"/>
  <c r="X645" i="13"/>
  <c r="D646" i="13" a="1"/>
  <c r="D646" i="13" s="1"/>
  <c r="G646" i="13" s="1"/>
  <c r="I646" i="13" s="1"/>
  <c r="H646" i="13" a="1"/>
  <c r="H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H650" i="13" a="1"/>
  <c r="H650" i="13" s="1"/>
  <c r="K650" i="13"/>
  <c r="L650" i="13"/>
  <c r="M650" i="13"/>
  <c r="N650" i="13"/>
  <c r="O650" i="13"/>
  <c r="P650" i="13"/>
  <c r="Q650" i="13"/>
  <c r="R650" i="13"/>
  <c r="S650" i="13"/>
  <c r="T650" i="13"/>
  <c r="U650" i="13"/>
  <c r="V650" i="13"/>
  <c r="W650" i="13"/>
  <c r="X650" i="13"/>
  <c r="D651" i="13" a="1"/>
  <c r="D651" i="13" s="1"/>
  <c r="G651" i="13" s="1"/>
  <c r="I651" i="13" s="1"/>
  <c r="H651" i="13" a="1"/>
  <c r="H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H653" i="13" a="1"/>
  <c r="H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s="1"/>
  <c r="G657" i="13" s="1"/>
  <c r="I657" i="13" s="1"/>
  <c r="H657" i="13" a="1"/>
  <c r="H657" i="13" s="1"/>
  <c r="K657" i="13"/>
  <c r="L657" i="13"/>
  <c r="M657" i="13"/>
  <c r="N657" i="13"/>
  <c r="O657" i="13"/>
  <c r="P657" i="13"/>
  <c r="Q657" i="13"/>
  <c r="R657" i="13"/>
  <c r="S657" i="13"/>
  <c r="T657" i="13"/>
  <c r="U657" i="13"/>
  <c r="V657" i="13"/>
  <c r="W657" i="13"/>
  <c r="X657" i="13"/>
  <c r="D658" i="13" a="1"/>
  <c r="D658" i="13" s="1"/>
  <c r="G658" i="13" s="1"/>
  <c r="I658" i="13" s="1"/>
  <c r="H658" i="13" a="1"/>
  <c r="H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H660" i="13" a="1"/>
  <c r="H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H669" i="13" a="1"/>
  <c r="H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H671" i="13" a="1"/>
  <c r="H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H673" i="13" a="1"/>
  <c r="H673" i="13" s="1"/>
  <c r="K673" i="13"/>
  <c r="L673" i="13"/>
  <c r="M673" i="13"/>
  <c r="N673" i="13"/>
  <c r="O673" i="13"/>
  <c r="P673" i="13"/>
  <c r="Q673" i="13"/>
  <c r="R673" i="13"/>
  <c r="S673" i="13"/>
  <c r="T673" i="13"/>
  <c r="U673" i="13"/>
  <c r="V673" i="13"/>
  <c r="W673" i="13"/>
  <c r="X673" i="13"/>
  <c r="D674" i="13" a="1"/>
  <c r="D674" i="13" s="1"/>
  <c r="G674" i="13" s="1"/>
  <c r="I674" i="13" s="1"/>
  <c r="H674" i="13" a="1"/>
  <c r="H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H676" i="13" a="1"/>
  <c r="H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H683" i="13" a="1"/>
  <c r="H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H686" i="13" a="1"/>
  <c r="H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H689" i="13" a="1"/>
  <c r="H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H692" i="13" a="1"/>
  <c r="H692" i="13" s="1"/>
  <c r="K692" i="13"/>
  <c r="L692" i="13"/>
  <c r="M692" i="13"/>
  <c r="N692" i="13"/>
  <c r="O692" i="13"/>
  <c r="P692" i="13"/>
  <c r="Q692" i="13"/>
  <c r="R692" i="13"/>
  <c r="S692" i="13"/>
  <c r="T692" i="13"/>
  <c r="U692" i="13"/>
  <c r="V692" i="13"/>
  <c r="W692" i="13"/>
  <c r="X692" i="13"/>
  <c r="D693" i="13" a="1"/>
  <c r="D693" i="13" s="1"/>
  <c r="G693" i="13" s="1"/>
  <c r="I693" i="13" s="1"/>
  <c r="H693" i="13" a="1"/>
  <c r="H693" i="13" s="1"/>
  <c r="K693" i="13"/>
  <c r="L693" i="13"/>
  <c r="M693" i="13"/>
  <c r="N693" i="13"/>
  <c r="O693" i="13"/>
  <c r="P693" i="13"/>
  <c r="Q693" i="13"/>
  <c r="R693" i="13"/>
  <c r="S693" i="13"/>
  <c r="T693" i="13"/>
  <c r="U693" i="13"/>
  <c r="V693" i="13"/>
  <c r="W693" i="13"/>
  <c r="X693" i="13"/>
  <c r="D694" i="13" a="1"/>
  <c r="D694" i="13" s="1"/>
  <c r="G694" i="13" s="1"/>
  <c r="I694" i="13" s="1"/>
  <c r="H694" i="13" a="1"/>
  <c r="H694" i="13" s="1"/>
  <c r="K694" i="13"/>
  <c r="L694" i="13"/>
  <c r="M694" i="13"/>
  <c r="N694" i="13"/>
  <c r="O694" i="13"/>
  <c r="P694" i="13"/>
  <c r="Q694" i="13"/>
  <c r="R694" i="13"/>
  <c r="S694" i="13"/>
  <c r="T694" i="13"/>
  <c r="U694" i="13"/>
  <c r="V694" i="13"/>
  <c r="W694" i="13"/>
  <c r="X694" i="13"/>
  <c r="D695" i="13" a="1"/>
  <c r="D695" i="13" s="1"/>
  <c r="G695" i="13" s="1"/>
  <c r="I695" i="13" s="1"/>
  <c r="H695" i="13" a="1"/>
  <c r="H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H699" i="13" a="1"/>
  <c r="H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H701" i="13" a="1"/>
  <c r="H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H712" i="13" a="1"/>
  <c r="H712" i="13" s="1"/>
  <c r="K712" i="13"/>
  <c r="L712" i="13"/>
  <c r="M712" i="13"/>
  <c r="N712" i="13"/>
  <c r="O712" i="13"/>
  <c r="P712" i="13"/>
  <c r="Q712" i="13"/>
  <c r="R712" i="13"/>
  <c r="S712" i="13"/>
  <c r="T712" i="13"/>
  <c r="U712" i="13"/>
  <c r="V712" i="13"/>
  <c r="W712" i="13"/>
  <c r="X712" i="13"/>
  <c r="D713" i="13" a="1"/>
  <c r="D713" i="13" s="1"/>
  <c r="G713" i="13" s="1"/>
  <c r="I713" i="13" s="1"/>
  <c r="H713" i="13" a="1"/>
  <c r="H713" i="13" s="1"/>
  <c r="K713" i="13"/>
  <c r="L713" i="13"/>
  <c r="M713" i="13"/>
  <c r="N713" i="13"/>
  <c r="O713" i="13"/>
  <c r="P713" i="13"/>
  <c r="Q713" i="13"/>
  <c r="R713" i="13"/>
  <c r="S713" i="13"/>
  <c r="T713" i="13"/>
  <c r="U713" i="13"/>
  <c r="V713" i="13"/>
  <c r="W713" i="13"/>
  <c r="X713" i="13"/>
  <c r="D714" i="13" a="1"/>
  <c r="D714" i="13" s="1"/>
  <c r="G714" i="13" s="1"/>
  <c r="I714" i="13" s="1"/>
  <c r="H714" i="13" a="1"/>
  <c r="H714" i="13" s="1"/>
  <c r="K714" i="13"/>
  <c r="L714" i="13"/>
  <c r="M714" i="13"/>
  <c r="N714" i="13"/>
  <c r="O714" i="13"/>
  <c r="P714" i="13"/>
  <c r="Q714" i="13"/>
  <c r="R714" i="13"/>
  <c r="S714" i="13"/>
  <c r="T714" i="13"/>
  <c r="U714" i="13"/>
  <c r="V714" i="13"/>
  <c r="W714" i="13"/>
  <c r="X714" i="13"/>
  <c r="D715" i="13" a="1"/>
  <c r="D715" i="13" s="1"/>
  <c r="G715" i="13" s="1"/>
  <c r="I715" i="13" s="1"/>
  <c r="H715" i="13" a="1"/>
  <c r="H715" i="13" s="1"/>
  <c r="K715" i="13"/>
  <c r="L715" i="13"/>
  <c r="M715" i="13"/>
  <c r="N715" i="13"/>
  <c r="O715" i="13"/>
  <c r="P715" i="13"/>
  <c r="Q715" i="13"/>
  <c r="R715" i="13"/>
  <c r="S715" i="13"/>
  <c r="T715" i="13"/>
  <c r="U715" i="13"/>
  <c r="V715" i="13"/>
  <c r="W715" i="13"/>
  <c r="X715" i="13"/>
  <c r="D716" i="13" a="1"/>
  <c r="D716" i="13" s="1"/>
  <c r="G716" i="13" s="1"/>
  <c r="I716" i="13" s="1"/>
  <c r="H716" i="13" a="1"/>
  <c r="H716" i="13" s="1"/>
  <c r="K716" i="13"/>
  <c r="L716" i="13"/>
  <c r="M716" i="13"/>
  <c r="N716" i="13"/>
  <c r="O716" i="13"/>
  <c r="P716" i="13"/>
  <c r="Q716" i="13"/>
  <c r="R716" i="13"/>
  <c r="S716" i="13"/>
  <c r="T716" i="13"/>
  <c r="U716" i="13"/>
  <c r="V716" i="13"/>
  <c r="W716" i="13"/>
  <c r="X716" i="13"/>
  <c r="D717" i="13" a="1"/>
  <c r="D717" i="13" s="1"/>
  <c r="G717" i="13" s="1"/>
  <c r="I717" i="13" s="1"/>
  <c r="H717" i="13" a="1"/>
  <c r="H717" i="13" s="1"/>
  <c r="K717" i="13"/>
  <c r="L717" i="13"/>
  <c r="M717" i="13"/>
  <c r="N717" i="13"/>
  <c r="O717" i="13"/>
  <c r="P717" i="13"/>
  <c r="Q717" i="13"/>
  <c r="R717" i="13"/>
  <c r="S717" i="13"/>
  <c r="T717" i="13"/>
  <c r="U717" i="13"/>
  <c r="V717" i="13"/>
  <c r="W717" i="13"/>
  <c r="X717" i="13"/>
  <c r="D718" i="13" a="1"/>
  <c r="D718" i="13" s="1"/>
  <c r="G718" i="13" s="1"/>
  <c r="I718" i="13" s="1"/>
  <c r="H718" i="13" a="1"/>
  <c r="H718" i="13" s="1"/>
  <c r="K718" i="13"/>
  <c r="L718" i="13"/>
  <c r="M718" i="13"/>
  <c r="N718" i="13"/>
  <c r="O718" i="13"/>
  <c r="P718" i="13"/>
  <c r="Q718" i="13"/>
  <c r="R718" i="13"/>
  <c r="S718" i="13"/>
  <c r="T718" i="13"/>
  <c r="U718" i="13"/>
  <c r="V718" i="13"/>
  <c r="W718" i="13"/>
  <c r="X718" i="13"/>
  <c r="D719" i="13" a="1"/>
  <c r="D719" i="13" s="1"/>
  <c r="G719" i="13" s="1"/>
  <c r="I719" i="13" s="1"/>
  <c r="H719" i="13" a="1"/>
  <c r="H719" i="13" s="1"/>
  <c r="K719" i="13"/>
  <c r="L719" i="13"/>
  <c r="M719" i="13"/>
  <c r="N719" i="13"/>
  <c r="O719" i="13"/>
  <c r="P719" i="13"/>
  <c r="Q719" i="13"/>
  <c r="R719" i="13"/>
  <c r="S719" i="13"/>
  <c r="T719" i="13"/>
  <c r="U719" i="13"/>
  <c r="V719" i="13"/>
  <c r="W719" i="13"/>
  <c r="X719" i="13"/>
  <c r="D720" i="13" a="1"/>
  <c r="D720" i="13" s="1"/>
  <c r="G720" i="13" s="1"/>
  <c r="I720" i="13" s="1"/>
  <c r="H720" i="13" a="1"/>
  <c r="H720" i="13" s="1"/>
  <c r="K720" i="13"/>
  <c r="L720" i="13"/>
  <c r="M720" i="13"/>
  <c r="N720" i="13"/>
  <c r="O720" i="13"/>
  <c r="P720" i="13"/>
  <c r="Q720" i="13"/>
  <c r="R720" i="13"/>
  <c r="S720" i="13"/>
  <c r="T720" i="13"/>
  <c r="U720" i="13"/>
  <c r="V720" i="13"/>
  <c r="W720" i="13"/>
  <c r="X720" i="13"/>
  <c r="D721" i="13" a="1"/>
  <c r="D721" i="13" s="1"/>
  <c r="G721" i="13" s="1"/>
  <c r="I721" i="13" s="1"/>
  <c r="H721" i="13" a="1"/>
  <c r="H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19" i="10"/>
  <c r="O720" i="10"/>
  <c r="O721" i="10"/>
  <c r="O722" i="10"/>
  <c r="O723" i="10"/>
  <c r="O724" i="10"/>
  <c r="O725" i="10"/>
  <c r="O726" i="10"/>
  <c r="O727" i="10"/>
  <c r="O728" i="10"/>
  <c r="O729" i="10"/>
  <c r="O730" i="10"/>
  <c r="O731" i="10"/>
  <c r="O732" i="10"/>
  <c r="O733" i="10"/>
  <c r="O734" i="10"/>
  <c r="O735" i="10"/>
  <c r="O736" i="10"/>
  <c r="O737" i="10"/>
  <c r="O738" i="10"/>
  <c r="O739" i="10"/>
  <c r="O740" i="10"/>
  <c r="O741" i="10"/>
  <c r="O742" i="10"/>
  <c r="O743" i="10"/>
  <c r="O744" i="10"/>
  <c r="O745" i="10"/>
  <c r="O746" i="10"/>
  <c r="O747" i="10"/>
  <c r="O748" i="10"/>
  <c r="O749" i="10"/>
  <c r="O750" i="10"/>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19" i="10"/>
  <c r="AC720" i="10"/>
  <c r="AC721" i="10"/>
  <c r="AC722" i="10"/>
  <c r="AC723" i="10"/>
  <c r="AC724" i="10"/>
  <c r="AC725" i="10"/>
  <c r="AC726" i="10"/>
  <c r="AC727" i="10"/>
  <c r="AC728" i="10"/>
  <c r="AC729" i="10"/>
  <c r="AC730" i="10"/>
  <c r="AC731" i="10"/>
  <c r="AC732" i="10"/>
  <c r="AC733" i="10"/>
  <c r="AC734" i="10"/>
  <c r="AC735" i="10"/>
  <c r="AC736" i="10"/>
  <c r="AC737" i="10"/>
  <c r="AC738" i="10"/>
  <c r="AC739" i="10"/>
  <c r="AC740" i="10"/>
  <c r="AC741" i="10"/>
  <c r="AC742" i="10"/>
  <c r="AC743" i="10"/>
  <c r="AC744" i="10"/>
  <c r="AC745" i="10"/>
  <c r="AC746" i="10"/>
  <c r="AC747" i="10"/>
  <c r="AC748" i="10"/>
  <c r="AC749" i="10"/>
  <c r="AC750" i="10"/>
  <c r="AC751" i="10"/>
  <c r="AC752" i="10"/>
  <c r="AC753" i="10"/>
  <c r="AC754" i="10"/>
  <c r="AC755" i="10"/>
  <c r="AC756" i="10"/>
  <c r="AC757" i="10"/>
  <c r="AC758" i="10"/>
  <c r="AC759" i="10"/>
  <c r="AC760" i="10"/>
  <c r="AC761" i="10"/>
  <c r="AC762" i="10"/>
  <c r="AC763" i="10"/>
  <c r="AC764" i="10"/>
  <c r="AC765" i="10"/>
  <c r="AC766" i="10"/>
  <c r="AC767" i="10"/>
  <c r="AC768" i="10"/>
  <c r="AC769" i="10"/>
  <c r="AC770" i="10"/>
  <c r="AC771" i="10"/>
  <c r="AC772" i="10"/>
  <c r="AC773" i="10"/>
  <c r="AC774" i="10"/>
  <c r="AC775"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D720" i="10"/>
  <c r="AD721" i="10"/>
  <c r="AD722" i="10"/>
  <c r="AD723" i="10"/>
  <c r="AD724" i="10"/>
  <c r="AD725" i="10"/>
  <c r="AD726" i="10"/>
  <c r="AD727" i="10"/>
  <c r="AD728" i="10"/>
  <c r="AD729" i="10"/>
  <c r="AD730" i="10"/>
  <c r="AD731" i="10"/>
  <c r="AD732" i="10"/>
  <c r="AD733" i="10"/>
  <c r="AD734" i="10"/>
  <c r="AD735" i="10"/>
  <c r="AD736" i="10"/>
  <c r="AD737" i="10"/>
  <c r="AD738" i="10"/>
  <c r="AD739" i="10"/>
  <c r="AD740" i="10"/>
  <c r="AD741" i="10"/>
  <c r="AD742" i="10"/>
  <c r="AD743" i="10"/>
  <c r="AD744" i="10"/>
  <c r="AD745" i="10"/>
  <c r="AD746" i="10"/>
  <c r="AD747" i="10"/>
  <c r="AD748" i="10"/>
  <c r="AD749" i="10"/>
  <c r="AD750" i="10"/>
  <c r="AD751" i="10"/>
  <c r="AD752" i="10"/>
  <c r="AD753" i="10"/>
  <c r="AD754" i="10"/>
  <c r="AD755" i="10"/>
  <c r="AD756" i="10"/>
  <c r="AD757" i="10"/>
  <c r="AD758" i="10"/>
  <c r="AD759" i="10"/>
  <c r="AD760" i="10"/>
  <c r="AD761" i="10"/>
  <c r="AD762" i="10"/>
  <c r="AD763" i="10"/>
  <c r="AD764" i="10"/>
  <c r="AD765" i="10"/>
  <c r="AD766" i="10"/>
  <c r="AD767" i="10"/>
  <c r="AD768" i="10"/>
  <c r="AD769" i="10"/>
  <c r="AD770" i="10"/>
  <c r="AD771" i="10"/>
  <c r="AD772" i="10"/>
  <c r="AD773" i="10"/>
  <c r="AD774" i="10"/>
  <c r="AD775" i="10"/>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H382" i="13" a="1"/>
  <c r="H382" i="13" s="1"/>
  <c r="D382" i="13" a="1"/>
  <c r="D382" i="13" s="1"/>
  <c r="G382" i="13" s="1"/>
  <c r="I382" i="13" s="1"/>
  <c r="X381" i="13"/>
  <c r="W381" i="13"/>
  <c r="V381" i="13"/>
  <c r="U381" i="13"/>
  <c r="T381" i="13"/>
  <c r="S381" i="13"/>
  <c r="R381" i="13"/>
  <c r="Q381" i="13"/>
  <c r="P381" i="13"/>
  <c r="O381" i="13"/>
  <c r="N381" i="13"/>
  <c r="M381" i="13"/>
  <c r="L381" i="13"/>
  <c r="K381" i="13"/>
  <c r="H381" i="13" a="1"/>
  <c r="H381" i="13" s="1"/>
  <c r="D381" i="13" a="1"/>
  <c r="D381" i="13" s="1"/>
  <c r="G381" i="13" s="1"/>
  <c r="I381" i="13" s="1"/>
  <c r="X380" i="13"/>
  <c r="W380" i="13"/>
  <c r="V380" i="13"/>
  <c r="U380" i="13"/>
  <c r="T380" i="13"/>
  <c r="S380" i="13"/>
  <c r="R380" i="13"/>
  <c r="Q380" i="13"/>
  <c r="P380" i="13"/>
  <c r="O380" i="13"/>
  <c r="N380" i="13"/>
  <c r="M380" i="13"/>
  <c r="L380" i="13"/>
  <c r="K380" i="13"/>
  <c r="H380" i="13" a="1"/>
  <c r="H380" i="13" s="1"/>
  <c r="D380" i="13" a="1"/>
  <c r="D380" i="13" s="1"/>
  <c r="G380" i="13" s="1"/>
  <c r="I380" i="13" s="1"/>
  <c r="X379" i="13"/>
  <c r="W379" i="13"/>
  <c r="V379" i="13"/>
  <c r="U379" i="13"/>
  <c r="T379" i="13"/>
  <c r="S379" i="13"/>
  <c r="R379" i="13"/>
  <c r="Q379" i="13"/>
  <c r="P379" i="13"/>
  <c r="O379" i="13"/>
  <c r="N379" i="13"/>
  <c r="M379" i="13"/>
  <c r="L379" i="13"/>
  <c r="K379" i="13"/>
  <c r="H379" i="13" a="1"/>
  <c r="H379" i="13" s="1"/>
  <c r="D379" i="13" a="1"/>
  <c r="D379" i="13" s="1"/>
  <c r="G379" i="13" s="1"/>
  <c r="I379" i="13" s="1"/>
  <c r="X378" i="13"/>
  <c r="W378" i="13"/>
  <c r="V378" i="13"/>
  <c r="U378" i="13"/>
  <c r="T378" i="13"/>
  <c r="S378" i="13"/>
  <c r="R378" i="13"/>
  <c r="Q378" i="13"/>
  <c r="P378" i="13"/>
  <c r="O378" i="13"/>
  <c r="N378" i="13"/>
  <c r="M378" i="13"/>
  <c r="L378" i="13"/>
  <c r="K378" i="13"/>
  <c r="H378" i="13" a="1"/>
  <c r="H378" i="13" s="1"/>
  <c r="D378" i="13" a="1"/>
  <c r="D378" i="13" s="1"/>
  <c r="G378" i="13" s="1"/>
  <c r="I378" i="13" s="1"/>
  <c r="X377" i="13"/>
  <c r="W377" i="13"/>
  <c r="V377" i="13"/>
  <c r="U377" i="13"/>
  <c r="T377" i="13"/>
  <c r="S377" i="13"/>
  <c r="R377" i="13"/>
  <c r="Q377" i="13"/>
  <c r="P377" i="13"/>
  <c r="O377" i="13"/>
  <c r="N377" i="13"/>
  <c r="M377" i="13"/>
  <c r="L377" i="13"/>
  <c r="K377" i="13"/>
  <c r="H377" i="13" a="1"/>
  <c r="H377" i="13" s="1"/>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H372" i="13" a="1"/>
  <c r="H372" i="13" s="1"/>
  <c r="D372" i="13" a="1"/>
  <c r="D372" i="13" s="1"/>
  <c r="G372" i="13" s="1"/>
  <c r="I372" i="13" s="1"/>
  <c r="X371" i="13"/>
  <c r="W371" i="13"/>
  <c r="V371" i="13"/>
  <c r="U371" i="13"/>
  <c r="T371" i="13"/>
  <c r="S371" i="13"/>
  <c r="R371" i="13"/>
  <c r="Q371" i="13"/>
  <c r="P371" i="13"/>
  <c r="O371" i="13"/>
  <c r="N371" i="13"/>
  <c r="M371" i="13"/>
  <c r="L371" i="13"/>
  <c r="K371" i="13"/>
  <c r="H371" i="13" a="1"/>
  <c r="H371" i="13" s="1"/>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W369" i="13"/>
  <c r="V369" i="13"/>
  <c r="U369" i="13"/>
  <c r="T369" i="13"/>
  <c r="S369" i="13"/>
  <c r="R369" i="13"/>
  <c r="Q369" i="13"/>
  <c r="P369" i="13"/>
  <c r="O369" i="13"/>
  <c r="N369" i="13"/>
  <c r="M369" i="13"/>
  <c r="L369" i="13"/>
  <c r="K369" i="13"/>
  <c r="D369" i="13" a="1"/>
  <c r="D369" i="13" s="1"/>
  <c r="G369" i="13" s="1"/>
  <c r="I369" i="13" s="1"/>
  <c r="X368" i="13"/>
  <c r="W368" i="13"/>
  <c r="V368" i="13"/>
  <c r="U368" i="13"/>
  <c r="T368" i="13"/>
  <c r="S368" i="13"/>
  <c r="R368" i="13"/>
  <c r="Q368" i="13"/>
  <c r="P368" i="13"/>
  <c r="O368" i="13"/>
  <c r="N368" i="13"/>
  <c r="M368" i="13"/>
  <c r="L368" i="13"/>
  <c r="K368" i="13"/>
  <c r="D368" i="13" a="1"/>
  <c r="D368" i="13" s="1"/>
  <c r="G368" i="13" s="1"/>
  <c r="I368" i="13" s="1"/>
  <c r="X367" i="13"/>
  <c r="W367" i="13"/>
  <c r="V367" i="13"/>
  <c r="U367" i="13"/>
  <c r="T367" i="13"/>
  <c r="S367" i="13"/>
  <c r="R367" i="13"/>
  <c r="Q367" i="13"/>
  <c r="P367" i="13"/>
  <c r="O367" i="13"/>
  <c r="N367" i="13"/>
  <c r="M367" i="13"/>
  <c r="L367" i="13"/>
  <c r="K367" i="13"/>
  <c r="D367" i="13" a="1"/>
  <c r="D367" i="13" s="1"/>
  <c r="G367" i="13" s="1"/>
  <c r="I367" i="13" s="1"/>
  <c r="X366" i="13"/>
  <c r="W366" i="13"/>
  <c r="V366" i="13"/>
  <c r="U366" i="13"/>
  <c r="T366" i="13"/>
  <c r="S366" i="13"/>
  <c r="R366" i="13"/>
  <c r="Q366" i="13"/>
  <c r="P366" i="13"/>
  <c r="O366" i="13"/>
  <c r="N366" i="13"/>
  <c r="M366" i="13"/>
  <c r="L366" i="13"/>
  <c r="K366" i="13"/>
  <c r="D366" i="13" a="1"/>
  <c r="D366" i="13" s="1"/>
  <c r="G366" i="13" s="1"/>
  <c r="I366" i="13" s="1"/>
  <c r="X365" i="13"/>
  <c r="W365" i="13"/>
  <c r="V365" i="13"/>
  <c r="U365" i="13"/>
  <c r="T365" i="13"/>
  <c r="S365" i="13"/>
  <c r="R365" i="13"/>
  <c r="Q365" i="13"/>
  <c r="P365" i="13"/>
  <c r="O365" i="13"/>
  <c r="N365" i="13"/>
  <c r="M365" i="13"/>
  <c r="L365" i="13"/>
  <c r="K365" i="13"/>
  <c r="D365" i="13" a="1"/>
  <c r="D365" i="13" s="1"/>
  <c r="G365" i="13" s="1"/>
  <c r="I365" i="13" s="1"/>
  <c r="X364" i="13"/>
  <c r="W364" i="13"/>
  <c r="V364" i="13"/>
  <c r="U364" i="13"/>
  <c r="T364" i="13"/>
  <c r="S364" i="13"/>
  <c r="R364" i="13"/>
  <c r="Q364" i="13"/>
  <c r="P364" i="13"/>
  <c r="O364" i="13"/>
  <c r="N364" i="13"/>
  <c r="M364" i="13"/>
  <c r="L364" i="13"/>
  <c r="K364" i="13"/>
  <c r="D364" i="13" a="1"/>
  <c r="D364" i="13" s="1"/>
  <c r="G364" i="13" s="1"/>
  <c r="I364" i="13" s="1"/>
  <c r="X363" i="13"/>
  <c r="W363" i="13"/>
  <c r="V363" i="13"/>
  <c r="U363" i="13"/>
  <c r="T363" i="13"/>
  <c r="S363" i="13"/>
  <c r="R363" i="13"/>
  <c r="Q363" i="13"/>
  <c r="P363" i="13"/>
  <c r="O363" i="13"/>
  <c r="N363" i="13"/>
  <c r="M363" i="13"/>
  <c r="L363" i="13"/>
  <c r="K363" i="13"/>
  <c r="D363" i="13" a="1"/>
  <c r="D363" i="13" s="1"/>
  <c r="G363" i="13" s="1"/>
  <c r="I363" i="13" s="1"/>
  <c r="X362" i="13"/>
  <c r="W362" i="13"/>
  <c r="V362" i="13"/>
  <c r="U362" i="13"/>
  <c r="T362" i="13"/>
  <c r="S362" i="13"/>
  <c r="R362" i="13"/>
  <c r="Q362" i="13"/>
  <c r="P362" i="13"/>
  <c r="O362" i="13"/>
  <c r="N362" i="13"/>
  <c r="M362" i="13"/>
  <c r="L362" i="13"/>
  <c r="K362" i="13"/>
  <c r="D362" i="13" a="1"/>
  <c r="D362" i="13" s="1"/>
  <c r="G362" i="13" s="1"/>
  <c r="I362" i="13" s="1"/>
  <c r="X361" i="13"/>
  <c r="W361" i="13"/>
  <c r="V361" i="13"/>
  <c r="U361" i="13"/>
  <c r="T361" i="13"/>
  <c r="S361" i="13"/>
  <c r="R361" i="13"/>
  <c r="Q361" i="13"/>
  <c r="P361" i="13"/>
  <c r="O361" i="13"/>
  <c r="N361" i="13"/>
  <c r="M361" i="13"/>
  <c r="L361" i="13"/>
  <c r="K361" i="13"/>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D356" i="13" a="1"/>
  <c r="D356" i="13" s="1"/>
  <c r="G356" i="13" s="1"/>
  <c r="I356" i="13" s="1"/>
  <c r="X355" i="13"/>
  <c r="W355" i="13"/>
  <c r="V355" i="13"/>
  <c r="U355" i="13"/>
  <c r="T355" i="13"/>
  <c r="S355" i="13"/>
  <c r="R355" i="13"/>
  <c r="Q355" i="13"/>
  <c r="P355" i="13"/>
  <c r="O355" i="13"/>
  <c r="N355" i="13"/>
  <c r="M355" i="13"/>
  <c r="L355" i="13"/>
  <c r="K355" i="13"/>
  <c r="D355" i="13" a="1"/>
  <c r="D355" i="13" s="1"/>
  <c r="G355" i="13" s="1"/>
  <c r="I355" i="13" s="1"/>
  <c r="X354" i="13"/>
  <c r="W354" i="13"/>
  <c r="V354" i="13"/>
  <c r="U354" i="13"/>
  <c r="T354" i="13"/>
  <c r="S354" i="13"/>
  <c r="R354" i="13"/>
  <c r="Q354" i="13"/>
  <c r="P354" i="13"/>
  <c r="O354" i="13"/>
  <c r="N354" i="13"/>
  <c r="M354" i="13"/>
  <c r="L354" i="13"/>
  <c r="K354" i="13"/>
  <c r="H354" i="13" a="1"/>
  <c r="H354" i="13" s="1"/>
  <c r="D354" i="13" a="1"/>
  <c r="D354" i="13" s="1"/>
  <c r="G354" i="13" s="1"/>
  <c r="I354" i="13" s="1"/>
  <c r="X353" i="13"/>
  <c r="W353" i="13"/>
  <c r="V353" i="13"/>
  <c r="U353" i="13"/>
  <c r="T353" i="13"/>
  <c r="S353" i="13"/>
  <c r="R353" i="13"/>
  <c r="Q353" i="13"/>
  <c r="P353" i="13"/>
  <c r="O353" i="13"/>
  <c r="N353" i="13"/>
  <c r="M353" i="13"/>
  <c r="L353" i="13"/>
  <c r="K353" i="13"/>
  <c r="H353" i="13" a="1"/>
  <c r="H353" i="13" s="1"/>
  <c r="D353" i="13" a="1"/>
  <c r="D353" i="13" s="1"/>
  <c r="G353" i="13" s="1"/>
  <c r="I353" i="13" s="1"/>
  <c r="X352" i="13"/>
  <c r="W352" i="13"/>
  <c r="V352" i="13"/>
  <c r="U352" i="13"/>
  <c r="T352" i="13"/>
  <c r="S352" i="13"/>
  <c r="R352" i="13"/>
  <c r="Q352" i="13"/>
  <c r="P352" i="13"/>
  <c r="O352" i="13"/>
  <c r="N352" i="13"/>
  <c r="M352" i="13"/>
  <c r="L352" i="13"/>
  <c r="K352" i="13"/>
  <c r="H352" i="13" a="1"/>
  <c r="H352" i="13" s="1"/>
  <c r="D352" i="13" a="1"/>
  <c r="D352" i="13" s="1"/>
  <c r="G352" i="13" s="1"/>
  <c r="I352" i="13" s="1"/>
  <c r="X351" i="13"/>
  <c r="W351" i="13"/>
  <c r="V351" i="13"/>
  <c r="U351" i="13"/>
  <c r="T351" i="13"/>
  <c r="S351" i="13"/>
  <c r="R351" i="13"/>
  <c r="Q351" i="13"/>
  <c r="P351" i="13"/>
  <c r="O351" i="13"/>
  <c r="N351" i="13"/>
  <c r="M351" i="13"/>
  <c r="L351" i="13"/>
  <c r="K351" i="13"/>
  <c r="H351" i="13" a="1"/>
  <c r="H351" i="13" s="1"/>
  <c r="D351" i="13" a="1"/>
  <c r="D351" i="13" s="1"/>
  <c r="G351" i="13" s="1"/>
  <c r="I351" i="13" s="1"/>
  <c r="X350" i="13"/>
  <c r="W350" i="13"/>
  <c r="V350" i="13"/>
  <c r="U350" i="13"/>
  <c r="T350" i="13"/>
  <c r="S350" i="13"/>
  <c r="R350" i="13"/>
  <c r="Q350" i="13"/>
  <c r="P350" i="13"/>
  <c r="O350" i="13"/>
  <c r="N350" i="13"/>
  <c r="M350" i="13"/>
  <c r="L350" i="13"/>
  <c r="K350" i="13"/>
  <c r="H350" i="13" a="1"/>
  <c r="H350" i="13" s="1"/>
  <c r="D350" i="13" a="1"/>
  <c r="D350" i="13" s="1"/>
  <c r="G350" i="13" s="1"/>
  <c r="I350" i="13" s="1"/>
  <c r="X349" i="13"/>
  <c r="W349" i="13"/>
  <c r="V349" i="13"/>
  <c r="U349" i="13"/>
  <c r="T349" i="13"/>
  <c r="S349" i="13"/>
  <c r="R349" i="13"/>
  <c r="Q349" i="13"/>
  <c r="P349" i="13"/>
  <c r="O349" i="13"/>
  <c r="N349" i="13"/>
  <c r="M349" i="13"/>
  <c r="L349" i="13"/>
  <c r="K349" i="13"/>
  <c r="H349" i="13" a="1"/>
  <c r="H349" i="13" s="1"/>
  <c r="D349" i="13" a="1"/>
  <c r="D349" i="13" s="1"/>
  <c r="G349" i="13" s="1"/>
  <c r="I349" i="13" s="1"/>
  <c r="X348" i="13"/>
  <c r="W348" i="13"/>
  <c r="V348" i="13"/>
  <c r="U348" i="13"/>
  <c r="T348" i="13"/>
  <c r="S348" i="13"/>
  <c r="R348" i="13"/>
  <c r="Q348" i="13"/>
  <c r="P348" i="13"/>
  <c r="O348" i="13"/>
  <c r="N348" i="13"/>
  <c r="M348" i="13"/>
  <c r="L348" i="13"/>
  <c r="K348" i="13"/>
  <c r="H348" i="13" a="1"/>
  <c r="H348" i="13" s="1"/>
  <c r="D348" i="13" a="1"/>
  <c r="D348" i="13" s="1"/>
  <c r="G348" i="13" s="1"/>
  <c r="I348" i="13" s="1"/>
  <c r="X347" i="13"/>
  <c r="W347" i="13"/>
  <c r="V347" i="13"/>
  <c r="U347" i="13"/>
  <c r="T347" i="13"/>
  <c r="S347" i="13"/>
  <c r="R347" i="13"/>
  <c r="Q347" i="13"/>
  <c r="P347" i="13"/>
  <c r="O347" i="13"/>
  <c r="N347" i="13"/>
  <c r="M347" i="13"/>
  <c r="L347" i="13"/>
  <c r="K347" i="13"/>
  <c r="H347" i="13" a="1"/>
  <c r="H347" i="13" s="1"/>
  <c r="D347" i="13" a="1"/>
  <c r="D347" i="13" s="1"/>
  <c r="G347" i="13" s="1"/>
  <c r="I347" i="13" s="1"/>
  <c r="X346" i="13"/>
  <c r="W346" i="13"/>
  <c r="V346" i="13"/>
  <c r="U346" i="13"/>
  <c r="T346" i="13"/>
  <c r="S346" i="13"/>
  <c r="R346" i="13"/>
  <c r="Q346" i="13"/>
  <c r="P346" i="13"/>
  <c r="O346" i="13"/>
  <c r="N346" i="13"/>
  <c r="M346" i="13"/>
  <c r="L346" i="13"/>
  <c r="K346" i="13"/>
  <c r="H346" i="13" a="1"/>
  <c r="H346" i="13" s="1"/>
  <c r="D346" i="13" a="1"/>
  <c r="D346" i="13" s="1"/>
  <c r="G346" i="13" s="1"/>
  <c r="I346" i="13" s="1"/>
  <c r="X345" i="13"/>
  <c r="W345" i="13"/>
  <c r="V345" i="13"/>
  <c r="U345" i="13"/>
  <c r="T345" i="13"/>
  <c r="S345" i="13"/>
  <c r="R345" i="13"/>
  <c r="Q345" i="13"/>
  <c r="P345" i="13"/>
  <c r="O345" i="13"/>
  <c r="N345" i="13"/>
  <c r="M345" i="13"/>
  <c r="L345" i="13"/>
  <c r="K345" i="13"/>
  <c r="H345" i="13" a="1"/>
  <c r="H345" i="13" s="1"/>
  <c r="D345" i="13" a="1"/>
  <c r="D345" i="13" s="1"/>
  <c r="G345" i="13" s="1"/>
  <c r="I345" i="13" s="1"/>
  <c r="X344" i="13"/>
  <c r="W344" i="13"/>
  <c r="V344" i="13"/>
  <c r="U344" i="13"/>
  <c r="T344" i="13"/>
  <c r="S344" i="13"/>
  <c r="R344" i="13"/>
  <c r="Q344" i="13"/>
  <c r="P344" i="13"/>
  <c r="O344" i="13"/>
  <c r="N344" i="13"/>
  <c r="M344" i="13"/>
  <c r="L344" i="13"/>
  <c r="K344" i="13"/>
  <c r="D344" i="13" a="1"/>
  <c r="D344" i="13" s="1"/>
  <c r="G344" i="13" s="1"/>
  <c r="I344" i="13" s="1"/>
  <c r="X343" i="13"/>
  <c r="W343" i="13"/>
  <c r="V343" i="13"/>
  <c r="U343" i="13"/>
  <c r="T343" i="13"/>
  <c r="S343" i="13"/>
  <c r="R343" i="13"/>
  <c r="Q343" i="13"/>
  <c r="P343" i="13"/>
  <c r="O343" i="13"/>
  <c r="N343" i="13"/>
  <c r="M343" i="13"/>
  <c r="L343" i="13"/>
  <c r="K343" i="13"/>
  <c r="D343" i="13" a="1"/>
  <c r="D343" i="13" s="1"/>
  <c r="G343" i="13" s="1"/>
  <c r="I343" i="13" s="1"/>
  <c r="X342" i="13"/>
  <c r="W342" i="13"/>
  <c r="V342" i="13"/>
  <c r="U342" i="13"/>
  <c r="T342" i="13"/>
  <c r="S342" i="13"/>
  <c r="R342" i="13"/>
  <c r="Q342" i="13"/>
  <c r="P342" i="13"/>
  <c r="O342" i="13"/>
  <c r="N342" i="13"/>
  <c r="M342" i="13"/>
  <c r="L342" i="13"/>
  <c r="K342" i="13"/>
  <c r="D342" i="13" a="1"/>
  <c r="D342" i="13" s="1"/>
  <c r="G342" i="13" s="1"/>
  <c r="I342" i="13" s="1"/>
  <c r="X341" i="13"/>
  <c r="W341" i="13"/>
  <c r="V341" i="13"/>
  <c r="U341" i="13"/>
  <c r="T341" i="13"/>
  <c r="S341" i="13"/>
  <c r="R341" i="13"/>
  <c r="Q341" i="13"/>
  <c r="P341" i="13"/>
  <c r="O341" i="13"/>
  <c r="N341" i="13"/>
  <c r="M341" i="13"/>
  <c r="L341" i="13"/>
  <c r="K341" i="13"/>
  <c r="D341" i="13" a="1"/>
  <c r="D341" i="13" s="1"/>
  <c r="G341" i="13" s="1"/>
  <c r="I341" i="13" s="1"/>
  <c r="X340" i="13"/>
  <c r="W340" i="13"/>
  <c r="V340" i="13"/>
  <c r="U340" i="13"/>
  <c r="T340" i="13"/>
  <c r="S340" i="13"/>
  <c r="R340" i="13"/>
  <c r="Q340" i="13"/>
  <c r="P340" i="13"/>
  <c r="O340" i="13"/>
  <c r="N340" i="13"/>
  <c r="M340" i="13"/>
  <c r="L340" i="13"/>
  <c r="K340" i="13"/>
  <c r="H340" i="13" a="1"/>
  <c r="H340" i="13" s="1"/>
  <c r="D340" i="13" a="1"/>
  <c r="D340" i="13" s="1"/>
  <c r="G340" i="13" s="1"/>
  <c r="I340" i="13" s="1"/>
  <c r="X339" i="13"/>
  <c r="W339" i="13"/>
  <c r="V339" i="13"/>
  <c r="U339" i="13"/>
  <c r="T339" i="13"/>
  <c r="S339" i="13"/>
  <c r="R339" i="13"/>
  <c r="Q339" i="13"/>
  <c r="P339" i="13"/>
  <c r="O339" i="13"/>
  <c r="N339" i="13"/>
  <c r="M339" i="13"/>
  <c r="L339" i="13"/>
  <c r="K339" i="13"/>
  <c r="H339" i="13" a="1"/>
  <c r="H339" i="13" s="1"/>
  <c r="D339" i="13" a="1"/>
  <c r="D339" i="13" s="1"/>
  <c r="G339" i="13" s="1"/>
  <c r="I339" i="13" s="1"/>
  <c r="X338" i="13"/>
  <c r="W338" i="13"/>
  <c r="V338" i="13"/>
  <c r="U338" i="13"/>
  <c r="T338" i="13"/>
  <c r="S338" i="13"/>
  <c r="R338" i="13"/>
  <c r="Q338" i="13"/>
  <c r="P338" i="13"/>
  <c r="O338" i="13"/>
  <c r="N338" i="13"/>
  <c r="M338" i="13"/>
  <c r="L338" i="13"/>
  <c r="K338" i="13"/>
  <c r="H338" i="13" a="1"/>
  <c r="H338" i="13" s="1"/>
  <c r="D338" i="13" a="1"/>
  <c r="D338" i="13" s="1"/>
  <c r="G338" i="13" s="1"/>
  <c r="I338" i="13" s="1"/>
  <c r="X337" i="13"/>
  <c r="W337" i="13"/>
  <c r="V337" i="13"/>
  <c r="U337" i="13"/>
  <c r="T337" i="13"/>
  <c r="S337" i="13"/>
  <c r="R337" i="13"/>
  <c r="Q337" i="13"/>
  <c r="P337" i="13"/>
  <c r="O337" i="13"/>
  <c r="N337" i="13"/>
  <c r="M337" i="13"/>
  <c r="L337" i="13"/>
  <c r="K337" i="13"/>
  <c r="H337" i="13" a="1"/>
  <c r="H337" i="13" s="1"/>
  <c r="D337" i="13" a="1"/>
  <c r="D337" i="13" s="1"/>
  <c r="G337" i="13" s="1"/>
  <c r="I337" i="13" s="1"/>
  <c r="X336" i="13"/>
  <c r="W336" i="13"/>
  <c r="V336" i="13"/>
  <c r="U336" i="13"/>
  <c r="T336" i="13"/>
  <c r="S336" i="13"/>
  <c r="R336" i="13"/>
  <c r="Q336" i="13"/>
  <c r="P336" i="13"/>
  <c r="O336" i="13"/>
  <c r="N336" i="13"/>
  <c r="M336" i="13"/>
  <c r="L336" i="13"/>
  <c r="K336" i="13"/>
  <c r="H336" i="13" a="1"/>
  <c r="H336" i="13" s="1"/>
  <c r="D336" i="13" a="1"/>
  <c r="D336" i="13" s="1"/>
  <c r="G336" i="13" s="1"/>
  <c r="I336" i="13" s="1"/>
  <c r="X335" i="13"/>
  <c r="W335" i="13"/>
  <c r="V335" i="13"/>
  <c r="U335" i="13"/>
  <c r="T335" i="13"/>
  <c r="S335" i="13"/>
  <c r="R335" i="13"/>
  <c r="Q335" i="13"/>
  <c r="P335" i="13"/>
  <c r="O335" i="13"/>
  <c r="N335" i="13"/>
  <c r="M335" i="13"/>
  <c r="L335" i="13"/>
  <c r="K335" i="13"/>
  <c r="H335" i="13" a="1"/>
  <c r="H335" i="13" s="1"/>
  <c r="D335" i="13" a="1"/>
  <c r="D335" i="13" s="1"/>
  <c r="G335" i="13" s="1"/>
  <c r="I335" i="13" s="1"/>
  <c r="X334" i="13"/>
  <c r="W334" i="13"/>
  <c r="V334" i="13"/>
  <c r="U334" i="13"/>
  <c r="T334" i="13"/>
  <c r="S334" i="13"/>
  <c r="R334" i="13"/>
  <c r="Q334" i="13"/>
  <c r="P334" i="13"/>
  <c r="O334" i="13"/>
  <c r="N334" i="13"/>
  <c r="M334" i="13"/>
  <c r="L334" i="13"/>
  <c r="K334" i="13"/>
  <c r="H334" i="13" a="1"/>
  <c r="H334" i="13" s="1"/>
  <c r="D334" i="13" a="1"/>
  <c r="D334" i="13" s="1"/>
  <c r="G334" i="13" s="1"/>
  <c r="I334" i="13" s="1"/>
  <c r="X333" i="13"/>
  <c r="W333" i="13"/>
  <c r="V333" i="13"/>
  <c r="U333" i="13"/>
  <c r="T333" i="13"/>
  <c r="S333" i="13"/>
  <c r="R333" i="13"/>
  <c r="Q333" i="13"/>
  <c r="P333" i="13"/>
  <c r="O333" i="13"/>
  <c r="N333" i="13"/>
  <c r="M333" i="13"/>
  <c r="L333" i="13"/>
  <c r="K333" i="13"/>
  <c r="H333" i="13" a="1"/>
  <c r="H333" i="13" s="1"/>
  <c r="D333" i="13" a="1"/>
  <c r="D333" i="13" s="1"/>
  <c r="G333" i="13" s="1"/>
  <c r="I333" i="13" s="1"/>
  <c r="X332" i="13"/>
  <c r="W332" i="13"/>
  <c r="V332" i="13"/>
  <c r="U332" i="13"/>
  <c r="T332" i="13"/>
  <c r="S332" i="13"/>
  <c r="R332" i="13"/>
  <c r="Q332" i="13"/>
  <c r="P332" i="13"/>
  <c r="O332" i="13"/>
  <c r="N332" i="13"/>
  <c r="M332" i="13"/>
  <c r="L332" i="13"/>
  <c r="K332" i="13"/>
  <c r="H332" i="13" a="1"/>
  <c r="H332" i="13" s="1"/>
  <c r="D332" i="13" a="1"/>
  <c r="D332" i="13" s="1"/>
  <c r="G332" i="13" s="1"/>
  <c r="I332" i="13" s="1"/>
  <c r="X331" i="13"/>
  <c r="W331" i="13"/>
  <c r="V331" i="13"/>
  <c r="U331" i="13"/>
  <c r="T331" i="13"/>
  <c r="S331" i="13"/>
  <c r="R331" i="13"/>
  <c r="Q331" i="13"/>
  <c r="P331" i="13"/>
  <c r="O331" i="13"/>
  <c r="N331" i="13"/>
  <c r="M331" i="13"/>
  <c r="L331" i="13"/>
  <c r="K331" i="13"/>
  <c r="H331" i="13" a="1"/>
  <c r="H331" i="13" s="1"/>
  <c r="D331" i="13" a="1"/>
  <c r="D331" i="13" s="1"/>
  <c r="G331" i="13" s="1"/>
  <c r="I331" i="13" s="1"/>
  <c r="X330" i="13"/>
  <c r="W330" i="13"/>
  <c r="V330" i="13"/>
  <c r="U330" i="13"/>
  <c r="T330" i="13"/>
  <c r="S330" i="13"/>
  <c r="R330" i="13"/>
  <c r="Q330" i="13"/>
  <c r="P330" i="13"/>
  <c r="O330" i="13"/>
  <c r="N330" i="13"/>
  <c r="M330" i="13"/>
  <c r="L330" i="13"/>
  <c r="K330" i="13"/>
  <c r="H330" i="13" a="1"/>
  <c r="H330" i="13" s="1"/>
  <c r="D330" i="13" a="1"/>
  <c r="D330" i="13" s="1"/>
  <c r="G330" i="13" s="1"/>
  <c r="I330" i="13" s="1"/>
  <c r="X329" i="13"/>
  <c r="W329" i="13"/>
  <c r="V329" i="13"/>
  <c r="U329" i="13"/>
  <c r="T329" i="13"/>
  <c r="S329" i="13"/>
  <c r="R329" i="13"/>
  <c r="Q329" i="13"/>
  <c r="P329" i="13"/>
  <c r="O329" i="13"/>
  <c r="N329" i="13"/>
  <c r="M329" i="13"/>
  <c r="L329" i="13"/>
  <c r="K329" i="13"/>
  <c r="H329" i="13" a="1"/>
  <c r="H329" i="13" s="1"/>
  <c r="D329" i="13" a="1"/>
  <c r="D329" i="13" s="1"/>
  <c r="G329" i="13" s="1"/>
  <c r="I329" i="13" s="1"/>
  <c r="X328" i="13"/>
  <c r="W328" i="13"/>
  <c r="V328" i="13"/>
  <c r="U328" i="13"/>
  <c r="T328" i="13"/>
  <c r="S328" i="13"/>
  <c r="R328" i="13"/>
  <c r="Q328" i="13"/>
  <c r="P328" i="13"/>
  <c r="O328" i="13"/>
  <c r="N328" i="13"/>
  <c r="M328" i="13"/>
  <c r="L328" i="13"/>
  <c r="K328" i="13"/>
  <c r="D328" i="13" a="1"/>
  <c r="D328" i="13" s="1"/>
  <c r="G328" i="13" s="1"/>
  <c r="I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O21" i="12"/>
  <c r="N21" i="12"/>
  <c r="G21" i="12"/>
  <c r="F21" i="12"/>
  <c r="I21" i="12" s="1"/>
  <c r="N20" i="12"/>
  <c r="O20" i="12" s="1"/>
  <c r="G20" i="12"/>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AB775" i="10"/>
  <c r="AA775" i="10"/>
  <c r="Z775" i="10"/>
  <c r="Y775" i="10"/>
  <c r="X775" i="10"/>
  <c r="W775" i="10"/>
  <c r="V775" i="10"/>
  <c r="U775" i="10"/>
  <c r="T775" i="10"/>
  <c r="S775" i="10"/>
  <c r="R775" i="10"/>
  <c r="Q775" i="10"/>
  <c r="P775" i="10"/>
  <c r="N775" i="10"/>
  <c r="M775" i="10"/>
  <c r="L775" i="10"/>
  <c r="K775" i="10"/>
  <c r="J775" i="10"/>
  <c r="I775" i="10"/>
  <c r="H775" i="10"/>
  <c r="G775" i="10"/>
  <c r="F775" i="10"/>
  <c r="AB774" i="10"/>
  <c r="AA774" i="10"/>
  <c r="Z774" i="10"/>
  <c r="Y774" i="10"/>
  <c r="X774" i="10"/>
  <c r="W774" i="10"/>
  <c r="V774" i="10"/>
  <c r="U774" i="10"/>
  <c r="T774" i="10"/>
  <c r="S774" i="10"/>
  <c r="R774" i="10"/>
  <c r="Q774" i="10"/>
  <c r="P774" i="10"/>
  <c r="N774" i="10"/>
  <c r="M774" i="10"/>
  <c r="L774" i="10"/>
  <c r="K774" i="10"/>
  <c r="J774" i="10"/>
  <c r="I774" i="10"/>
  <c r="H774" i="10"/>
  <c r="G774" i="10"/>
  <c r="F774" i="10"/>
  <c r="AB773" i="10"/>
  <c r="AA773" i="10"/>
  <c r="Z773" i="10"/>
  <c r="Y773" i="10"/>
  <c r="X773" i="10"/>
  <c r="W773" i="10"/>
  <c r="V773" i="10"/>
  <c r="U773" i="10"/>
  <c r="T773" i="10"/>
  <c r="S773" i="10"/>
  <c r="R773" i="10"/>
  <c r="Q773" i="10"/>
  <c r="P773" i="10"/>
  <c r="N773" i="10"/>
  <c r="M773" i="10"/>
  <c r="L773" i="10"/>
  <c r="K773" i="10"/>
  <c r="J773" i="10"/>
  <c r="I773" i="10"/>
  <c r="H773" i="10"/>
  <c r="G773" i="10"/>
  <c r="F773" i="10"/>
  <c r="AB772" i="10"/>
  <c r="AA772" i="10"/>
  <c r="Z772" i="10"/>
  <c r="Y772" i="10"/>
  <c r="X772" i="10"/>
  <c r="W772" i="10"/>
  <c r="V772" i="10"/>
  <c r="U772" i="10"/>
  <c r="T772" i="10"/>
  <c r="S772" i="10"/>
  <c r="R772" i="10"/>
  <c r="Q772" i="10"/>
  <c r="P772" i="10"/>
  <c r="N772" i="10"/>
  <c r="M772" i="10"/>
  <c r="L772" i="10"/>
  <c r="K772" i="10"/>
  <c r="J772" i="10"/>
  <c r="I772" i="10"/>
  <c r="H772" i="10"/>
  <c r="G772" i="10"/>
  <c r="F772" i="10"/>
  <c r="AB771" i="10"/>
  <c r="AA771" i="10"/>
  <c r="Z771" i="10"/>
  <c r="Y771" i="10"/>
  <c r="X771" i="10"/>
  <c r="W771" i="10"/>
  <c r="V771" i="10"/>
  <c r="U771" i="10"/>
  <c r="T771" i="10"/>
  <c r="S771" i="10"/>
  <c r="R771" i="10"/>
  <c r="Q771" i="10"/>
  <c r="P771" i="10"/>
  <c r="N771" i="10"/>
  <c r="M771" i="10"/>
  <c r="L771" i="10"/>
  <c r="K771" i="10"/>
  <c r="J771" i="10"/>
  <c r="I771" i="10"/>
  <c r="H771" i="10"/>
  <c r="G771" i="10"/>
  <c r="F771" i="10"/>
  <c r="AB770" i="10"/>
  <c r="AA770" i="10"/>
  <c r="Z770" i="10"/>
  <c r="Y770" i="10"/>
  <c r="X770" i="10"/>
  <c r="W770" i="10"/>
  <c r="V770" i="10"/>
  <c r="U770" i="10"/>
  <c r="T770" i="10"/>
  <c r="S770" i="10"/>
  <c r="R770" i="10"/>
  <c r="Q770" i="10"/>
  <c r="P770" i="10"/>
  <c r="N770" i="10"/>
  <c r="M770" i="10"/>
  <c r="L770" i="10"/>
  <c r="K770" i="10"/>
  <c r="J770" i="10"/>
  <c r="I770" i="10"/>
  <c r="H770" i="10"/>
  <c r="G770" i="10"/>
  <c r="F770" i="10"/>
  <c r="AB769" i="10"/>
  <c r="AA769" i="10"/>
  <c r="Z769" i="10"/>
  <c r="Y769" i="10"/>
  <c r="X769" i="10"/>
  <c r="W769" i="10"/>
  <c r="V769" i="10"/>
  <c r="U769" i="10"/>
  <c r="T769" i="10"/>
  <c r="S769" i="10"/>
  <c r="R769" i="10"/>
  <c r="Q769" i="10"/>
  <c r="P769" i="10"/>
  <c r="N769" i="10"/>
  <c r="M769" i="10"/>
  <c r="L769" i="10"/>
  <c r="K769" i="10"/>
  <c r="J769" i="10"/>
  <c r="I769" i="10"/>
  <c r="H769" i="10"/>
  <c r="G769" i="10"/>
  <c r="F769" i="10"/>
  <c r="AB768" i="10"/>
  <c r="AA768" i="10"/>
  <c r="Z768" i="10"/>
  <c r="Y768" i="10"/>
  <c r="X768" i="10"/>
  <c r="W768" i="10"/>
  <c r="V768" i="10"/>
  <c r="U768" i="10"/>
  <c r="T768" i="10"/>
  <c r="S768" i="10"/>
  <c r="R768" i="10"/>
  <c r="Q768" i="10"/>
  <c r="P768" i="10"/>
  <c r="N768" i="10"/>
  <c r="M768" i="10"/>
  <c r="L768" i="10"/>
  <c r="K768" i="10"/>
  <c r="J768" i="10"/>
  <c r="I768" i="10"/>
  <c r="H768" i="10"/>
  <c r="G768" i="10"/>
  <c r="F768" i="10"/>
  <c r="AB767" i="10"/>
  <c r="AA767" i="10"/>
  <c r="Z767" i="10"/>
  <c r="Y767" i="10"/>
  <c r="X767" i="10"/>
  <c r="W767" i="10"/>
  <c r="V767" i="10"/>
  <c r="U767" i="10"/>
  <c r="T767" i="10"/>
  <c r="S767" i="10"/>
  <c r="R767" i="10"/>
  <c r="Q767" i="10"/>
  <c r="P767" i="10"/>
  <c r="N767" i="10"/>
  <c r="M767" i="10"/>
  <c r="L767" i="10"/>
  <c r="K767" i="10"/>
  <c r="J767" i="10"/>
  <c r="I767" i="10"/>
  <c r="H767" i="10"/>
  <c r="G767" i="10"/>
  <c r="F767" i="10"/>
  <c r="AB766" i="10"/>
  <c r="AA766" i="10"/>
  <c r="Z766" i="10"/>
  <c r="Y766" i="10"/>
  <c r="X766" i="10"/>
  <c r="W766" i="10"/>
  <c r="V766" i="10"/>
  <c r="U766" i="10"/>
  <c r="T766" i="10"/>
  <c r="S766" i="10"/>
  <c r="R766" i="10"/>
  <c r="Q766" i="10"/>
  <c r="P766" i="10"/>
  <c r="N766" i="10"/>
  <c r="M766" i="10"/>
  <c r="L766" i="10"/>
  <c r="K766" i="10"/>
  <c r="J766" i="10"/>
  <c r="I766" i="10"/>
  <c r="H766" i="10"/>
  <c r="G766" i="10"/>
  <c r="F766" i="10"/>
  <c r="AB765" i="10"/>
  <c r="AA765" i="10"/>
  <c r="Z765" i="10"/>
  <c r="Y765" i="10"/>
  <c r="X765" i="10"/>
  <c r="W765" i="10"/>
  <c r="V765" i="10"/>
  <c r="U765" i="10"/>
  <c r="T765" i="10"/>
  <c r="S765" i="10"/>
  <c r="R765" i="10"/>
  <c r="Q765" i="10"/>
  <c r="P765" i="10"/>
  <c r="N765" i="10"/>
  <c r="M765" i="10"/>
  <c r="L765" i="10"/>
  <c r="K765" i="10"/>
  <c r="J765" i="10"/>
  <c r="I765" i="10"/>
  <c r="H765" i="10"/>
  <c r="G765" i="10"/>
  <c r="F765" i="10"/>
  <c r="AB764" i="10"/>
  <c r="AA764" i="10"/>
  <c r="Z764" i="10"/>
  <c r="Y764" i="10"/>
  <c r="X764" i="10"/>
  <c r="W764" i="10"/>
  <c r="V764" i="10"/>
  <c r="U764" i="10"/>
  <c r="T764" i="10"/>
  <c r="S764" i="10"/>
  <c r="R764" i="10"/>
  <c r="Q764" i="10"/>
  <c r="P764" i="10"/>
  <c r="N764" i="10"/>
  <c r="M764" i="10"/>
  <c r="L764" i="10"/>
  <c r="K764" i="10"/>
  <c r="J764" i="10"/>
  <c r="I764" i="10"/>
  <c r="H764" i="10"/>
  <c r="G764" i="10"/>
  <c r="F764" i="10"/>
  <c r="AB763" i="10"/>
  <c r="AA763" i="10"/>
  <c r="Z763" i="10"/>
  <c r="Y763" i="10"/>
  <c r="X763" i="10"/>
  <c r="W763" i="10"/>
  <c r="V763" i="10"/>
  <c r="U763" i="10"/>
  <c r="T763" i="10"/>
  <c r="S763" i="10"/>
  <c r="R763" i="10"/>
  <c r="Q763" i="10"/>
  <c r="P763" i="10"/>
  <c r="N763" i="10"/>
  <c r="M763" i="10"/>
  <c r="L763" i="10"/>
  <c r="K763" i="10"/>
  <c r="J763" i="10"/>
  <c r="I763" i="10"/>
  <c r="H763" i="10"/>
  <c r="G763" i="10"/>
  <c r="F763" i="10"/>
  <c r="AB762" i="10"/>
  <c r="AA762" i="10"/>
  <c r="Z762" i="10"/>
  <c r="Y762" i="10"/>
  <c r="X762" i="10"/>
  <c r="W762" i="10"/>
  <c r="V762" i="10"/>
  <c r="U762" i="10"/>
  <c r="T762" i="10"/>
  <c r="S762" i="10"/>
  <c r="R762" i="10"/>
  <c r="Q762" i="10"/>
  <c r="P762" i="10"/>
  <c r="N762" i="10"/>
  <c r="M762" i="10"/>
  <c r="L762" i="10"/>
  <c r="K762" i="10"/>
  <c r="J762" i="10"/>
  <c r="I762" i="10"/>
  <c r="H762" i="10"/>
  <c r="G762" i="10"/>
  <c r="F762" i="10"/>
  <c r="AB761" i="10"/>
  <c r="AA761" i="10"/>
  <c r="Z761" i="10"/>
  <c r="Y761" i="10"/>
  <c r="X761" i="10"/>
  <c r="W761" i="10"/>
  <c r="V761" i="10"/>
  <c r="U761" i="10"/>
  <c r="T761" i="10"/>
  <c r="S761" i="10"/>
  <c r="R761" i="10"/>
  <c r="Q761" i="10"/>
  <c r="P761" i="10"/>
  <c r="N761" i="10"/>
  <c r="M761" i="10"/>
  <c r="L761" i="10"/>
  <c r="K761" i="10"/>
  <c r="J761" i="10"/>
  <c r="I761" i="10"/>
  <c r="H761" i="10"/>
  <c r="G761" i="10"/>
  <c r="F761" i="10"/>
  <c r="AB760" i="10"/>
  <c r="AA760" i="10"/>
  <c r="Z760" i="10"/>
  <c r="Y760" i="10"/>
  <c r="X760" i="10"/>
  <c r="W760" i="10"/>
  <c r="V760" i="10"/>
  <c r="U760" i="10"/>
  <c r="T760" i="10"/>
  <c r="S760" i="10"/>
  <c r="R760" i="10"/>
  <c r="Q760" i="10"/>
  <c r="P760" i="10"/>
  <c r="N760" i="10"/>
  <c r="M760" i="10"/>
  <c r="L760" i="10"/>
  <c r="K760" i="10"/>
  <c r="J760" i="10"/>
  <c r="I760" i="10"/>
  <c r="H760" i="10"/>
  <c r="G760" i="10"/>
  <c r="F760" i="10"/>
  <c r="AB759" i="10"/>
  <c r="AA759" i="10"/>
  <c r="Z759" i="10"/>
  <c r="Y759" i="10"/>
  <c r="X759" i="10"/>
  <c r="W759" i="10"/>
  <c r="V759" i="10"/>
  <c r="U759" i="10"/>
  <c r="T759" i="10"/>
  <c r="S759" i="10"/>
  <c r="R759" i="10"/>
  <c r="Q759" i="10"/>
  <c r="P759" i="10"/>
  <c r="N759" i="10"/>
  <c r="M759" i="10"/>
  <c r="L759" i="10"/>
  <c r="K759" i="10"/>
  <c r="J759" i="10"/>
  <c r="I759" i="10"/>
  <c r="H759" i="10"/>
  <c r="G759" i="10"/>
  <c r="F759" i="10"/>
  <c r="AB758" i="10"/>
  <c r="AA758" i="10"/>
  <c r="Z758" i="10"/>
  <c r="Y758" i="10"/>
  <c r="X758" i="10"/>
  <c r="W758" i="10"/>
  <c r="V758" i="10"/>
  <c r="U758" i="10"/>
  <c r="T758" i="10"/>
  <c r="S758" i="10"/>
  <c r="R758" i="10"/>
  <c r="Q758" i="10"/>
  <c r="P758" i="10"/>
  <c r="N758" i="10"/>
  <c r="M758" i="10"/>
  <c r="L758" i="10"/>
  <c r="K758" i="10"/>
  <c r="J758" i="10"/>
  <c r="I758" i="10"/>
  <c r="H758" i="10"/>
  <c r="G758" i="10"/>
  <c r="F758" i="10"/>
  <c r="AB757" i="10"/>
  <c r="AA757" i="10"/>
  <c r="Z757" i="10"/>
  <c r="Y757" i="10"/>
  <c r="X757" i="10"/>
  <c r="W757" i="10"/>
  <c r="V757" i="10"/>
  <c r="U757" i="10"/>
  <c r="T757" i="10"/>
  <c r="S757" i="10"/>
  <c r="R757" i="10"/>
  <c r="Q757" i="10"/>
  <c r="P757" i="10"/>
  <c r="N757" i="10"/>
  <c r="M757" i="10"/>
  <c r="L757" i="10"/>
  <c r="K757" i="10"/>
  <c r="J757" i="10"/>
  <c r="I757" i="10"/>
  <c r="H757" i="10"/>
  <c r="G757" i="10"/>
  <c r="F757" i="10"/>
  <c r="AB756" i="10"/>
  <c r="AA756" i="10"/>
  <c r="Z756" i="10"/>
  <c r="Y756" i="10"/>
  <c r="X756" i="10"/>
  <c r="W756" i="10"/>
  <c r="V756" i="10"/>
  <c r="U756" i="10"/>
  <c r="T756" i="10"/>
  <c r="S756" i="10"/>
  <c r="R756" i="10"/>
  <c r="Q756" i="10"/>
  <c r="P756" i="10"/>
  <c r="N756" i="10"/>
  <c r="M756" i="10"/>
  <c r="L756" i="10"/>
  <c r="K756" i="10"/>
  <c r="J756" i="10"/>
  <c r="I756" i="10"/>
  <c r="H756" i="10"/>
  <c r="G756" i="10"/>
  <c r="F756" i="10"/>
  <c r="AB755" i="10"/>
  <c r="AA755" i="10"/>
  <c r="Z755" i="10"/>
  <c r="Y755" i="10"/>
  <c r="X755" i="10"/>
  <c r="W755" i="10"/>
  <c r="V755" i="10"/>
  <c r="U755" i="10"/>
  <c r="T755" i="10"/>
  <c r="S755" i="10"/>
  <c r="R755" i="10"/>
  <c r="Q755" i="10"/>
  <c r="P755" i="10"/>
  <c r="N755" i="10"/>
  <c r="M755" i="10"/>
  <c r="L755" i="10"/>
  <c r="K755" i="10"/>
  <c r="J755" i="10"/>
  <c r="I755" i="10"/>
  <c r="H755" i="10"/>
  <c r="G755" i="10"/>
  <c r="F755" i="10"/>
  <c r="AB754" i="10"/>
  <c r="AA754" i="10"/>
  <c r="Z754" i="10"/>
  <c r="Y754" i="10"/>
  <c r="X754" i="10"/>
  <c r="W754" i="10"/>
  <c r="V754" i="10"/>
  <c r="U754" i="10"/>
  <c r="T754" i="10"/>
  <c r="S754" i="10"/>
  <c r="R754" i="10"/>
  <c r="Q754" i="10"/>
  <c r="P754" i="10"/>
  <c r="N754" i="10"/>
  <c r="M754" i="10"/>
  <c r="L754" i="10"/>
  <c r="K754" i="10"/>
  <c r="J754" i="10"/>
  <c r="I754" i="10"/>
  <c r="H754" i="10"/>
  <c r="G754" i="10"/>
  <c r="F754" i="10"/>
  <c r="AB753" i="10"/>
  <c r="AA753" i="10"/>
  <c r="Z753" i="10"/>
  <c r="Y753" i="10"/>
  <c r="X753" i="10"/>
  <c r="W753" i="10"/>
  <c r="V753" i="10"/>
  <c r="U753" i="10"/>
  <c r="T753" i="10"/>
  <c r="S753" i="10"/>
  <c r="R753" i="10"/>
  <c r="Q753" i="10"/>
  <c r="P753" i="10"/>
  <c r="N753" i="10"/>
  <c r="M753" i="10"/>
  <c r="L753" i="10"/>
  <c r="K753" i="10"/>
  <c r="J753" i="10"/>
  <c r="I753" i="10"/>
  <c r="H753" i="10"/>
  <c r="G753" i="10"/>
  <c r="F753" i="10"/>
  <c r="AB752" i="10"/>
  <c r="AA752" i="10"/>
  <c r="Z752" i="10"/>
  <c r="Y752" i="10"/>
  <c r="X752" i="10"/>
  <c r="W752" i="10"/>
  <c r="V752" i="10"/>
  <c r="U752" i="10"/>
  <c r="T752" i="10"/>
  <c r="S752" i="10"/>
  <c r="R752" i="10"/>
  <c r="Q752" i="10"/>
  <c r="P752" i="10"/>
  <c r="N752" i="10"/>
  <c r="M752" i="10"/>
  <c r="L752" i="10"/>
  <c r="K752" i="10"/>
  <c r="J752" i="10"/>
  <c r="I752" i="10"/>
  <c r="H752" i="10"/>
  <c r="G752" i="10"/>
  <c r="F752" i="10"/>
  <c r="AB751" i="10"/>
  <c r="AA751" i="10"/>
  <c r="Z751" i="10"/>
  <c r="Y751" i="10"/>
  <c r="X751" i="10"/>
  <c r="W751" i="10"/>
  <c r="V751" i="10"/>
  <c r="U751" i="10"/>
  <c r="T751" i="10"/>
  <c r="S751" i="10"/>
  <c r="R751" i="10"/>
  <c r="Q751" i="10"/>
  <c r="P751" i="10"/>
  <c r="N751" i="10"/>
  <c r="M751" i="10"/>
  <c r="L751" i="10"/>
  <c r="K751" i="10"/>
  <c r="J751" i="10"/>
  <c r="I751" i="10"/>
  <c r="H751" i="10"/>
  <c r="G751" i="10"/>
  <c r="F751" i="10"/>
  <c r="AB750" i="10"/>
  <c r="AA750" i="10"/>
  <c r="Z750" i="10"/>
  <c r="Y750" i="10"/>
  <c r="X750" i="10"/>
  <c r="W750" i="10"/>
  <c r="V750" i="10"/>
  <c r="U750" i="10"/>
  <c r="T750" i="10"/>
  <c r="S750" i="10"/>
  <c r="R750" i="10"/>
  <c r="Q750" i="10"/>
  <c r="P750" i="10"/>
  <c r="N750" i="10"/>
  <c r="M750" i="10"/>
  <c r="L750" i="10"/>
  <c r="K750" i="10"/>
  <c r="J750" i="10"/>
  <c r="I750" i="10"/>
  <c r="H750" i="10"/>
  <c r="G750" i="10"/>
  <c r="F750" i="10"/>
  <c r="AB749" i="10"/>
  <c r="AA749" i="10"/>
  <c r="Z749" i="10"/>
  <c r="Y749" i="10"/>
  <c r="X749" i="10"/>
  <c r="W749" i="10"/>
  <c r="V749" i="10"/>
  <c r="U749" i="10"/>
  <c r="T749" i="10"/>
  <c r="S749" i="10"/>
  <c r="R749" i="10"/>
  <c r="Q749" i="10"/>
  <c r="P749" i="10"/>
  <c r="N749" i="10"/>
  <c r="M749" i="10"/>
  <c r="L749" i="10"/>
  <c r="K749" i="10"/>
  <c r="J749" i="10"/>
  <c r="I749" i="10"/>
  <c r="H749" i="10"/>
  <c r="G749" i="10"/>
  <c r="F749" i="10"/>
  <c r="AB748" i="10"/>
  <c r="AA748" i="10"/>
  <c r="Z748" i="10"/>
  <c r="Y748" i="10"/>
  <c r="X748" i="10"/>
  <c r="W748" i="10"/>
  <c r="V748" i="10"/>
  <c r="U748" i="10"/>
  <c r="T748" i="10"/>
  <c r="S748" i="10"/>
  <c r="R748" i="10"/>
  <c r="Q748" i="10"/>
  <c r="P748" i="10"/>
  <c r="N748" i="10"/>
  <c r="M748" i="10"/>
  <c r="L748" i="10"/>
  <c r="K748" i="10"/>
  <c r="J748" i="10"/>
  <c r="I748" i="10"/>
  <c r="H748" i="10"/>
  <c r="G748" i="10"/>
  <c r="F748" i="10"/>
  <c r="AB747" i="10"/>
  <c r="AA747" i="10"/>
  <c r="Z747" i="10"/>
  <c r="Y747" i="10"/>
  <c r="X747" i="10"/>
  <c r="W747" i="10"/>
  <c r="V747" i="10"/>
  <c r="U747" i="10"/>
  <c r="T747" i="10"/>
  <c r="S747" i="10"/>
  <c r="R747" i="10"/>
  <c r="Q747" i="10"/>
  <c r="P747" i="10"/>
  <c r="N747" i="10"/>
  <c r="M747" i="10"/>
  <c r="L747" i="10"/>
  <c r="K747" i="10"/>
  <c r="J747" i="10"/>
  <c r="I747" i="10"/>
  <c r="H747" i="10"/>
  <c r="G747" i="10"/>
  <c r="F747" i="10"/>
  <c r="AB746" i="10"/>
  <c r="AA746" i="10"/>
  <c r="Z746" i="10"/>
  <c r="Y746" i="10"/>
  <c r="X746" i="10"/>
  <c r="W746" i="10"/>
  <c r="V746" i="10"/>
  <c r="U746" i="10"/>
  <c r="T746" i="10"/>
  <c r="S746" i="10"/>
  <c r="R746" i="10"/>
  <c r="Q746" i="10"/>
  <c r="P746" i="10"/>
  <c r="N746" i="10"/>
  <c r="M746" i="10"/>
  <c r="L746" i="10"/>
  <c r="K746" i="10"/>
  <c r="J746" i="10"/>
  <c r="I746" i="10"/>
  <c r="H746" i="10"/>
  <c r="G746" i="10"/>
  <c r="F746" i="10"/>
  <c r="AB745" i="10"/>
  <c r="AA745" i="10"/>
  <c r="Z745" i="10"/>
  <c r="Y745" i="10"/>
  <c r="X745" i="10"/>
  <c r="W745" i="10"/>
  <c r="V745" i="10"/>
  <c r="U745" i="10"/>
  <c r="T745" i="10"/>
  <c r="S745" i="10"/>
  <c r="R745" i="10"/>
  <c r="Q745" i="10"/>
  <c r="P745" i="10"/>
  <c r="N745" i="10"/>
  <c r="M745" i="10"/>
  <c r="L745" i="10"/>
  <c r="K745" i="10"/>
  <c r="J745" i="10"/>
  <c r="I745" i="10"/>
  <c r="H745" i="10"/>
  <c r="G745" i="10"/>
  <c r="F745" i="10"/>
  <c r="AB744" i="10"/>
  <c r="AA744" i="10"/>
  <c r="Z744" i="10"/>
  <c r="Y744" i="10"/>
  <c r="X744" i="10"/>
  <c r="W744" i="10"/>
  <c r="V744" i="10"/>
  <c r="U744" i="10"/>
  <c r="T744" i="10"/>
  <c r="S744" i="10"/>
  <c r="R744" i="10"/>
  <c r="Q744" i="10"/>
  <c r="P744" i="10"/>
  <c r="N744" i="10"/>
  <c r="M744" i="10"/>
  <c r="L744" i="10"/>
  <c r="K744" i="10"/>
  <c r="J744" i="10"/>
  <c r="I744" i="10"/>
  <c r="H744" i="10"/>
  <c r="G744" i="10"/>
  <c r="F744" i="10"/>
  <c r="AB743" i="10"/>
  <c r="AA743" i="10"/>
  <c r="Z743" i="10"/>
  <c r="Y743" i="10"/>
  <c r="X743" i="10"/>
  <c r="W743" i="10"/>
  <c r="V743" i="10"/>
  <c r="U743" i="10"/>
  <c r="T743" i="10"/>
  <c r="S743" i="10"/>
  <c r="R743" i="10"/>
  <c r="Q743" i="10"/>
  <c r="P743" i="10"/>
  <c r="N743" i="10"/>
  <c r="M743" i="10"/>
  <c r="L743" i="10"/>
  <c r="K743" i="10"/>
  <c r="J743" i="10"/>
  <c r="I743" i="10"/>
  <c r="H743" i="10"/>
  <c r="G743" i="10"/>
  <c r="F743" i="10"/>
  <c r="AB742" i="10"/>
  <c r="AA742" i="10"/>
  <c r="Z742" i="10"/>
  <c r="Y742" i="10"/>
  <c r="X742" i="10"/>
  <c r="W742" i="10"/>
  <c r="V742" i="10"/>
  <c r="U742" i="10"/>
  <c r="T742" i="10"/>
  <c r="S742" i="10"/>
  <c r="R742" i="10"/>
  <c r="Q742" i="10"/>
  <c r="P742" i="10"/>
  <c r="N742" i="10"/>
  <c r="M742" i="10"/>
  <c r="L742" i="10"/>
  <c r="K742" i="10"/>
  <c r="J742" i="10"/>
  <c r="I742" i="10"/>
  <c r="H742" i="10"/>
  <c r="G742" i="10"/>
  <c r="F742" i="10"/>
  <c r="AB741" i="10"/>
  <c r="AA741" i="10"/>
  <c r="Z741" i="10"/>
  <c r="Y741" i="10"/>
  <c r="X741" i="10"/>
  <c r="W741" i="10"/>
  <c r="V741" i="10"/>
  <c r="U741" i="10"/>
  <c r="T741" i="10"/>
  <c r="S741" i="10"/>
  <c r="R741" i="10"/>
  <c r="Q741" i="10"/>
  <c r="P741" i="10"/>
  <c r="N741" i="10"/>
  <c r="M741" i="10"/>
  <c r="L741" i="10"/>
  <c r="K741" i="10"/>
  <c r="J741" i="10"/>
  <c r="I741" i="10"/>
  <c r="H741" i="10"/>
  <c r="G741" i="10"/>
  <c r="F741" i="10"/>
  <c r="AB740" i="10"/>
  <c r="AA740" i="10"/>
  <c r="Z740" i="10"/>
  <c r="Y740" i="10"/>
  <c r="X740" i="10"/>
  <c r="W740" i="10"/>
  <c r="V740" i="10"/>
  <c r="U740" i="10"/>
  <c r="T740" i="10"/>
  <c r="S740" i="10"/>
  <c r="R740" i="10"/>
  <c r="Q740" i="10"/>
  <c r="P740" i="10"/>
  <c r="N740" i="10"/>
  <c r="M740" i="10"/>
  <c r="L740" i="10"/>
  <c r="K740" i="10"/>
  <c r="J740" i="10"/>
  <c r="I740" i="10"/>
  <c r="H740" i="10"/>
  <c r="G740" i="10"/>
  <c r="F740" i="10"/>
  <c r="AB739" i="10"/>
  <c r="AA739" i="10"/>
  <c r="Z739" i="10"/>
  <c r="Y739" i="10"/>
  <c r="X739" i="10"/>
  <c r="W739" i="10"/>
  <c r="V739" i="10"/>
  <c r="U739" i="10"/>
  <c r="T739" i="10"/>
  <c r="S739" i="10"/>
  <c r="R739" i="10"/>
  <c r="Q739" i="10"/>
  <c r="P739" i="10"/>
  <c r="N739" i="10"/>
  <c r="M739" i="10"/>
  <c r="L739" i="10"/>
  <c r="K739" i="10"/>
  <c r="J739" i="10"/>
  <c r="I739" i="10"/>
  <c r="H739" i="10"/>
  <c r="G739" i="10"/>
  <c r="F739" i="10"/>
  <c r="AB738" i="10"/>
  <c r="AA738" i="10"/>
  <c r="Z738" i="10"/>
  <c r="Y738" i="10"/>
  <c r="X738" i="10"/>
  <c r="W738" i="10"/>
  <c r="V738" i="10"/>
  <c r="U738" i="10"/>
  <c r="T738" i="10"/>
  <c r="S738" i="10"/>
  <c r="R738" i="10"/>
  <c r="Q738" i="10"/>
  <c r="P738" i="10"/>
  <c r="N738" i="10"/>
  <c r="M738" i="10"/>
  <c r="L738" i="10"/>
  <c r="K738" i="10"/>
  <c r="J738" i="10"/>
  <c r="I738" i="10"/>
  <c r="H738" i="10"/>
  <c r="G738" i="10"/>
  <c r="F738" i="10"/>
  <c r="AB737" i="10"/>
  <c r="AA737" i="10"/>
  <c r="Z737" i="10"/>
  <c r="Y737" i="10"/>
  <c r="X737" i="10"/>
  <c r="W737" i="10"/>
  <c r="V737" i="10"/>
  <c r="U737" i="10"/>
  <c r="T737" i="10"/>
  <c r="S737" i="10"/>
  <c r="R737" i="10"/>
  <c r="Q737" i="10"/>
  <c r="P737" i="10"/>
  <c r="N737" i="10"/>
  <c r="M737" i="10"/>
  <c r="L737" i="10"/>
  <c r="K737" i="10"/>
  <c r="J737" i="10"/>
  <c r="I737" i="10"/>
  <c r="H737" i="10"/>
  <c r="G737" i="10"/>
  <c r="F737" i="10"/>
  <c r="AB736" i="10"/>
  <c r="AA736" i="10"/>
  <c r="Z736" i="10"/>
  <c r="Y736" i="10"/>
  <c r="X736" i="10"/>
  <c r="W736" i="10"/>
  <c r="V736" i="10"/>
  <c r="U736" i="10"/>
  <c r="T736" i="10"/>
  <c r="S736" i="10"/>
  <c r="R736" i="10"/>
  <c r="Q736" i="10"/>
  <c r="P736" i="10"/>
  <c r="N736" i="10"/>
  <c r="M736" i="10"/>
  <c r="L736" i="10"/>
  <c r="K736" i="10"/>
  <c r="J736" i="10"/>
  <c r="I736" i="10"/>
  <c r="H736" i="10"/>
  <c r="G736" i="10"/>
  <c r="F736" i="10"/>
  <c r="AB735" i="10"/>
  <c r="AA735" i="10"/>
  <c r="Z735" i="10"/>
  <c r="Y735" i="10"/>
  <c r="X735" i="10"/>
  <c r="W735" i="10"/>
  <c r="V735" i="10"/>
  <c r="U735" i="10"/>
  <c r="T735" i="10"/>
  <c r="S735" i="10"/>
  <c r="R735" i="10"/>
  <c r="Q735" i="10"/>
  <c r="P735" i="10"/>
  <c r="N735" i="10"/>
  <c r="M735" i="10"/>
  <c r="L735" i="10"/>
  <c r="K735" i="10"/>
  <c r="J735" i="10"/>
  <c r="I735" i="10"/>
  <c r="H735" i="10"/>
  <c r="G735" i="10"/>
  <c r="F735" i="10"/>
  <c r="AB734" i="10"/>
  <c r="AA734" i="10"/>
  <c r="Z734" i="10"/>
  <c r="Y734" i="10"/>
  <c r="X734" i="10"/>
  <c r="W734" i="10"/>
  <c r="V734" i="10"/>
  <c r="U734" i="10"/>
  <c r="T734" i="10"/>
  <c r="S734" i="10"/>
  <c r="R734" i="10"/>
  <c r="Q734" i="10"/>
  <c r="P734" i="10"/>
  <c r="N734" i="10"/>
  <c r="M734" i="10"/>
  <c r="L734" i="10"/>
  <c r="K734" i="10"/>
  <c r="J734" i="10"/>
  <c r="I734" i="10"/>
  <c r="H734" i="10"/>
  <c r="G734" i="10"/>
  <c r="F734" i="10"/>
  <c r="AB733" i="10"/>
  <c r="AA733" i="10"/>
  <c r="Z733" i="10"/>
  <c r="Y733" i="10"/>
  <c r="X733" i="10"/>
  <c r="W733" i="10"/>
  <c r="V733" i="10"/>
  <c r="U733" i="10"/>
  <c r="T733" i="10"/>
  <c r="S733" i="10"/>
  <c r="R733" i="10"/>
  <c r="Q733" i="10"/>
  <c r="P733" i="10"/>
  <c r="N733" i="10"/>
  <c r="M733" i="10"/>
  <c r="L733" i="10"/>
  <c r="K733" i="10"/>
  <c r="J733" i="10"/>
  <c r="I733" i="10"/>
  <c r="H733" i="10"/>
  <c r="G733" i="10"/>
  <c r="F733" i="10"/>
  <c r="AB732" i="10"/>
  <c r="AA732" i="10"/>
  <c r="Z732" i="10"/>
  <c r="Y732" i="10"/>
  <c r="X732" i="10"/>
  <c r="W732" i="10"/>
  <c r="V732" i="10"/>
  <c r="U732" i="10"/>
  <c r="T732" i="10"/>
  <c r="S732" i="10"/>
  <c r="R732" i="10"/>
  <c r="Q732" i="10"/>
  <c r="P732" i="10"/>
  <c r="N732" i="10"/>
  <c r="M732" i="10"/>
  <c r="L732" i="10"/>
  <c r="K732" i="10"/>
  <c r="J732" i="10"/>
  <c r="I732" i="10"/>
  <c r="H732" i="10"/>
  <c r="G732" i="10"/>
  <c r="F732" i="10"/>
  <c r="AB731" i="10"/>
  <c r="AA731" i="10"/>
  <c r="Z731" i="10"/>
  <c r="Y731" i="10"/>
  <c r="X731" i="10"/>
  <c r="W731" i="10"/>
  <c r="V731" i="10"/>
  <c r="U731" i="10"/>
  <c r="T731" i="10"/>
  <c r="S731" i="10"/>
  <c r="R731" i="10"/>
  <c r="Q731" i="10"/>
  <c r="P731" i="10"/>
  <c r="N731" i="10"/>
  <c r="M731" i="10"/>
  <c r="L731" i="10"/>
  <c r="K731" i="10"/>
  <c r="J731" i="10"/>
  <c r="I731" i="10"/>
  <c r="H731" i="10"/>
  <c r="G731" i="10"/>
  <c r="F731" i="10"/>
  <c r="AB730" i="10"/>
  <c r="AA730" i="10"/>
  <c r="Z730" i="10"/>
  <c r="Y730" i="10"/>
  <c r="X730" i="10"/>
  <c r="W730" i="10"/>
  <c r="V730" i="10"/>
  <c r="U730" i="10"/>
  <c r="T730" i="10"/>
  <c r="S730" i="10"/>
  <c r="R730" i="10"/>
  <c r="Q730" i="10"/>
  <c r="P730" i="10"/>
  <c r="N730" i="10"/>
  <c r="M730" i="10"/>
  <c r="L730" i="10"/>
  <c r="K730" i="10"/>
  <c r="J730" i="10"/>
  <c r="I730" i="10"/>
  <c r="H730" i="10"/>
  <c r="G730" i="10"/>
  <c r="F730" i="10"/>
  <c r="AB729" i="10"/>
  <c r="AA729" i="10"/>
  <c r="Z729" i="10"/>
  <c r="Y729" i="10"/>
  <c r="X729" i="10"/>
  <c r="W729" i="10"/>
  <c r="V729" i="10"/>
  <c r="U729" i="10"/>
  <c r="T729" i="10"/>
  <c r="S729" i="10"/>
  <c r="R729" i="10"/>
  <c r="Q729" i="10"/>
  <c r="P729" i="10"/>
  <c r="N729" i="10"/>
  <c r="M729" i="10"/>
  <c r="L729" i="10"/>
  <c r="K729" i="10"/>
  <c r="J729" i="10"/>
  <c r="I729" i="10"/>
  <c r="H729" i="10"/>
  <c r="G729" i="10"/>
  <c r="F729" i="10"/>
  <c r="AB728" i="10"/>
  <c r="AA728" i="10"/>
  <c r="Z728" i="10"/>
  <c r="Y728" i="10"/>
  <c r="X728" i="10"/>
  <c r="W728" i="10"/>
  <c r="V728" i="10"/>
  <c r="U728" i="10"/>
  <c r="T728" i="10"/>
  <c r="S728" i="10"/>
  <c r="R728" i="10"/>
  <c r="Q728" i="10"/>
  <c r="P728" i="10"/>
  <c r="N728" i="10"/>
  <c r="M728" i="10"/>
  <c r="L728" i="10"/>
  <c r="K728" i="10"/>
  <c r="J728" i="10"/>
  <c r="I728" i="10"/>
  <c r="H728" i="10"/>
  <c r="G728" i="10"/>
  <c r="F728" i="10"/>
  <c r="AB727" i="10"/>
  <c r="AA727" i="10"/>
  <c r="Z727" i="10"/>
  <c r="Y727" i="10"/>
  <c r="X727" i="10"/>
  <c r="W727" i="10"/>
  <c r="V727" i="10"/>
  <c r="U727" i="10"/>
  <c r="T727" i="10"/>
  <c r="S727" i="10"/>
  <c r="R727" i="10"/>
  <c r="Q727" i="10"/>
  <c r="P727" i="10"/>
  <c r="N727" i="10"/>
  <c r="M727" i="10"/>
  <c r="L727" i="10"/>
  <c r="K727" i="10"/>
  <c r="J727" i="10"/>
  <c r="I727" i="10"/>
  <c r="H727" i="10"/>
  <c r="G727" i="10"/>
  <c r="F727" i="10"/>
  <c r="AB726" i="10"/>
  <c r="AA726" i="10"/>
  <c r="Z726" i="10"/>
  <c r="Y726" i="10"/>
  <c r="X726" i="10"/>
  <c r="W726" i="10"/>
  <c r="V726" i="10"/>
  <c r="U726" i="10"/>
  <c r="T726" i="10"/>
  <c r="S726" i="10"/>
  <c r="R726" i="10"/>
  <c r="Q726" i="10"/>
  <c r="P726" i="10"/>
  <c r="N726" i="10"/>
  <c r="M726" i="10"/>
  <c r="L726" i="10"/>
  <c r="K726" i="10"/>
  <c r="J726" i="10"/>
  <c r="I726" i="10"/>
  <c r="H726" i="10"/>
  <c r="G726" i="10"/>
  <c r="F726" i="10"/>
  <c r="AB725" i="10"/>
  <c r="AA725" i="10"/>
  <c r="Z725" i="10"/>
  <c r="Y725" i="10"/>
  <c r="X725" i="10"/>
  <c r="W725" i="10"/>
  <c r="V725" i="10"/>
  <c r="U725" i="10"/>
  <c r="T725" i="10"/>
  <c r="S725" i="10"/>
  <c r="R725" i="10"/>
  <c r="Q725" i="10"/>
  <c r="P725" i="10"/>
  <c r="N725" i="10"/>
  <c r="M725" i="10"/>
  <c r="L725" i="10"/>
  <c r="K725" i="10"/>
  <c r="J725" i="10"/>
  <c r="I725" i="10"/>
  <c r="H725" i="10"/>
  <c r="G725" i="10"/>
  <c r="F725" i="10"/>
  <c r="AB724" i="10"/>
  <c r="AA724" i="10"/>
  <c r="Z724" i="10"/>
  <c r="Y724" i="10"/>
  <c r="X724" i="10"/>
  <c r="W724" i="10"/>
  <c r="V724" i="10"/>
  <c r="U724" i="10"/>
  <c r="T724" i="10"/>
  <c r="S724" i="10"/>
  <c r="R724" i="10"/>
  <c r="Q724" i="10"/>
  <c r="P724" i="10"/>
  <c r="N724" i="10"/>
  <c r="M724" i="10"/>
  <c r="L724" i="10"/>
  <c r="K724" i="10"/>
  <c r="J724" i="10"/>
  <c r="I724" i="10"/>
  <c r="H724" i="10"/>
  <c r="G724" i="10"/>
  <c r="F724" i="10"/>
  <c r="AB723" i="10"/>
  <c r="AA723" i="10"/>
  <c r="Z723" i="10"/>
  <c r="Y723" i="10"/>
  <c r="X723" i="10"/>
  <c r="W723" i="10"/>
  <c r="V723" i="10"/>
  <c r="U723" i="10"/>
  <c r="T723" i="10"/>
  <c r="S723" i="10"/>
  <c r="R723" i="10"/>
  <c r="Q723" i="10"/>
  <c r="P723" i="10"/>
  <c r="N723" i="10"/>
  <c r="M723" i="10"/>
  <c r="L723" i="10"/>
  <c r="K723" i="10"/>
  <c r="J723" i="10"/>
  <c r="I723" i="10"/>
  <c r="H723" i="10"/>
  <c r="G723" i="10"/>
  <c r="F723" i="10"/>
  <c r="AB722" i="10"/>
  <c r="AA722" i="10"/>
  <c r="Z722" i="10"/>
  <c r="Y722" i="10"/>
  <c r="X722" i="10"/>
  <c r="W722" i="10"/>
  <c r="V722" i="10"/>
  <c r="U722" i="10"/>
  <c r="T722" i="10"/>
  <c r="S722" i="10"/>
  <c r="R722" i="10"/>
  <c r="Q722" i="10"/>
  <c r="P722" i="10"/>
  <c r="N722" i="10"/>
  <c r="M722" i="10"/>
  <c r="L722" i="10"/>
  <c r="K722" i="10"/>
  <c r="J722" i="10"/>
  <c r="I722" i="10"/>
  <c r="H722" i="10"/>
  <c r="G722" i="10"/>
  <c r="F722" i="10"/>
  <c r="AB721" i="10"/>
  <c r="AA721" i="10"/>
  <c r="Z721" i="10"/>
  <c r="Y721" i="10"/>
  <c r="X721" i="10"/>
  <c r="W721" i="10"/>
  <c r="V721" i="10"/>
  <c r="U721" i="10"/>
  <c r="T721" i="10"/>
  <c r="S721" i="10"/>
  <c r="R721" i="10"/>
  <c r="Q721" i="10"/>
  <c r="P721" i="10"/>
  <c r="N721" i="10"/>
  <c r="M721" i="10"/>
  <c r="L721" i="10"/>
  <c r="K721" i="10"/>
  <c r="J721" i="10"/>
  <c r="I721" i="10"/>
  <c r="H721" i="10"/>
  <c r="G721" i="10"/>
  <c r="F721" i="10"/>
  <c r="AB720" i="10"/>
  <c r="AA720" i="10"/>
  <c r="Z720" i="10"/>
  <c r="Y720" i="10"/>
  <c r="X720" i="10"/>
  <c r="W720" i="10"/>
  <c r="V720" i="10"/>
  <c r="U720" i="10"/>
  <c r="T720" i="10"/>
  <c r="S720" i="10"/>
  <c r="R720" i="10"/>
  <c r="Q720" i="10"/>
  <c r="P720" i="10"/>
  <c r="N720" i="10"/>
  <c r="M720" i="10"/>
  <c r="L720" i="10"/>
  <c r="K720" i="10"/>
  <c r="J720" i="10"/>
  <c r="I720" i="10"/>
  <c r="H720" i="10"/>
  <c r="G720" i="10"/>
  <c r="F720" i="10"/>
  <c r="AB719" i="10"/>
  <c r="AA719" i="10"/>
  <c r="Z719" i="10"/>
  <c r="Y719" i="10"/>
  <c r="X719" i="10"/>
  <c r="W719" i="10"/>
  <c r="V719" i="10"/>
  <c r="U719" i="10"/>
  <c r="T719" i="10"/>
  <c r="S719" i="10"/>
  <c r="R719" i="10"/>
  <c r="Q719" i="10"/>
  <c r="P719" i="10"/>
  <c r="N719" i="10"/>
  <c r="M719" i="10"/>
  <c r="L719" i="10"/>
  <c r="K719" i="10"/>
  <c r="J719" i="10"/>
  <c r="I719" i="10"/>
  <c r="H719" i="10"/>
  <c r="G719" i="10"/>
  <c r="F719" i="10"/>
  <c r="T718" i="10"/>
  <c r="R718" i="10"/>
  <c r="G718" i="10"/>
  <c r="F718" i="10"/>
  <c r="T717" i="10"/>
  <c r="R717" i="10"/>
  <c r="G717" i="10"/>
  <c r="F717" i="10"/>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P6" i="10"/>
  <c r="H6" i="10"/>
  <c r="G6" i="10"/>
  <c r="F6" i="10"/>
  <c r="U5" i="10"/>
  <c r="T5" i="10"/>
  <c r="R5" i="10"/>
  <c r="H5" i="10"/>
  <c r="G5" i="10"/>
  <c r="F5" i="10"/>
  <c r="U4" i="10"/>
  <c r="Y6" i="10" s="1"/>
  <c r="T4" i="10"/>
  <c r="R4" i="10"/>
  <c r="P4" i="10"/>
  <c r="Q4" i="10" s="1"/>
  <c r="H4" i="10"/>
  <c r="P5" i="10" s="1"/>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O718" i="10" l="1"/>
  <c r="L718" i="10"/>
  <c r="S717" i="10"/>
  <c r="I717" i="10" s="1"/>
  <c r="S718" i="10"/>
  <c r="I718" i="10" s="1"/>
  <c r="K718" i="10" s="1"/>
  <c r="O717" i="10"/>
  <c r="K717" i="10"/>
  <c r="F327" i="13"/>
  <c r="G327" i="13" s="1"/>
  <c r="I327" i="13" s="1"/>
  <c r="L717" i="10"/>
  <c r="O716" i="10"/>
  <c r="L716" i="10"/>
  <c r="S715" i="10"/>
  <c r="I715" i="10" s="1"/>
  <c r="S716" i="10"/>
  <c r="I716" i="10" s="1"/>
  <c r="K716" i="10" s="1"/>
  <c r="O715" i="10"/>
  <c r="K715" i="10"/>
  <c r="F326" i="13"/>
  <c r="G326" i="13" s="1"/>
  <c r="I326" i="13" s="1"/>
  <c r="Y326" i="13" s="1"/>
  <c r="L715" i="10"/>
  <c r="O714" i="10"/>
  <c r="L714" i="10"/>
  <c r="S713" i="10"/>
  <c r="I713" i="10" s="1"/>
  <c r="S714" i="10"/>
  <c r="I714" i="10" s="1"/>
  <c r="K714" i="10" s="1"/>
  <c r="O713" i="10"/>
  <c r="O712" i="10"/>
  <c r="K713" i="10"/>
  <c r="F325" i="13"/>
  <c r="G325" i="13" s="1"/>
  <c r="I325" i="13" s="1"/>
  <c r="Y325" i="13" s="1"/>
  <c r="L713" i="10"/>
  <c r="O711" i="10"/>
  <c r="L712" i="10"/>
  <c r="S711" i="10"/>
  <c r="I711" i="10" s="1"/>
  <c r="S712" i="10"/>
  <c r="I712" i="10" s="1"/>
  <c r="K712" i="10" s="1"/>
  <c r="O709" i="10"/>
  <c r="K711" i="10"/>
  <c r="F324" i="13"/>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O57" i="10"/>
  <c r="L79" i="10"/>
  <c r="O79" i="10"/>
  <c r="L109" i="10"/>
  <c r="O109" i="10"/>
  <c r="L165" i="10"/>
  <c r="O165" i="10"/>
  <c r="E125" i="13"/>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O404" i="10"/>
  <c r="E199" i="13"/>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O458" i="10"/>
  <c r="L500" i="10"/>
  <c r="O500" i="10"/>
  <c r="E279" i="13"/>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O29" i="10"/>
  <c r="L44" i="10"/>
  <c r="O44" i="10"/>
  <c r="L115" i="10"/>
  <c r="O115" i="10"/>
  <c r="L119" i="10"/>
  <c r="O119" i="10"/>
  <c r="L163" i="10"/>
  <c r="O163" i="10"/>
  <c r="E124" i="13"/>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L15" i="10"/>
  <c r="E27" i="13"/>
  <c r="L19" i="10"/>
  <c r="E29" i="13"/>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H228" i="13" a="1"/>
  <c r="H228" i="13" s="1"/>
  <c r="Y680" i="13"/>
  <c r="H279" i="13" a="1"/>
  <c r="H279" i="13" s="1"/>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D3" i="11"/>
  <c r="H21" i="12"/>
  <c r="J21" i="12" s="1"/>
  <c r="K21" i="12" s="1"/>
  <c r="AN13" i="13"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R45" i="11" s="1"/>
  <c r="P38"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H27" i="13" a="1"/>
  <c r="H27" i="13"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H29" i="13" a="1"/>
  <c r="H29" i="13" s="1"/>
  <c r="E93" i="7"/>
  <c r="U17" i="13"/>
  <c r="Y10" i="10"/>
  <c r="Z10" i="10" s="1"/>
  <c r="AA10" i="10" s="1"/>
  <c r="AB10" i="10" s="1"/>
  <c r="F111" i="7" s="1"/>
  <c r="S5" i="10"/>
  <c r="I5" i="10" s="1"/>
  <c r="K5" i="10" s="1"/>
  <c r="H26" i="13" a="1"/>
  <c r="H26" i="13" s="1"/>
  <c r="Y13" i="10"/>
  <c r="Z13" i="10" s="1"/>
  <c r="AA13" i="10" s="1"/>
  <c r="AB13" i="10" s="1"/>
  <c r="L111" i="7" s="1"/>
  <c r="L22" i="10"/>
  <c r="S25" i="10"/>
  <c r="I25" i="10" s="1"/>
  <c r="K25" i="10" s="1"/>
  <c r="H34" i="13" a="1"/>
  <c r="H34" i="13"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H48" i="13" a="1"/>
  <c r="H48" i="13" s="1"/>
  <c r="L57" i="10"/>
  <c r="Y77" i="10"/>
  <c r="Z77" i="10" s="1"/>
  <c r="U15" i="13"/>
  <c r="H54" i="13" a="1"/>
  <c r="H54" i="13" s="1"/>
  <c r="L69" i="10"/>
  <c r="H50" i="13" a="1"/>
  <c r="H50" i="13" s="1"/>
  <c r="L61" i="10"/>
  <c r="H58" i="13" a="1"/>
  <c r="H58" i="13" s="1"/>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H87" i="13" a="1"/>
  <c r="H87" i="13" s="1"/>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H124" i="13" a="1"/>
  <c r="H124" i="13" s="1"/>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H125" i="13" a="1"/>
  <c r="H125" i="13" s="1"/>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H159" i="13" a="1"/>
  <c r="H159" i="13"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H198" i="13" a="1"/>
  <c r="H198" i="13"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H150" i="13" a="1"/>
  <c r="H150" i="13" s="1"/>
  <c r="L300" i="10"/>
  <c r="H158" i="13" a="1"/>
  <c r="H158" i="13" s="1"/>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H197" i="13" a="1"/>
  <c r="H197" i="13" s="1"/>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H199" i="13" a="1"/>
  <c r="H199" i="13" s="1"/>
  <c r="L408" i="10"/>
  <c r="S395" i="10"/>
  <c r="I395" i="10" s="1"/>
  <c r="K395" i="10" s="1"/>
  <c r="H163" i="13" a="1"/>
  <c r="H163" i="13" s="1"/>
  <c r="L326" i="10"/>
  <c r="H196" i="13" a="1"/>
  <c r="H196" i="13" s="1"/>
  <c r="L402" i="10"/>
  <c r="L432" i="10"/>
  <c r="S426" i="10"/>
  <c r="I426" i="10" s="1"/>
  <c r="F206" i="13" s="1"/>
  <c r="S429" i="10"/>
  <c r="I429" i="10" s="1"/>
  <c r="F208" i="13" s="1"/>
  <c r="Y457" i="10"/>
  <c r="Y456" i="10"/>
  <c r="Z456" i="10" s="1"/>
  <c r="H221" i="13" a="1"/>
  <c r="H221" i="13"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R43" i="11" s="1"/>
  <c r="S472" i="10"/>
  <c r="I472" i="10" s="1"/>
  <c r="K472" i="10" s="1"/>
  <c r="L484" i="10"/>
  <c r="S491" i="10"/>
  <c r="I491" i="10" s="1"/>
  <c r="F235" i="13" s="1"/>
  <c r="S492" i="10"/>
  <c r="I492" i="10" s="1"/>
  <c r="K492" i="10" s="1"/>
  <c r="R33" i="11"/>
  <c r="V13" i="13"/>
  <c r="G14" i="13"/>
  <c r="H14" i="13" s="1"/>
  <c r="P49" i="11"/>
  <c r="S470" i="10"/>
  <c r="I470" i="10" s="1"/>
  <c r="F227" i="13" s="1"/>
  <c r="S478" i="10"/>
  <c r="I478" i="10" s="1"/>
  <c r="K478" i="10" s="1"/>
  <c r="Q49" i="11"/>
  <c r="G12" i="13"/>
  <c r="H12" i="13" s="1"/>
  <c r="Q15" i="13"/>
  <c r="Q16" i="13"/>
  <c r="T16" i="13" s="1"/>
  <c r="Q44" i="11"/>
  <c r="P44" i="11"/>
  <c r="H20" i="12"/>
  <c r="J20" i="12" s="1"/>
  <c r="K20" i="12" s="1"/>
  <c r="O25" i="12" s="1"/>
  <c r="Q9" i="13"/>
  <c r="T9" i="13" s="1"/>
  <c r="L490" i="10"/>
  <c r="S494" i="10"/>
  <c r="I494" i="10" s="1"/>
  <c r="F236" i="13" s="1"/>
  <c r="I20" i="12"/>
  <c r="V9" i="13"/>
  <c r="H229" i="13" a="1"/>
  <c r="H229" i="13" s="1"/>
  <c r="L480" i="10"/>
  <c r="R9" i="11"/>
  <c r="P35" i="11"/>
  <c r="H19" i="12"/>
  <c r="K22" i="12"/>
  <c r="O22" i="12" s="1"/>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L492" i="10"/>
  <c r="Q31" i="11"/>
  <c r="AH8" i="13"/>
  <c r="L475" i="10"/>
  <c r="L481" i="10"/>
  <c r="S484" i="10"/>
  <c r="I484" i="10" s="1"/>
  <c r="K484" i="10" s="1"/>
  <c r="P31" i="1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F234" i="13" s="1"/>
  <c r="Y374" i="13"/>
  <c r="Y358" i="13"/>
  <c r="Y342" i="13"/>
  <c r="Y437" i="13"/>
  <c r="Y421" i="13"/>
  <c r="Y405" i="13"/>
  <c r="Y389" i="13"/>
  <c r="Y373" i="13"/>
  <c r="Y444" i="13"/>
  <c r="Y428" i="13"/>
  <c r="Y412" i="13"/>
  <c r="Y396" i="13"/>
  <c r="Y380" i="13"/>
  <c r="Y364" i="13"/>
  <c r="Y348" i="13"/>
  <c r="Y332"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39" i="13"/>
  <c r="Y367" i="13"/>
  <c r="Y355" i="13"/>
  <c r="Y344" i="13"/>
  <c r="Y360" i="13"/>
  <c r="Y346" i="13"/>
  <c r="Y369" i="13"/>
  <c r="Y341" i="13"/>
  <c r="Y328" i="13"/>
  <c r="Y357" i="13"/>
  <c r="Y330" i="13"/>
  <c r="Y376" i="13"/>
  <c r="Y343" i="13"/>
  <c r="Y351" i="13"/>
  <c r="Y335" i="13"/>
  <c r="Y353" i="13"/>
  <c r="Y337" i="13"/>
  <c r="Y327" i="13"/>
  <c r="AG19" i="13"/>
  <c r="AG11" i="13"/>
  <c r="AH18" i="13"/>
  <c r="AH10" i="13"/>
  <c r="AH17" i="13"/>
  <c r="AH9" i="13"/>
  <c r="AG17" i="13"/>
  <c r="AH19" i="13"/>
  <c r="AG10" i="13"/>
  <c r="AG14" i="13"/>
  <c r="AH11" i="13"/>
  <c r="AH7" i="13"/>
  <c r="AH20" i="13"/>
  <c r="AG20" i="13"/>
  <c r="AG15" i="13"/>
  <c r="AH12" i="13"/>
  <c r="AG8" i="13"/>
  <c r="AG12" i="13"/>
  <c r="I19" i="12"/>
  <c r="V19" i="13"/>
  <c r="R55" i="11"/>
  <c r="Q11" i="13"/>
  <c r="Q17" i="13"/>
  <c r="R17" i="13" s="1"/>
  <c r="V8" i="13"/>
  <c r="V16" i="13"/>
  <c r="Y379" i="13"/>
  <c r="Y386" i="13"/>
  <c r="Y402" i="13"/>
  <c r="Y418" i="13"/>
  <c r="Y434" i="13"/>
  <c r="Y372" i="13"/>
  <c r="Y391" i="13"/>
  <c r="Y407" i="13"/>
  <c r="Y423" i="13"/>
  <c r="Y366" i="13"/>
  <c r="Y333" i="13"/>
  <c r="Y338" i="13"/>
  <c r="Y354" i="13"/>
  <c r="Y395" i="13"/>
  <c r="Y411" i="13"/>
  <c r="Y427" i="13"/>
  <c r="Y336" i="13"/>
  <c r="Y349" i="13"/>
  <c r="Y439" i="13"/>
  <c r="Y352" i="13"/>
  <c r="Y363" i="13"/>
  <c r="Y384" i="13"/>
  <c r="Y377" i="13"/>
  <c r="Y400" i="13"/>
  <c r="Y416" i="13"/>
  <c r="Y432" i="13"/>
  <c r="Y443" i="13"/>
  <c r="Y334" i="13"/>
  <c r="Y381" i="13"/>
  <c r="Y331" i="13"/>
  <c r="Y350" i="13"/>
  <c r="Y388" i="13"/>
  <c r="Y404" i="13"/>
  <c r="Y420" i="13"/>
  <c r="Y370" i="13"/>
  <c r="Y436" i="13"/>
  <c r="Y347" i="13"/>
  <c r="Y361" i="13"/>
  <c r="Y393" i="13"/>
  <c r="Y397" i="13"/>
  <c r="Y409" i="13"/>
  <c r="Y413" i="13"/>
  <c r="Y425" i="13"/>
  <c r="Y429" i="13"/>
  <c r="Y382" i="13"/>
  <c r="Y375" i="13"/>
  <c r="Y345" i="13"/>
  <c r="Y441" i="13"/>
  <c r="Y356" i="13"/>
  <c r="Y359" i="13"/>
  <c r="Y365" i="13"/>
  <c r="Y368" i="13"/>
  <c r="Y390" i="13"/>
  <c r="Y398" i="13"/>
  <c r="Y406" i="13"/>
  <c r="Y414" i="13"/>
  <c r="Y422" i="13"/>
  <c r="Y430" i="13"/>
  <c r="Y340" i="13"/>
  <c r="Y438" i="13"/>
  <c r="G38" i="13" l="1"/>
  <c r="I38" i="13" s="1"/>
  <c r="Y38" i="13" s="1"/>
  <c r="G324" i="13"/>
  <c r="I324" i="13" s="1"/>
  <c r="Y324"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F97" i="13"/>
  <c r="G97" i="13" s="1"/>
  <c r="I97" i="13" s="1"/>
  <c r="Y97" i="13" s="1"/>
  <c r="F105" i="13"/>
  <c r="F99" i="13"/>
  <c r="G99" i="13" s="1"/>
  <c r="I99" i="13" s="1"/>
  <c r="Y99" i="13" s="1"/>
  <c r="K363" i="10"/>
  <c r="F104" i="13"/>
  <c r="K216" i="10"/>
  <c r="K132" i="10"/>
  <c r="F95" i="13"/>
  <c r="G95" i="13" s="1"/>
  <c r="I95" i="13" s="1"/>
  <c r="Y95" i="13" s="1"/>
  <c r="F98" i="13"/>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G215" i="13"/>
  <c r="I215" i="13" s="1"/>
  <c r="Y215" i="13" s="1"/>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A11" i="9" s="1"/>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G105" i="13"/>
  <c r="I105" i="13" s="1"/>
  <c r="Y105" i="13" s="1"/>
  <c r="K196" i="10"/>
  <c r="G58" i="13"/>
  <c r="I58" i="13" s="1"/>
  <c r="Y58" i="13" s="1"/>
  <c r="K77" i="10"/>
  <c r="G226" i="13"/>
  <c r="I226" i="13" s="1"/>
  <c r="Y226" i="13" s="1"/>
  <c r="K468" i="10"/>
  <c r="G104" i="13"/>
  <c r="I104" i="13" s="1"/>
  <c r="Y104" i="13" s="1"/>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G109" i="13"/>
  <c r="I109" i="13" s="1"/>
  <c r="Y109" i="13" s="1"/>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G98" i="13"/>
  <c r="I98" i="13" s="1"/>
  <c r="Y98" i="13" s="1"/>
  <c r="K168" i="10"/>
  <c r="AC20" i="13"/>
  <c r="AC19" i="13"/>
  <c r="AI20" i="13" l="1"/>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34" i="10" l="1"/>
  <c r="AB34" i="10" s="1"/>
  <c r="U81" i="10" s="1"/>
  <c r="AA33" i="10"/>
  <c r="AB33" i="10" s="1"/>
  <c r="U57" i="10" s="1"/>
  <c r="Y57" i="10" s="1"/>
  <c r="Z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468" i="10" l="1"/>
  <c r="Z468" i="10" s="1"/>
  <c r="Y469" i="10"/>
  <c r="Z469" i="10" s="1"/>
  <c r="Y667" i="10"/>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469" i="10" l="1"/>
  <c r="AB469" i="10" s="1"/>
  <c r="AA468" i="10"/>
  <c r="AB468" i="10" s="1"/>
  <c r="AA667" i="10"/>
  <c r="AB667" i="10" s="1"/>
  <c r="U670" i="10" s="1"/>
  <c r="Y671" i="10" s="1"/>
  <c r="AA383" i="10"/>
  <c r="AB383" i="10" s="1"/>
  <c r="U385" i="10" s="1"/>
  <c r="U669" i="10"/>
  <c r="U671" i="10"/>
  <c r="U656" i="10"/>
  <c r="U655" i="10"/>
  <c r="AA570" i="10"/>
  <c r="AB570" i="10" s="1"/>
  <c r="U597" i="10" s="1"/>
  <c r="U602" i="10"/>
  <c r="U598" i="10"/>
  <c r="Y526" i="10"/>
  <c r="Z526" i="10" s="1"/>
  <c r="AA526" i="10" s="1"/>
  <c r="AB526" i="10" s="1"/>
  <c r="Y524" i="10"/>
  <c r="Y527" i="10"/>
  <c r="Z527" i="10" s="1"/>
  <c r="Y525" i="10"/>
  <c r="Z525" i="10" s="1"/>
  <c r="AA525" i="10" s="1"/>
  <c r="AB525" i="10" s="1"/>
  <c r="Y528" i="10"/>
  <c r="Z502" i="10"/>
  <c r="C33" i="3"/>
  <c r="Y147" i="10"/>
  <c r="Y146" i="10"/>
  <c r="Z146" i="10" s="1"/>
  <c r="H5" i="5"/>
  <c r="Y59" i="10"/>
  <c r="Z59" i="10" s="1"/>
  <c r="Y60" i="10"/>
  <c r="Z60" i="10" s="1"/>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69" i="10" l="1"/>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AA386" i="10" l="1"/>
  <c r="AB386" i="10" s="1"/>
  <c r="U403" i="10" s="1"/>
  <c r="AA385" i="10"/>
  <c r="AB385" i="10" s="1"/>
  <c r="U402" i="10" s="1"/>
  <c r="U674" i="10"/>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H18" i="10"/>
  <c r="AA247" i="10"/>
  <c r="AB247" i="10" s="1"/>
  <c r="U249" i="10" s="1"/>
  <c r="AA246" i="10"/>
  <c r="AB246" i="10" s="1"/>
  <c r="U248" i="10" s="1"/>
  <c r="Z61" i="10"/>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402" i="10" l="1"/>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AA403" i="10" l="1"/>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D106" i="7" s="1"/>
  <c r="AA679" i="10"/>
  <c r="AB679" i="10" s="1"/>
  <c r="G106" i="7"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AA404" i="10" l="1"/>
  <c r="AB404" i="10" s="1"/>
  <c r="U406" i="10" s="1"/>
  <c r="AA405" i="10"/>
  <c r="AB405" i="10" s="1"/>
  <c r="U407" i="10" s="1"/>
  <c r="J17" i="10"/>
  <c r="M17" i="10" s="1"/>
  <c r="N17" i="10" s="1"/>
  <c r="J18" i="10"/>
  <c r="M18" i="10" s="1"/>
  <c r="N18" i="10" s="1"/>
  <c r="H20" i="10" s="1"/>
  <c r="P106" i="7"/>
  <c r="B10" i="3" s="1"/>
  <c r="D10" i="3"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Y406" i="10" l="1"/>
  <c r="Z406" i="10" s="1"/>
  <c r="Y407" i="10"/>
  <c r="Z407" i="10" s="1"/>
  <c r="C10" i="3"/>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AA406" i="10" l="1"/>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Y408" i="10" l="1"/>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B121" i="7" s="1"/>
  <c r="AA409" i="10"/>
  <c r="AB409" i="10" s="1"/>
  <c r="I121" i="7"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l="1"/>
  <c r="B25" i="3" s="1"/>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D25" i="3" l="1"/>
  <c r="C25" i="3"/>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675" i="10" l="1"/>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13" i="10" l="1"/>
  <c r="Y714" i="10"/>
  <c r="Z713" i="10"/>
  <c r="AA677" i="10"/>
  <c r="AB677" i="10" s="1"/>
  <c r="F110" i="7" s="1"/>
  <c r="H9" i="5"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Z714" i="10" l="1"/>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AA714" i="10" l="1"/>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Y715" i="10" l="1"/>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AA716" i="10" l="1"/>
  <c r="AB716" i="10" s="1"/>
  <c r="U717" i="10" s="1"/>
  <c r="AA715" i="10"/>
  <c r="AB715" i="10" s="1"/>
  <c r="U718" i="10" s="1"/>
  <c r="Y626" i="10"/>
  <c r="Z626" i="10" s="1"/>
  <c r="AA626" i="10" s="1"/>
  <c r="AB626" i="10" s="1"/>
  <c r="G107" i="7" s="1"/>
  <c r="Y625" i="10"/>
  <c r="Z625" i="10"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Y717" i="10" l="1"/>
  <c r="Z717" i="10" s="1"/>
  <c r="Y718" i="10"/>
  <c r="Z718" i="10" s="1"/>
  <c r="AA625" i="10"/>
  <c r="AB625" i="10" s="1"/>
  <c r="L107" i="7" s="1"/>
  <c r="P107" i="7" s="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AA718" i="10" l="1"/>
  <c r="AB718" i="10" s="1"/>
  <c r="J110" i="7" s="1"/>
  <c r="AA717" i="10"/>
  <c r="AB717" i="10" s="1"/>
  <c r="I110" i="7" s="1"/>
  <c r="P110" i="7" s="1"/>
  <c r="B14" i="3" s="1"/>
  <c r="C11" i="3"/>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C14" i="3" l="1"/>
  <c r="D14" i="3"/>
  <c r="AA449" i="10"/>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H37" i="10" l="1"/>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AA565" i="10" l="1"/>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G108" i="7"/>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L108" i="7" s="1"/>
  <c r="P108" i="7" s="1"/>
  <c r="B12" i="3" s="1"/>
  <c r="C12" i="3" s="1"/>
  <c r="Y513" i="10"/>
  <c r="Z513" i="10" s="1"/>
  <c r="Y514" i="10"/>
  <c r="Z514" i="10" s="1"/>
  <c r="AA514" i="10" s="1"/>
  <c r="AB514" i="10" s="1"/>
  <c r="J49" i="10"/>
  <c r="M49" i="10" s="1"/>
  <c r="N49" i="10" s="1"/>
  <c r="J50" i="10"/>
  <c r="M50" i="10" s="1"/>
  <c r="N50" i="10" s="1"/>
  <c r="J67" i="10"/>
  <c r="M67" i="10" s="1"/>
  <c r="N67" i="10" s="1"/>
  <c r="J68" i="10"/>
  <c r="M68" i="10" s="1"/>
  <c r="N68" i="10" s="1"/>
  <c r="U685" i="10" l="1"/>
  <c r="U686" i="10"/>
  <c r="D12" i="3"/>
  <c r="AA513" i="10"/>
  <c r="AB513" i="10" s="1"/>
  <c r="U516" i="10"/>
  <c r="U515" i="10"/>
  <c r="K53" i="13"/>
  <c r="H69" i="10"/>
  <c r="H87" i="10"/>
  <c r="R44" i="13"/>
  <c r="H52" i="10"/>
  <c r="M44" i="13"/>
  <c r="H51" i="10"/>
  <c r="Y686" i="10" l="1"/>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AA685" i="10" l="1"/>
  <c r="AB685" i="10" s="1"/>
  <c r="U688" i="10"/>
  <c r="U687" i="10"/>
  <c r="AA515" i="10"/>
  <c r="AB515" i="10" s="1"/>
  <c r="U518" i="10"/>
  <c r="U517" i="10"/>
  <c r="W70" i="10"/>
  <c r="W69" i="10"/>
  <c r="X69" i="10" s="1"/>
  <c r="J86" i="10"/>
  <c r="M86" i="10" s="1"/>
  <c r="N86" i="10" s="1"/>
  <c r="J87" i="10"/>
  <c r="M87" i="10" s="1"/>
  <c r="N87" i="10" s="1"/>
  <c r="W52" i="10"/>
  <c r="X52" i="10" s="1"/>
  <c r="W51" i="10"/>
  <c r="X51" i="10" s="1"/>
  <c r="Y688" i="10" l="1"/>
  <c r="Z688" i="10" s="1"/>
  <c r="AA688" i="10" s="1"/>
  <c r="AB688" i="10" s="1"/>
  <c r="Y687" i="10"/>
  <c r="Z687" i="10" s="1"/>
  <c r="AA687" i="10" s="1"/>
  <c r="AB687" i="10" s="1"/>
  <c r="Y517" i="10"/>
  <c r="Z517" i="10" s="1"/>
  <c r="AA517" i="10" s="1"/>
  <c r="AB517" i="10" s="1"/>
  <c r="Y518" i="10"/>
  <c r="Z518" i="10" s="1"/>
  <c r="J51" i="10"/>
  <c r="M51" i="10" s="1"/>
  <c r="N51" i="10" s="1"/>
  <c r="J52" i="10"/>
  <c r="M52" i="10" s="1"/>
  <c r="N52" i="10" s="1"/>
  <c r="S62" i="13"/>
  <c r="H88" i="10"/>
  <c r="H89" i="10"/>
  <c r="U690" i="10" l="1"/>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AA702" i="10" s="1"/>
  <c r="AB702" i="10" s="1"/>
  <c r="Y701" i="10"/>
  <c r="Z701" i="10" s="1"/>
  <c r="AA701" i="10" s="1"/>
  <c r="AB701" i="10" s="1"/>
  <c r="AA543" i="10"/>
  <c r="AB543" i="10" s="1"/>
  <c r="U555" i="10"/>
  <c r="U545" i="10"/>
  <c r="V74" i="10"/>
  <c r="V58" i="10"/>
  <c r="X58" i="10" s="1"/>
  <c r="Q58" i="10"/>
  <c r="U704" i="10" l="1"/>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G124" i="7"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B124" i="7" s="1"/>
  <c r="AA711" i="10"/>
  <c r="AB711" i="10" s="1"/>
  <c r="I124" i="7" s="1"/>
  <c r="P124" i="7" s="1"/>
  <c r="B28" i="3" s="1"/>
  <c r="AA639" i="10"/>
  <c r="AB639" i="10" s="1"/>
  <c r="U641" i="10" s="1"/>
  <c r="Y642" i="10" s="1"/>
  <c r="Z642" i="10" s="1"/>
  <c r="AA642" i="10" s="1"/>
  <c r="AB642" i="10" s="1"/>
  <c r="L117" i="7" s="1"/>
  <c r="U560" i="10"/>
  <c r="U558" i="10"/>
  <c r="J63" i="10"/>
  <c r="M63" i="10" s="1"/>
  <c r="N63" i="10" s="1"/>
  <c r="J64" i="10"/>
  <c r="M64" i="10" s="1"/>
  <c r="N64" i="10" s="1"/>
  <c r="D28" i="3" l="1"/>
  <c r="C28" i="3"/>
  <c r="Y641" i="10"/>
  <c r="Z641" i="10" s="1"/>
  <c r="AA641" i="10" s="1"/>
  <c r="AB641" i="10" s="1"/>
  <c r="H117" i="7" s="1"/>
  <c r="Y561" i="10"/>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K56" i="13"/>
  <c r="K55" i="13"/>
  <c r="H75" i="10"/>
  <c r="R55" i="13"/>
  <c r="H73" i="10"/>
  <c r="J81" i="10"/>
  <c r="M81" i="10" s="1"/>
  <c r="N81" i="10" s="1"/>
  <c r="J80" i="10"/>
  <c r="M80" i="10" s="1"/>
  <c r="N80" i="10" s="1"/>
  <c r="AA591" i="10" l="1"/>
  <c r="AB591" i="10" s="1"/>
  <c r="B117" i="7" s="1"/>
  <c r="U594" i="10"/>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W212" i="10" s="1"/>
  <c r="X212" i="10" s="1"/>
  <c r="P215" i="10"/>
  <c r="W215" i="10"/>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26" i="13" l="1"/>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326" i="13" l="1"/>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J377" i="10" s="1"/>
  <c r="M377" i="10" s="1"/>
  <c r="N377" i="10" s="1"/>
  <c r="X378" i="10"/>
  <c r="J378" i="10" s="1"/>
  <c r="M378" i="10" s="1"/>
  <c r="N378" i="10" s="1"/>
  <c r="H423" i="10"/>
  <c r="H388" i="10"/>
  <c r="J380" i="10"/>
  <c r="M380" i="10" s="1"/>
  <c r="N380" i="10" s="1"/>
  <c r="J383" i="10"/>
  <c r="M383" i="10" s="1"/>
  <c r="N383" i="10" s="1"/>
  <c r="J384" i="10"/>
  <c r="M384" i="10" s="1"/>
  <c r="N384" i="10" s="1"/>
  <c r="R188" i="13" l="1"/>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Q484" i="10"/>
  <c r="Q485" i="10"/>
  <c r="V484" i="10"/>
  <c r="W326" i="13" l="1"/>
  <c r="W327" i="13"/>
  <c r="W324" i="13"/>
  <c r="W325" i="13"/>
  <c r="W322" i="13"/>
  <c r="W323" i="13"/>
  <c r="W320" i="13"/>
  <c r="W321" i="13"/>
  <c r="W318" i="13"/>
  <c r="W319" i="13"/>
  <c r="W316" i="13"/>
  <c r="W317" i="13"/>
  <c r="AL19" i="13"/>
  <c r="J19" i="13" s="1"/>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247" i="13"/>
  <c r="V248" i="13"/>
  <c r="R232" i="13"/>
  <c r="H488" i="10"/>
  <c r="V232" i="13"/>
  <c r="V234" i="13"/>
  <c r="V236" i="13"/>
  <c r="V233" i="13"/>
  <c r="V235" i="13"/>
  <c r="P2" i="14"/>
  <c r="B19" i="13"/>
  <c r="V326" i="13" l="1"/>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AL15" i="13"/>
  <c r="J15" i="13" s="1"/>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27" i="13" s="1"/>
  <c r="N325" i="13" l="1"/>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4" i="10"/>
  <c r="M624" i="10" s="1"/>
  <c r="N624" i="10" s="1"/>
  <c r="K286" i="13"/>
  <c r="H691" i="10"/>
  <c r="V691" i="10" s="1"/>
  <c r="R286" i="13"/>
  <c r="R287" i="13"/>
  <c r="H628" i="10"/>
  <c r="V628" i="10" s="1"/>
  <c r="J626" i="10"/>
  <c r="M626" i="10" s="1"/>
  <c r="N626" i="10" s="1"/>
  <c r="J625" i="10"/>
  <c r="M625" i="10" s="1"/>
  <c r="N625" i="10" s="1"/>
  <c r="K294" i="13" l="1"/>
  <c r="K312" i="13"/>
  <c r="K295" i="13"/>
  <c r="K288" i="13"/>
  <c r="K290" i="13"/>
  <c r="K289" i="13"/>
  <c r="K292" i="13"/>
  <c r="K293" i="13"/>
  <c r="K287" i="13"/>
  <c r="K296" i="13"/>
  <c r="K297" i="13"/>
  <c r="K298" i="13"/>
  <c r="K303" i="13"/>
  <c r="K302" i="13"/>
  <c r="K306" i="13"/>
  <c r="K308" i="13"/>
  <c r="K301" i="13"/>
  <c r="K309" i="13"/>
  <c r="K300" i="13"/>
  <c r="K314" i="13"/>
  <c r="K299" i="13"/>
  <c r="K313" i="13"/>
  <c r="K305" i="13"/>
  <c r="AL7" i="13"/>
  <c r="J7" i="13" s="1"/>
  <c r="K311" i="13"/>
  <c r="K310" i="13"/>
  <c r="K307" i="13"/>
  <c r="K291" i="13"/>
  <c r="K304" i="13"/>
  <c r="H627" i="10"/>
  <c r="P628" i="10" l="1"/>
  <c r="Q628" i="10" s="1"/>
  <c r="P627" i="10"/>
  <c r="Q627" i="10" s="1"/>
  <c r="V627" i="10"/>
  <c r="W628" i="10" l="1"/>
  <c r="X628" i="10" s="1"/>
  <c r="J628" i="10" s="1"/>
  <c r="M628" i="10" s="1"/>
  <c r="N628" i="10" s="1"/>
  <c r="W627" i="10"/>
  <c r="X627" i="10" s="1"/>
  <c r="J627" i="10" s="1"/>
  <c r="M627" i="10" s="1"/>
  <c r="H630" i="10" l="1"/>
  <c r="N627" i="10"/>
  <c r="H643" i="10" s="1"/>
  <c r="R288" i="13"/>
  <c r="P644" i="10" l="1"/>
  <c r="P643" i="10"/>
  <c r="Q643" i="10" s="1"/>
  <c r="V643" i="10"/>
  <c r="P629" i="10"/>
  <c r="P630" i="10"/>
  <c r="Q630" i="10" s="1"/>
  <c r="V630" i="10"/>
  <c r="H629" i="10"/>
  <c r="W644" i="10" l="1"/>
  <c r="W643" i="10"/>
  <c r="X643" i="10" s="1"/>
  <c r="W630" i="10"/>
  <c r="X630" i="10" s="1"/>
  <c r="W629" i="10"/>
  <c r="Q629" i="10"/>
  <c r="V629" i="10"/>
  <c r="J630" i="10" l="1"/>
  <c r="M630" i="10" s="1"/>
  <c r="N630" i="10" s="1"/>
  <c r="R289" i="13"/>
  <c r="X629" i="10"/>
  <c r="J629" i="10" s="1"/>
  <c r="M629" i="10" s="1"/>
  <c r="N629" i="10" s="1"/>
  <c r="H632" i="10" l="1"/>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J639" i="10" s="1"/>
  <c r="M639" i="10" s="1"/>
  <c r="N639" i="10" s="1"/>
  <c r="W640" i="10"/>
  <c r="X640" i="10" s="1"/>
  <c r="J640" i="10" s="1"/>
  <c r="M640" i="10" s="1"/>
  <c r="N640" i="10" s="1"/>
  <c r="H642" i="10" l="1"/>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s="1"/>
  <c r="M648" i="10" s="1"/>
  <c r="N648" i="10" s="1"/>
  <c r="H650" i="10" s="1"/>
  <c r="J647" i="10"/>
  <c r="M647" i="10" s="1"/>
  <c r="N647" i="10" s="1"/>
  <c r="H649" i="10" s="1"/>
  <c r="P650" i="10" l="1"/>
  <c r="Q650" i="10" s="1"/>
  <c r="P651" i="10"/>
  <c r="Q651" i="10" s="1"/>
  <c r="P649" i="10"/>
  <c r="Q649" i="10" s="1"/>
  <c r="V650" i="10"/>
  <c r="V649" i="10"/>
  <c r="W651" i="10" l="1"/>
  <c r="X651" i="10" s="1"/>
  <c r="J651" i="10" s="1"/>
  <c r="M651" i="10" s="1"/>
  <c r="N651" i="10" s="1"/>
  <c r="W649" i="10"/>
  <c r="X649" i="10" s="1"/>
  <c r="J649" i="10" s="1"/>
  <c r="M649" i="10" s="1"/>
  <c r="N649" i="10" s="1"/>
  <c r="H652" i="10" s="1"/>
  <c r="W650" i="10"/>
  <c r="X650" i="10" s="1"/>
  <c r="J650" i="10" l="1"/>
  <c r="M650" i="10" s="1"/>
  <c r="N650" i="10" s="1"/>
  <c r="H653" i="10"/>
  <c r="H654" i="10"/>
  <c r="V652" i="10"/>
  <c r="P653" i="10" l="1"/>
  <c r="Q653" i="10" s="1"/>
  <c r="P654" i="10"/>
  <c r="Q654" i="10" s="1"/>
  <c r="P652" i="10"/>
  <c r="Q652" i="10" s="1"/>
  <c r="V654" i="10"/>
  <c r="V653" i="10"/>
  <c r="W653" i="10" l="1"/>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AL14" i="13" s="1"/>
  <c r="J14" i="13" s="1"/>
  <c r="W677" i="10"/>
  <c r="X677" i="10" s="1"/>
  <c r="V660" i="10"/>
  <c r="P661" i="10"/>
  <c r="Q661" i="10" s="1"/>
  <c r="P662" i="10"/>
  <c r="Q662" i="10" s="1"/>
  <c r="P660" i="10"/>
  <c r="Q660" i="10" s="1"/>
  <c r="V661" i="10"/>
  <c r="J677" i="10" l="1"/>
  <c r="M677" i="10" s="1"/>
  <c r="N677" i="10" s="1"/>
  <c r="O324" i="13"/>
  <c r="O325" i="13"/>
  <c r="O322" i="13"/>
  <c r="O323" i="13"/>
  <c r="O320" i="13"/>
  <c r="O321" i="13"/>
  <c r="O318" i="13"/>
  <c r="O319" i="13"/>
  <c r="O316" i="13"/>
  <c r="O317" i="13"/>
  <c r="AL11" i="13"/>
  <c r="J11" i="13" s="1"/>
  <c r="O315" i="13"/>
  <c r="O313" i="13"/>
  <c r="O314" i="13"/>
  <c r="O312" i="13"/>
  <c r="H681" i="10"/>
  <c r="O310" i="13"/>
  <c r="O311" i="13"/>
  <c r="R310" i="13"/>
  <c r="O309" i="13"/>
  <c r="B6" i="14"/>
  <c r="H2" i="14" s="1"/>
  <c r="R309" i="13"/>
  <c r="W660" i="10"/>
  <c r="X660" i="10" s="1"/>
  <c r="W661" i="10"/>
  <c r="X661" i="10" s="1"/>
  <c r="W662" i="10"/>
  <c r="X662" i="10" s="1"/>
  <c r="J662" i="10" s="1"/>
  <c r="M662" i="10" s="1"/>
  <c r="N662" i="10" s="1"/>
  <c r="H665" i="10" s="1"/>
  <c r="V665" i="10" s="1"/>
  <c r="O326" i="13" l="1"/>
  <c r="O327" i="13"/>
  <c r="P681" i="10"/>
  <c r="Q681" i="10" s="1"/>
  <c r="P682" i="10"/>
  <c r="V681" i="10"/>
  <c r="B11" i="13"/>
  <c r="S11" i="13" s="1"/>
  <c r="W11" i="13" s="1"/>
  <c r="B24" i="5" s="1"/>
  <c r="J661" i="10"/>
  <c r="M661" i="10" s="1"/>
  <c r="N661" i="10" s="1"/>
  <c r="H664" i="10" s="1"/>
  <c r="J660" i="10"/>
  <c r="M660" i="10" s="1"/>
  <c r="N660" i="10" s="1"/>
  <c r="H663" i="10"/>
  <c r="W681" i="10" l="1"/>
  <c r="X681" i="10" s="1"/>
  <c r="W682" i="10"/>
  <c r="F90" i="7"/>
  <c r="S90" i="7" s="1"/>
  <c r="AI11" i="13"/>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W672" i="10"/>
  <c r="X672" i="10" s="1"/>
  <c r="W673" i="10"/>
  <c r="X673" i="10" s="1"/>
  <c r="B12" i="14" l="1"/>
  <c r="U307" i="13"/>
  <c r="J673" i="10"/>
  <c r="M673" i="10" s="1"/>
  <c r="N673" i="10" s="1"/>
  <c r="B8" i="14" s="1"/>
  <c r="J672" i="10"/>
  <c r="M672" i="10" s="1"/>
  <c r="N672" i="10" s="1"/>
  <c r="U326" i="13"/>
  <c r="U327" i="13"/>
  <c r="Q324" i="13"/>
  <c r="U324" i="13"/>
  <c r="U325" i="13"/>
  <c r="U322" i="13"/>
  <c r="U323" i="13"/>
  <c r="Q323" i="13"/>
  <c r="Q321" i="13"/>
  <c r="U320" i="13"/>
  <c r="U321" i="13"/>
  <c r="U318" i="13"/>
  <c r="U319" i="13"/>
  <c r="Q318" i="13"/>
  <c r="U316" i="13"/>
  <c r="U317" i="13"/>
  <c r="AL17" i="13"/>
  <c r="J17" i="13" s="1"/>
  <c r="U315" i="13"/>
  <c r="Q315" i="13"/>
  <c r="U313" i="13"/>
  <c r="U314" i="13"/>
  <c r="Q313" i="13"/>
  <c r="Q314" i="13"/>
  <c r="U312" i="13"/>
  <c r="Q312" i="13"/>
  <c r="U310" i="13"/>
  <c r="U311" i="13"/>
  <c r="Q311" i="13"/>
  <c r="H679" i="10"/>
  <c r="P308" i="13"/>
  <c r="P309" i="13"/>
  <c r="U308" i="13"/>
  <c r="U309" i="13"/>
  <c r="Q309" i="13"/>
  <c r="Q307" i="13"/>
  <c r="P307" i="13"/>
  <c r="B17" i="13" l="1"/>
  <c r="S17" i="13" s="1"/>
  <c r="N2" i="14"/>
  <c r="Q326" i="13"/>
  <c r="Q322" i="13"/>
  <c r="Q316" i="13"/>
  <c r="Q327" i="13"/>
  <c r="Q325" i="13"/>
  <c r="Q320" i="13"/>
  <c r="Q319" i="13"/>
  <c r="Q317" i="13"/>
  <c r="AL13" i="13"/>
  <c r="J13" i="13" s="1"/>
  <c r="Q310" i="13"/>
  <c r="Q308" i="13"/>
  <c r="P679" i="10"/>
  <c r="Q679" i="10" s="1"/>
  <c r="P680" i="10"/>
  <c r="Q680" i="10" s="1"/>
  <c r="V679" i="10"/>
  <c r="W680" i="10" s="1"/>
  <c r="X680" i="10" s="1"/>
  <c r="B13" i="13"/>
  <c r="S13" i="13" s="1"/>
  <c r="J2" i="14"/>
  <c r="AI17" i="13" l="1"/>
  <c r="F92" i="7"/>
  <c r="S92" i="7" s="1"/>
  <c r="W17" i="13"/>
  <c r="J680" i="10"/>
  <c r="M680" i="10" s="1"/>
  <c r="N680" i="10" s="1"/>
  <c r="M327" i="13" s="1"/>
  <c r="J679" i="10"/>
  <c r="M679" i="10" s="1"/>
  <c r="N679" i="10" s="1"/>
  <c r="AL12" i="13" s="1"/>
  <c r="J12" i="13" s="1"/>
  <c r="W679" i="10"/>
  <c r="X679" i="10" s="1"/>
  <c r="P310" i="13"/>
  <c r="W13" i="13"/>
  <c r="F91" i="7"/>
  <c r="S91" i="7" s="1"/>
  <c r="AI13" i="13"/>
  <c r="M325" i="13" l="1"/>
  <c r="M326" i="13"/>
  <c r="M323" i="13"/>
  <c r="M324" i="13"/>
  <c r="M321" i="13"/>
  <c r="M322" i="13"/>
  <c r="M319" i="13"/>
  <c r="M320" i="13"/>
  <c r="M317" i="13"/>
  <c r="M318" i="13"/>
  <c r="M315" i="13"/>
  <c r="M316" i="13"/>
  <c r="M314" i="13"/>
  <c r="AL9" i="13"/>
  <c r="J9" i="13" s="1"/>
  <c r="M312" i="13"/>
  <c r="M313" i="13"/>
  <c r="H682" i="10"/>
  <c r="M311" i="13"/>
  <c r="M310" i="13"/>
  <c r="B4" i="14"/>
  <c r="Q682" i="10" l="1"/>
  <c r="V682" i="10"/>
  <c r="X682" i="10" s="1"/>
  <c r="K14" i="13"/>
  <c r="K12" i="13"/>
  <c r="K18" i="13"/>
  <c r="K20" i="13"/>
  <c r="K7" i="13"/>
  <c r="K16" i="13"/>
  <c r="K10" i="13"/>
  <c r="K8" i="13"/>
  <c r="K9" i="13"/>
  <c r="K15" i="13"/>
  <c r="K19" i="13"/>
  <c r="K11" i="13"/>
  <c r="K17" i="13"/>
  <c r="K13" i="13"/>
  <c r="F2" i="14"/>
  <c r="B9" i="13"/>
  <c r="S9" i="13" s="1"/>
  <c r="J682" i="10" l="1"/>
  <c r="M682" i="10" s="1"/>
  <c r="N682" i="10" s="1"/>
  <c r="J681" i="10"/>
  <c r="M681" i="10" s="1"/>
  <c r="N681" i="10" s="1"/>
  <c r="P311" i="13"/>
  <c r="F99" i="7"/>
  <c r="S99" i="7" s="1"/>
  <c r="AI9" i="13"/>
  <c r="W9"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J688" i="10" l="1"/>
  <c r="M688" i="10" s="1"/>
  <c r="N688" i="10" s="1"/>
  <c r="X687" i="10"/>
  <c r="J687" i="10" s="1"/>
  <c r="M687" i="10" s="1"/>
  <c r="N687" i="10" s="1"/>
  <c r="H690" i="10" l="1"/>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J710" i="10"/>
  <c r="M710" i="10" s="1"/>
  <c r="N710" i="10" s="1"/>
  <c r="P326" i="13"/>
  <c r="P327" i="13"/>
  <c r="P324" i="13"/>
  <c r="P325" i="13"/>
  <c r="P323" i="13"/>
  <c r="B7" i="14"/>
  <c r="R323" i="13" l="1"/>
  <c r="H711" i="10"/>
  <c r="B12" i="13"/>
  <c r="I2" i="14"/>
  <c r="P712" i="10" l="1"/>
  <c r="Q712" i="10" s="1"/>
  <c r="V711" i="10"/>
  <c r="P711" i="10"/>
  <c r="Q711" i="10" s="1"/>
  <c r="W711" i="10"/>
  <c r="X711" i="10" s="1"/>
  <c r="W712" i="10"/>
  <c r="X712" i="10" s="1"/>
  <c r="S12" i="13"/>
  <c r="J712" i="10" l="1"/>
  <c r="M712" i="10" s="1"/>
  <c r="N712" i="10" s="1"/>
  <c r="K327" i="13" s="1"/>
  <c r="J711" i="10"/>
  <c r="M711" i="10" s="1"/>
  <c r="W12" i="13"/>
  <c r="AI12" i="13"/>
  <c r="F95" i="7"/>
  <c r="S95" i="7" s="1"/>
  <c r="K325" i="13" l="1"/>
  <c r="K326" i="13"/>
  <c r="N711" i="10"/>
  <c r="H713" i="10" s="1"/>
  <c r="B2" i="14"/>
  <c r="K324" i="13"/>
  <c r="P713" i="10" l="1"/>
  <c r="Q713" i="10" s="1"/>
  <c r="P714" i="10"/>
  <c r="Q714" i="10" s="1"/>
  <c r="V713" i="10"/>
  <c r="R324" i="13"/>
  <c r="D2" i="14"/>
  <c r="B7" i="13"/>
  <c r="W713" i="10" l="1"/>
  <c r="X713" i="10" s="1"/>
  <c r="W714" i="10"/>
  <c r="X714" i="10" s="1"/>
  <c r="S7" i="13"/>
  <c r="J714" i="10" l="1"/>
  <c r="M714" i="10" s="1"/>
  <c r="N714" i="10" s="1"/>
  <c r="H715" i="10" s="1"/>
  <c r="J713" i="10"/>
  <c r="M713" i="10" s="1"/>
  <c r="AI7" i="13"/>
  <c r="W7" i="13"/>
  <c r="F94" i="7"/>
  <c r="S94" i="7" s="1"/>
  <c r="P715" i="10" l="1"/>
  <c r="Q715" i="10" s="1"/>
  <c r="P716" i="10"/>
  <c r="N713" i="10"/>
  <c r="H716" i="10" s="1"/>
  <c r="V715" i="10"/>
  <c r="R325" i="13"/>
  <c r="S325" i="13"/>
  <c r="Q716" i="10" l="1"/>
  <c r="V716" i="10"/>
  <c r="W715" i="10"/>
  <c r="X715" i="10" s="1"/>
  <c r="W716" i="10"/>
  <c r="X716" i="10" s="1"/>
  <c r="J716" i="10" l="1"/>
  <c r="M716" i="10" s="1"/>
  <c r="N716" i="10" s="1"/>
  <c r="H717" i="10" s="1"/>
  <c r="J715" i="10"/>
  <c r="M715" i="10" s="1"/>
  <c r="R326" i="13"/>
  <c r="P717" i="10" l="1"/>
  <c r="Q717" i="10" s="1"/>
  <c r="P718" i="10"/>
  <c r="V717" i="10"/>
  <c r="N715" i="10"/>
  <c r="H718" i="10" s="1"/>
  <c r="S326" i="13"/>
  <c r="W717" i="10" l="1"/>
  <c r="X717" i="10" s="1"/>
  <c r="W718" i="10"/>
  <c r="X718" i="10" s="1"/>
  <c r="Q718" i="10"/>
  <c r="V718" i="10"/>
  <c r="J718" i="10" l="1"/>
  <c r="M718" i="10" s="1"/>
  <c r="N718" i="10" s="1"/>
  <c r="J717" i="10"/>
  <c r="M717" i="10" s="1"/>
  <c r="B19" i="8"/>
  <c r="S327" i="13"/>
  <c r="H17" i="8"/>
  <c r="B10" i="14"/>
  <c r="N717" i="10" l="1"/>
  <c r="H18" i="8"/>
  <c r="H19" i="8"/>
  <c r="B18" i="8"/>
  <c r="E17" i="8"/>
  <c r="D17" i="8"/>
  <c r="C17" i="8"/>
  <c r="F17" i="8" s="1"/>
  <c r="B15" i="13"/>
  <c r="L2" i="14"/>
  <c r="R327" i="13" l="1"/>
  <c r="B9" i="14"/>
  <c r="B17" i="8"/>
  <c r="F18" i="8"/>
  <c r="C18" i="8"/>
  <c r="E18" i="8"/>
  <c r="D18" i="8"/>
  <c r="D19" i="8"/>
  <c r="E19" i="8"/>
  <c r="F19" i="8"/>
  <c r="C19" i="8"/>
  <c r="S15" i="13"/>
  <c r="K2" i="14" l="1"/>
  <c r="B14" i="13"/>
  <c r="W15" i="13"/>
  <c r="AI15" i="13"/>
  <c r="F89" i="7"/>
  <c r="S89" i="7" s="1"/>
  <c r="C15" i="14" l="1"/>
  <c r="C20" i="13" s="1"/>
  <c r="AA20" i="13" s="1"/>
  <c r="C12" i="14"/>
  <c r="C17" i="13" s="1"/>
  <c r="AA17" i="13" s="1"/>
  <c r="C8" i="14"/>
  <c r="C13" i="13" s="1"/>
  <c r="AA13" i="13" s="1"/>
  <c r="C11" i="14"/>
  <c r="C16" i="13" s="1"/>
  <c r="AA16" i="13" s="1"/>
  <c r="C2" i="14"/>
  <c r="C7" i="13" s="1"/>
  <c r="AA7" i="13" s="1"/>
  <c r="C14" i="14"/>
  <c r="C19" i="13" s="1"/>
  <c r="AA19" i="13" s="1"/>
  <c r="C5" i="14"/>
  <c r="C10" i="13" s="1"/>
  <c r="AA10" i="13" s="1"/>
  <c r="C9" i="14"/>
  <c r="C14" i="13" s="1"/>
  <c r="AA14" i="13" s="1"/>
  <c r="C3" i="14"/>
  <c r="C8" i="13" s="1"/>
  <c r="AA8" i="13" s="1"/>
  <c r="C4" i="14"/>
  <c r="C9" i="13" s="1"/>
  <c r="AA9" i="13" s="1"/>
  <c r="C6" i="14"/>
  <c r="C11" i="13" s="1"/>
  <c r="C7" i="14"/>
  <c r="C12" i="13" s="1"/>
  <c r="AA12" i="13" s="1"/>
  <c r="C13" i="14"/>
  <c r="C18" i="13" s="1"/>
  <c r="AA18" i="13" s="1"/>
  <c r="C10" i="14"/>
  <c r="C15" i="13" s="1"/>
  <c r="AA15" i="13" s="1"/>
  <c r="E18" i="13"/>
  <c r="D11" i="13"/>
  <c r="E10" i="13"/>
  <c r="D16" i="13"/>
  <c r="E12" i="13"/>
  <c r="E20" i="13"/>
  <c r="D7" i="13"/>
  <c r="D19" i="13"/>
  <c r="E17" i="13"/>
  <c r="D20" i="13"/>
  <c r="E8" i="13"/>
  <c r="D14" i="13"/>
  <c r="D8" i="13"/>
  <c r="E16" i="13"/>
  <c r="D15" i="13"/>
  <c r="E13" i="13"/>
  <c r="D17" i="13"/>
  <c r="D10" i="13"/>
  <c r="E14" i="13"/>
  <c r="E11" i="13"/>
  <c r="D12" i="13"/>
  <c r="D18" i="13"/>
  <c r="E7" i="13"/>
  <c r="D9" i="13"/>
  <c r="E15" i="13"/>
  <c r="D13" i="13"/>
  <c r="E9" i="13"/>
  <c r="E19" i="13"/>
  <c r="S14" i="13"/>
  <c r="B12" i="5" l="1"/>
  <c r="AA11" i="13"/>
  <c r="B28" i="5" s="1"/>
  <c r="AI14" i="13"/>
  <c r="W14" i="13"/>
  <c r="F93" i="7"/>
  <c r="S93" i="7" s="1"/>
  <c r="C4" i="7" s="1"/>
  <c r="L17" i="13" l="1"/>
  <c r="B14" i="4"/>
  <c r="B11" i="4"/>
  <c r="L10" i="13"/>
  <c r="B10" i="4"/>
  <c r="B8" i="4"/>
  <c r="L19" i="13"/>
  <c r="L15" i="13"/>
  <c r="L13" i="13"/>
  <c r="L11" i="13"/>
  <c r="B7" i="4"/>
  <c r="L8" i="13"/>
  <c r="B13" i="4"/>
  <c r="L12" i="13"/>
  <c r="B9" i="4"/>
  <c r="B6" i="4"/>
  <c r="B15" i="4"/>
  <c r="B18" i="4"/>
  <c r="L20" i="13"/>
  <c r="B12" i="4"/>
  <c r="L9" i="13"/>
  <c r="B5" i="4"/>
  <c r="L7" i="13"/>
  <c r="L14" i="13"/>
  <c r="B17" i="4"/>
  <c r="L18" i="13"/>
  <c r="B16" i="4"/>
  <c r="L16" i="13"/>
  <c r="A6" i="3"/>
  <c r="A5" i="3"/>
  <c r="B28" i="8" s="1"/>
  <c r="Q14" i="4" l="1"/>
  <c r="T14" i="4"/>
  <c r="I14" i="4"/>
  <c r="E14" i="4"/>
  <c r="R14" i="4"/>
  <c r="X14" i="4"/>
  <c r="C14" i="4"/>
  <c r="V14" i="4"/>
  <c r="K14" i="4"/>
  <c r="J14" i="4"/>
  <c r="P14" i="4"/>
  <c r="H14" i="4"/>
  <c r="D14" i="4"/>
  <c r="O14" i="4"/>
  <c r="M14" i="4"/>
  <c r="S14" i="4"/>
  <c r="U14" i="4"/>
  <c r="R11" i="4"/>
  <c r="I11" i="4"/>
  <c r="O11" i="4"/>
  <c r="J11" i="4"/>
  <c r="T11" i="4"/>
  <c r="Q11" i="4"/>
  <c r="P11" i="4"/>
  <c r="D11" i="4"/>
  <c r="AD18" i="13" s="1"/>
  <c r="U11" i="4"/>
  <c r="X11" i="4"/>
  <c r="K11" i="4"/>
  <c r="C11" i="4"/>
  <c r="E11" i="4"/>
  <c r="H11" i="4"/>
  <c r="S11" i="4"/>
  <c r="M11" i="4"/>
  <c r="V11" i="4"/>
  <c r="K10" i="4"/>
  <c r="C10" i="4"/>
  <c r="O10" i="4"/>
  <c r="S10" i="4"/>
  <c r="M10" i="4"/>
  <c r="U10" i="4"/>
  <c r="H10" i="4"/>
  <c r="J10" i="4"/>
  <c r="I10" i="4"/>
  <c r="T10" i="4"/>
  <c r="V10" i="4"/>
  <c r="P10" i="4"/>
  <c r="E10" i="4"/>
  <c r="X10" i="4"/>
  <c r="R10" i="4"/>
  <c r="D10" i="4"/>
  <c r="AD12" i="13" s="1"/>
  <c r="Q10" i="4"/>
  <c r="Q8" i="4"/>
  <c r="H8" i="4"/>
  <c r="O8" i="4"/>
  <c r="M8" i="4"/>
  <c r="U8" i="4"/>
  <c r="X8" i="4"/>
  <c r="T8" i="4"/>
  <c r="R8" i="4"/>
  <c r="I8" i="4"/>
  <c r="S8" i="4"/>
  <c r="V8" i="4"/>
  <c r="K8" i="4"/>
  <c r="D8" i="4"/>
  <c r="E8" i="4"/>
  <c r="P8" i="4"/>
  <c r="J8" i="4"/>
  <c r="C8" i="4"/>
  <c r="O7" i="4"/>
  <c r="S7" i="4"/>
  <c r="D7" i="4"/>
  <c r="AD13" i="13" s="1"/>
  <c r="J7" i="4"/>
  <c r="E7" i="4"/>
  <c r="C7" i="4"/>
  <c r="C19" i="9" s="1"/>
  <c r="X7" i="4"/>
  <c r="U7" i="4"/>
  <c r="V7" i="4"/>
  <c r="P7" i="4"/>
  <c r="Q7" i="4"/>
  <c r="B19" i="9"/>
  <c r="I7" i="4"/>
  <c r="K7" i="4"/>
  <c r="M7" i="4"/>
  <c r="H7" i="4"/>
  <c r="R7" i="4"/>
  <c r="T7" i="4"/>
  <c r="U13" i="4"/>
  <c r="J13" i="4"/>
  <c r="O13" i="4"/>
  <c r="D13" i="4"/>
  <c r="AD19" i="13" s="1"/>
  <c r="I13" i="4"/>
  <c r="S13" i="4"/>
  <c r="X13" i="4"/>
  <c r="Q13" i="4"/>
  <c r="H13" i="4"/>
  <c r="K13" i="4"/>
  <c r="E13" i="4"/>
  <c r="C13" i="4"/>
  <c r="M13" i="4"/>
  <c r="P13" i="4"/>
  <c r="V13" i="4"/>
  <c r="T13" i="4"/>
  <c r="R13" i="4"/>
  <c r="R9" i="4"/>
  <c r="P9" i="4"/>
  <c r="E9" i="4"/>
  <c r="H9" i="4"/>
  <c r="C9" i="4"/>
  <c r="S9" i="4"/>
  <c r="J9" i="4"/>
  <c r="D9" i="4"/>
  <c r="AD15" i="13" s="1"/>
  <c r="I9" i="4"/>
  <c r="Q9" i="4"/>
  <c r="T9" i="4"/>
  <c r="K9" i="4"/>
  <c r="U9" i="4"/>
  <c r="V9" i="4"/>
  <c r="O9" i="4"/>
  <c r="X9" i="4"/>
  <c r="M9" i="4"/>
  <c r="K6" i="4"/>
  <c r="I6" i="4"/>
  <c r="T6" i="4"/>
  <c r="O6" i="4"/>
  <c r="B18" i="9"/>
  <c r="S6" i="4"/>
  <c r="M6" i="4"/>
  <c r="J6" i="4"/>
  <c r="U6" i="4"/>
  <c r="C6" i="4"/>
  <c r="V6" i="4"/>
  <c r="Q6" i="4"/>
  <c r="P6" i="4"/>
  <c r="E6" i="4"/>
  <c r="H6" i="4"/>
  <c r="D6" i="4"/>
  <c r="X6" i="4"/>
  <c r="R6" i="4"/>
  <c r="X15" i="4"/>
  <c r="D15" i="4"/>
  <c r="AD17" i="13" s="1"/>
  <c r="H15" i="4"/>
  <c r="U15" i="4"/>
  <c r="C15" i="4"/>
  <c r="K15" i="4"/>
  <c r="T15" i="4"/>
  <c r="R15" i="4"/>
  <c r="I15" i="4"/>
  <c r="O15" i="4"/>
  <c r="E15" i="4"/>
  <c r="M15" i="4"/>
  <c r="Q15" i="4"/>
  <c r="P15" i="4"/>
  <c r="J15" i="4"/>
  <c r="V15" i="4"/>
  <c r="S15" i="4"/>
  <c r="E18" i="4"/>
  <c r="T18" i="4"/>
  <c r="I18" i="4"/>
  <c r="C18" i="4"/>
  <c r="O18" i="4"/>
  <c r="S18" i="4"/>
  <c r="M18" i="4"/>
  <c r="Q18" i="4"/>
  <c r="U18" i="4"/>
  <c r="J18" i="4"/>
  <c r="X18" i="4"/>
  <c r="D18" i="4"/>
  <c r="AD16" i="13" s="1"/>
  <c r="R18" i="4"/>
  <c r="K18" i="4"/>
  <c r="P18" i="4"/>
  <c r="V18" i="4"/>
  <c r="H18" i="4"/>
  <c r="R12" i="4"/>
  <c r="C12" i="4"/>
  <c r="K12" i="4"/>
  <c r="P12" i="4"/>
  <c r="O12" i="4"/>
  <c r="T12" i="4"/>
  <c r="V12" i="4"/>
  <c r="M12" i="4"/>
  <c r="D12" i="4"/>
  <c r="AD9" i="13" s="1"/>
  <c r="S12" i="4"/>
  <c r="I12" i="4"/>
  <c r="X12" i="4"/>
  <c r="H12" i="4"/>
  <c r="J12" i="4"/>
  <c r="U12" i="4"/>
  <c r="Q12" i="4"/>
  <c r="E12" i="4"/>
  <c r="R5" i="4"/>
  <c r="O5" i="4"/>
  <c r="U5" i="4"/>
  <c r="J5" i="4"/>
  <c r="X5" i="4"/>
  <c r="B17" i="9"/>
  <c r="H5" i="4"/>
  <c r="T5" i="4"/>
  <c r="E5" i="4"/>
  <c r="M5" i="4"/>
  <c r="C5" i="4"/>
  <c r="I5" i="4"/>
  <c r="D5" i="4"/>
  <c r="AD14" i="13" s="1"/>
  <c r="Q5" i="4"/>
  <c r="K5" i="4"/>
  <c r="P5" i="4"/>
  <c r="S5" i="4"/>
  <c r="V5" i="4"/>
  <c r="B5" i="5"/>
  <c r="T17" i="4"/>
  <c r="O17" i="4"/>
  <c r="K17" i="4"/>
  <c r="V17" i="4"/>
  <c r="I17" i="4"/>
  <c r="R17" i="4"/>
  <c r="E17" i="4"/>
  <c r="Q17" i="4"/>
  <c r="M17" i="4"/>
  <c r="D17" i="4"/>
  <c r="AD10" i="13" s="1"/>
  <c r="U17" i="4"/>
  <c r="H17" i="4"/>
  <c r="X17" i="4"/>
  <c r="P17" i="4"/>
  <c r="S17" i="4"/>
  <c r="C17" i="4"/>
  <c r="J17" i="4"/>
  <c r="P16" i="4"/>
  <c r="H16" i="4"/>
  <c r="T16" i="4"/>
  <c r="I16" i="4"/>
  <c r="M16" i="4"/>
  <c r="U16" i="4"/>
  <c r="X16" i="4"/>
  <c r="J16" i="4"/>
  <c r="K16" i="4"/>
  <c r="E16" i="4"/>
  <c r="C16" i="4"/>
  <c r="V16" i="4"/>
  <c r="O16" i="4"/>
  <c r="Q16" i="4"/>
  <c r="D16" i="4"/>
  <c r="AD8" i="13" s="1"/>
  <c r="R16" i="4"/>
  <c r="S16" i="4"/>
  <c r="A8" i="9"/>
  <c r="A5" i="9" l="1"/>
  <c r="AD11" i="13"/>
  <c r="B10" i="5"/>
  <c r="L14" i="4"/>
  <c r="G14" i="4"/>
  <c r="X20" i="13" s="1"/>
  <c r="F14" i="4"/>
  <c r="AD20" i="13"/>
  <c r="AF20" i="13" s="1"/>
  <c r="W14" i="4" s="1"/>
  <c r="F11" i="4"/>
  <c r="G11" i="4"/>
  <c r="X18" i="13" s="1"/>
  <c r="L11" i="4"/>
  <c r="F10" i="4"/>
  <c r="G10" i="4"/>
  <c r="X12" i="13" s="1"/>
  <c r="L10" i="4"/>
  <c r="L8" i="4"/>
  <c r="AD7" i="13"/>
  <c r="G8" i="4"/>
  <c r="X7" i="13" s="1"/>
  <c r="F8" i="4"/>
  <c r="G7" i="4"/>
  <c r="X13" i="13" s="1"/>
  <c r="L7" i="4"/>
  <c r="F7" i="4"/>
  <c r="L13" i="4"/>
  <c r="G13" i="4"/>
  <c r="X19" i="13" s="1"/>
  <c r="F13" i="4"/>
  <c r="L9" i="4"/>
  <c r="F9" i="4"/>
  <c r="G9" i="4"/>
  <c r="F6" i="4"/>
  <c r="L6" i="4"/>
  <c r="G6" i="4"/>
  <c r="L15" i="4"/>
  <c r="F15" i="4"/>
  <c r="G15" i="4"/>
  <c r="X17" i="13" s="1"/>
  <c r="L18" i="4"/>
  <c r="F18" i="4"/>
  <c r="G18" i="4"/>
  <c r="X16" i="13" s="1"/>
  <c r="F12" i="4"/>
  <c r="G12" i="4"/>
  <c r="X9" i="13" s="1"/>
  <c r="L12" i="4"/>
  <c r="N15" i="4"/>
  <c r="N17" i="4"/>
  <c r="N7" i="4"/>
  <c r="N11" i="4"/>
  <c r="N13" i="4"/>
  <c r="N9" i="4"/>
  <c r="N14" i="4"/>
  <c r="N8" i="4"/>
  <c r="N10" i="4"/>
  <c r="N5" i="4"/>
  <c r="N12" i="4"/>
  <c r="N18" i="4"/>
  <c r="N16" i="4"/>
  <c r="N6" i="4"/>
  <c r="B33" i="8"/>
  <c r="D18" i="9"/>
  <c r="D19" i="9"/>
  <c r="C17" i="9"/>
  <c r="B21" i="8"/>
  <c r="B30" i="8"/>
  <c r="C21" i="8"/>
  <c r="F21" i="8" s="1"/>
  <c r="A10" i="9"/>
  <c r="L5" i="4"/>
  <c r="F5" i="4"/>
  <c r="G5" i="4"/>
  <c r="X14" i="13" s="1"/>
  <c r="C22" i="8"/>
  <c r="B22" i="8"/>
  <c r="B31" i="8"/>
  <c r="F17" i="4"/>
  <c r="L17" i="4"/>
  <c r="G17" i="4"/>
  <c r="X10" i="13" s="1"/>
  <c r="L16" i="4"/>
  <c r="F16" i="4"/>
  <c r="G16" i="4"/>
  <c r="X8" i="13" s="1"/>
  <c r="T2" i="4"/>
  <c r="Y20" i="13"/>
  <c r="AE20" i="13"/>
  <c r="AE18" i="13"/>
  <c r="Y18" i="13"/>
  <c r="AE12" i="13"/>
  <c r="Y12" i="13"/>
  <c r="Y7" i="13"/>
  <c r="AE7" i="13"/>
  <c r="Y13" i="13"/>
  <c r="AE13" i="13"/>
  <c r="AE19" i="13"/>
  <c r="Y19" i="13"/>
  <c r="Y15" i="13"/>
  <c r="AE15" i="13"/>
  <c r="B11" i="5"/>
  <c r="Y11" i="13"/>
  <c r="B26" i="5" s="1"/>
  <c r="AE11" i="13"/>
  <c r="C18" i="9"/>
  <c r="B6" i="5"/>
  <c r="AE17" i="13"/>
  <c r="Y17" i="13"/>
  <c r="AE16" i="13"/>
  <c r="Y16" i="13"/>
  <c r="AE9" i="13"/>
  <c r="Y9" i="13"/>
  <c r="AE14" i="13"/>
  <c r="Y14" i="13"/>
  <c r="AE10" i="13"/>
  <c r="Y10" i="13"/>
  <c r="Y8" i="13"/>
  <c r="AE8" i="13"/>
  <c r="AB14" i="13" l="1"/>
  <c r="AF14" i="13" s="1"/>
  <c r="W5" i="4" s="1"/>
  <c r="B8" i="5"/>
  <c r="B16" i="5"/>
  <c r="AB16" i="13"/>
  <c r="AF16" i="13" s="1"/>
  <c r="W18" i="4" s="1"/>
  <c r="AB7" i="13"/>
  <c r="AF7" i="13" s="1"/>
  <c r="W8" i="4" s="1"/>
  <c r="AB13" i="13"/>
  <c r="AF13" i="13" s="1"/>
  <c r="W7" i="4" s="1"/>
  <c r="AB12" i="13"/>
  <c r="AF12" i="13" s="1"/>
  <c r="W10" i="4" s="1"/>
  <c r="AB19" i="13"/>
  <c r="AF19" i="13" s="1"/>
  <c r="W13" i="4" s="1"/>
  <c r="AB17" i="13"/>
  <c r="AF17" i="13" s="1"/>
  <c r="W15" i="4" s="1"/>
  <c r="AB10" i="13"/>
  <c r="AF10" i="13" s="1"/>
  <c r="W17" i="4" s="1"/>
  <c r="AB8" i="13"/>
  <c r="AF8" i="13" s="1"/>
  <c r="W16" i="4" s="1"/>
  <c r="B9" i="5"/>
  <c r="X11" i="13"/>
  <c r="X15" i="13"/>
  <c r="AB15" i="13" s="1"/>
  <c r="AF15" i="13" s="1"/>
  <c r="W9" i="4" s="1"/>
  <c r="AB20" i="13"/>
  <c r="AB18" i="13"/>
  <c r="AF18" i="13" s="1"/>
  <c r="W11" i="4" s="1"/>
  <c r="A3" i="4"/>
  <c r="AB9" i="13"/>
  <c r="AF9" i="13" s="1"/>
  <c r="W12" i="4" s="1"/>
  <c r="B15" i="5"/>
  <c r="AB11" i="13" l="1"/>
  <c r="B25" i="5"/>
  <c r="B23" i="5" l="1"/>
  <c r="AF11" i="13"/>
  <c r="B7" i="5" l="1"/>
  <c r="W6" i="4"/>
</calcChain>
</file>

<file path=xl/sharedStrings.xml><?xml version="1.0" encoding="utf-8"?>
<sst xmlns="http://schemas.openxmlformats.org/spreadsheetml/2006/main" count="3138" uniqueCount="466">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</sst>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53" fillId="0" borderId="0" xfId="0" applyFont="1"/>
    <xf numFmtId="0" fontId="0" fillId="0" borderId="0" xfId="0"/>
    <xf numFmtId="0" fontId="54" fillId="0" borderId="0" xfId="0" applyFont="1"/>
    <xf numFmtId="0" fontId="14" fillId="0" borderId="0" xfId="0" applyFont="1" applyAlignment="1">
      <alignment horizontal="left" vertical="top" wrapText="1"/>
    </xf>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2" t="s">
        <v>185</v>
      </c>
      <c r="B1" s="146"/>
      <c r="C1" s="146"/>
      <c r="D1" s="146"/>
      <c r="E1" s="146"/>
      <c r="F1" s="146"/>
      <c r="G1" s="146"/>
      <c r="H1" s="146"/>
    </row>
    <row r="2" spans="1:8" ht="18" customHeight="1" x14ac:dyDescent="0.2">
      <c r="A2" s="150" t="s">
        <v>186</v>
      </c>
      <c r="B2" s="146"/>
      <c r="C2" s="146"/>
      <c r="D2" s="146"/>
      <c r="E2" s="146"/>
      <c r="F2" s="146"/>
      <c r="G2" s="146"/>
      <c r="H2" s="146"/>
    </row>
    <row r="3" spans="1:8" ht="48" customHeight="1" x14ac:dyDescent="0.2">
      <c r="A3" s="148" t="s">
        <v>187</v>
      </c>
      <c r="B3" s="146"/>
      <c r="C3" s="146"/>
      <c r="D3" s="146"/>
      <c r="E3" s="146"/>
      <c r="F3" s="146"/>
      <c r="G3" s="146"/>
      <c r="H3" s="146"/>
    </row>
    <row r="6" spans="1:8" ht="21.75" customHeight="1" x14ac:dyDescent="0.2">
      <c r="A6" s="151" t="s">
        <v>188</v>
      </c>
      <c r="B6" s="146"/>
      <c r="C6" s="146"/>
      <c r="D6" s="146"/>
      <c r="E6" s="146"/>
      <c r="F6" s="146"/>
      <c r="G6" s="146"/>
      <c r="H6" s="146"/>
    </row>
    <row r="7" spans="1:8" ht="51" customHeight="1" x14ac:dyDescent="0.2">
      <c r="A7" s="25" t="s">
        <v>189</v>
      </c>
      <c r="B7" s="149" t="s">
        <v>190</v>
      </c>
      <c r="C7" s="146"/>
      <c r="D7" s="146"/>
      <c r="E7" s="146"/>
      <c r="F7" s="146"/>
      <c r="G7" s="146"/>
      <c r="H7" s="146"/>
    </row>
    <row r="8" spans="1:8" ht="36" customHeight="1" x14ac:dyDescent="0.2">
      <c r="A8" s="26" t="s">
        <v>191</v>
      </c>
      <c r="B8" s="149" t="s">
        <v>192</v>
      </c>
      <c r="C8" s="146"/>
      <c r="D8" s="146"/>
      <c r="E8" s="146"/>
      <c r="F8" s="146"/>
      <c r="G8" s="146"/>
      <c r="H8" s="146"/>
    </row>
    <row r="9" spans="1:8" ht="21" customHeight="1" x14ac:dyDescent="0.2">
      <c r="A9" s="25" t="s">
        <v>189</v>
      </c>
      <c r="B9" s="149" t="s">
        <v>193</v>
      </c>
      <c r="C9" s="146"/>
      <c r="D9" s="146"/>
      <c r="E9" s="146"/>
      <c r="F9" s="146"/>
      <c r="G9" s="146"/>
      <c r="H9" s="146"/>
    </row>
    <row r="10" spans="1:8" ht="36" customHeight="1" x14ac:dyDescent="0.2">
      <c r="A10" s="26" t="s">
        <v>191</v>
      </c>
      <c r="B10" s="149" t="s">
        <v>194</v>
      </c>
      <c r="C10" s="146"/>
      <c r="D10" s="146"/>
      <c r="E10" s="146"/>
      <c r="F10" s="146"/>
      <c r="G10" s="146"/>
      <c r="H10" s="146"/>
    </row>
    <row r="12" spans="1:8" ht="21.75" customHeight="1" x14ac:dyDescent="0.2">
      <c r="A12" s="151" t="s">
        <v>195</v>
      </c>
      <c r="B12" s="146"/>
      <c r="C12" s="146"/>
      <c r="D12" s="146"/>
      <c r="E12" s="146"/>
      <c r="F12" s="146"/>
      <c r="G12" s="146"/>
      <c r="H12" s="146"/>
    </row>
    <row r="13" spans="1:8" ht="36" customHeight="1" x14ac:dyDescent="0.2">
      <c r="A13" s="25" t="s">
        <v>189</v>
      </c>
      <c r="B13" s="149" t="s">
        <v>196</v>
      </c>
      <c r="C13" s="146"/>
      <c r="D13" s="146"/>
      <c r="E13" s="146"/>
      <c r="F13" s="146"/>
      <c r="G13" s="146"/>
      <c r="H13" s="146"/>
    </row>
    <row r="14" spans="1:8" ht="36" customHeight="1" x14ac:dyDescent="0.2">
      <c r="A14" s="26" t="s">
        <v>191</v>
      </c>
      <c r="B14" s="149" t="s">
        <v>197</v>
      </c>
      <c r="C14" s="146"/>
      <c r="D14" s="146"/>
      <c r="E14" s="146"/>
      <c r="F14" s="146"/>
      <c r="G14" s="146"/>
      <c r="H14" s="146"/>
    </row>
    <row r="15" spans="1:8" ht="21" customHeight="1" x14ac:dyDescent="0.2">
      <c r="A15" s="25" t="s">
        <v>189</v>
      </c>
      <c r="B15" s="149" t="s">
        <v>198</v>
      </c>
      <c r="C15" s="146"/>
      <c r="D15" s="146"/>
      <c r="E15" s="146"/>
      <c r="F15" s="146"/>
      <c r="G15" s="146"/>
      <c r="H15" s="146"/>
    </row>
    <row r="16" spans="1:8" ht="36" customHeight="1" x14ac:dyDescent="0.2">
      <c r="A16" s="26" t="s">
        <v>191</v>
      </c>
      <c r="B16" s="149" t="s">
        <v>199</v>
      </c>
      <c r="C16" s="146"/>
      <c r="D16" s="146"/>
      <c r="E16" s="146"/>
      <c r="F16" s="146"/>
      <c r="G16" s="146"/>
      <c r="H16" s="146"/>
    </row>
    <row r="18" spans="1:8" ht="21.75" customHeight="1" x14ac:dyDescent="0.2">
      <c r="A18" s="151" t="s">
        <v>200</v>
      </c>
      <c r="B18" s="146"/>
      <c r="C18" s="146"/>
      <c r="D18" s="146"/>
      <c r="E18" s="146"/>
      <c r="F18" s="146"/>
      <c r="G18" s="146"/>
      <c r="H18" s="146"/>
    </row>
    <row r="19" spans="1:8" ht="21" customHeight="1" x14ac:dyDescent="0.2">
      <c r="A19" s="25" t="s">
        <v>189</v>
      </c>
      <c r="B19" s="149" t="s">
        <v>201</v>
      </c>
      <c r="C19" s="146"/>
      <c r="D19" s="146"/>
      <c r="E19" s="146"/>
      <c r="F19" s="146"/>
      <c r="G19" s="146"/>
      <c r="H19" s="146"/>
    </row>
    <row r="20" spans="1:8" ht="51" customHeight="1" x14ac:dyDescent="0.2">
      <c r="A20" s="26" t="s">
        <v>191</v>
      </c>
      <c r="B20" s="149" t="s">
        <v>202</v>
      </c>
      <c r="C20" s="146"/>
      <c r="D20" s="146"/>
      <c r="E20" s="146"/>
      <c r="F20" s="146"/>
      <c r="G20" s="146"/>
      <c r="H20" s="146"/>
    </row>
    <row r="21" spans="1:8" ht="21" customHeight="1" x14ac:dyDescent="0.2">
      <c r="A21" s="25" t="s">
        <v>189</v>
      </c>
      <c r="B21" s="149" t="s">
        <v>203</v>
      </c>
      <c r="C21" s="146"/>
      <c r="D21" s="146"/>
      <c r="E21" s="146"/>
      <c r="F21" s="146"/>
      <c r="G21" s="146"/>
      <c r="H21" s="146"/>
    </row>
    <row r="22" spans="1:8" ht="51" customHeight="1" x14ac:dyDescent="0.2">
      <c r="A22" s="26" t="s">
        <v>191</v>
      </c>
      <c r="B22" s="149" t="s">
        <v>204</v>
      </c>
      <c r="C22" s="146"/>
      <c r="D22" s="146"/>
      <c r="E22" s="146"/>
      <c r="F22" s="146"/>
      <c r="G22" s="146"/>
      <c r="H22" s="146"/>
    </row>
    <row r="24" spans="1:8" ht="21.75" customHeight="1" x14ac:dyDescent="0.2">
      <c r="A24" s="151" t="s">
        <v>205</v>
      </c>
      <c r="B24" s="146"/>
      <c r="C24" s="146"/>
      <c r="D24" s="146"/>
      <c r="E24" s="146"/>
      <c r="F24" s="146"/>
      <c r="G24" s="146"/>
      <c r="H24" s="146"/>
    </row>
    <row r="25" spans="1:8" ht="21" customHeight="1" x14ac:dyDescent="0.2">
      <c r="A25" s="25" t="s">
        <v>189</v>
      </c>
      <c r="B25" s="149" t="s">
        <v>206</v>
      </c>
      <c r="C25" s="146"/>
      <c r="D25" s="146"/>
      <c r="E25" s="146"/>
      <c r="F25" s="146"/>
      <c r="G25" s="146"/>
      <c r="H25" s="146"/>
    </row>
    <row r="26" spans="1:8" ht="51" customHeight="1" x14ac:dyDescent="0.2">
      <c r="A26" s="26" t="s">
        <v>191</v>
      </c>
      <c r="B26" s="149" t="s">
        <v>207</v>
      </c>
      <c r="C26" s="146"/>
      <c r="D26" s="146"/>
      <c r="E26" s="146"/>
      <c r="F26" s="146"/>
      <c r="G26" s="146"/>
      <c r="H26" s="146"/>
    </row>
    <row r="27" spans="1:8" ht="21" customHeight="1" x14ac:dyDescent="0.2">
      <c r="A27" s="25" t="s">
        <v>189</v>
      </c>
      <c r="B27" s="149" t="s">
        <v>208</v>
      </c>
      <c r="C27" s="146"/>
      <c r="D27" s="146"/>
      <c r="E27" s="146"/>
      <c r="F27" s="146"/>
      <c r="G27" s="146"/>
      <c r="H27" s="146"/>
    </row>
    <row r="28" spans="1:8" ht="51" customHeight="1" x14ac:dyDescent="0.2">
      <c r="A28" s="26" t="s">
        <v>191</v>
      </c>
      <c r="B28" s="149" t="s">
        <v>209</v>
      </c>
      <c r="C28" s="146"/>
      <c r="D28" s="146"/>
      <c r="E28" s="146"/>
      <c r="F28" s="146"/>
      <c r="G28" s="146"/>
      <c r="H28" s="146"/>
    </row>
    <row r="29" spans="1:8" ht="21" customHeight="1" x14ac:dyDescent="0.2">
      <c r="A29" s="25" t="s">
        <v>189</v>
      </c>
      <c r="B29" s="149" t="s">
        <v>210</v>
      </c>
      <c r="C29" s="146"/>
      <c r="D29" s="146"/>
      <c r="E29" s="146"/>
      <c r="F29" s="146"/>
      <c r="G29" s="146"/>
      <c r="H29" s="146"/>
    </row>
    <row r="30" spans="1:8" ht="36" customHeight="1" x14ac:dyDescent="0.2">
      <c r="A30" s="26" t="s">
        <v>191</v>
      </c>
      <c r="B30" s="149" t="s">
        <v>211</v>
      </c>
      <c r="C30" s="146"/>
      <c r="D30" s="146"/>
      <c r="E30" s="146"/>
      <c r="F30" s="146"/>
      <c r="G30" s="146"/>
      <c r="H30" s="146"/>
    </row>
    <row r="32" spans="1:8" ht="21.75" customHeight="1" x14ac:dyDescent="0.2">
      <c r="A32" s="151" t="s">
        <v>212</v>
      </c>
      <c r="B32" s="146"/>
      <c r="C32" s="146"/>
      <c r="D32" s="146"/>
      <c r="E32" s="146"/>
      <c r="F32" s="146"/>
      <c r="G32" s="146"/>
      <c r="H32" s="146"/>
    </row>
    <row r="33" spans="1:8" ht="21" customHeight="1" x14ac:dyDescent="0.2">
      <c r="A33" s="25" t="s">
        <v>189</v>
      </c>
      <c r="B33" s="149" t="s">
        <v>213</v>
      </c>
      <c r="C33" s="146"/>
      <c r="D33" s="146"/>
      <c r="E33" s="146"/>
      <c r="F33" s="146"/>
      <c r="G33" s="146"/>
      <c r="H33" s="146"/>
    </row>
    <row r="34" spans="1:8" ht="51" customHeight="1" x14ac:dyDescent="0.2">
      <c r="A34" s="26" t="s">
        <v>191</v>
      </c>
      <c r="B34" s="149" t="s">
        <v>214</v>
      </c>
      <c r="C34" s="146"/>
      <c r="D34" s="146"/>
      <c r="E34" s="146"/>
      <c r="F34" s="146"/>
      <c r="G34" s="146"/>
      <c r="H34" s="146"/>
    </row>
    <row r="35" spans="1:8" ht="21" customHeight="1" x14ac:dyDescent="0.2">
      <c r="A35" s="25" t="s">
        <v>189</v>
      </c>
      <c r="B35" s="149" t="s">
        <v>215</v>
      </c>
      <c r="C35" s="146"/>
      <c r="D35" s="146"/>
      <c r="E35" s="146"/>
      <c r="F35" s="146"/>
      <c r="G35" s="146"/>
      <c r="H35" s="146"/>
    </row>
    <row r="36" spans="1:8" ht="36" customHeight="1" x14ac:dyDescent="0.2">
      <c r="A36" s="26" t="s">
        <v>191</v>
      </c>
      <c r="B36" s="149" t="s">
        <v>216</v>
      </c>
      <c r="C36" s="146"/>
      <c r="D36" s="146"/>
      <c r="E36" s="146"/>
      <c r="F36" s="146"/>
      <c r="G36" s="146"/>
      <c r="H36" s="146"/>
    </row>
    <row r="37" spans="1:8" ht="21" customHeight="1" x14ac:dyDescent="0.2">
      <c r="A37" s="25" t="s">
        <v>189</v>
      </c>
      <c r="B37" s="149" t="s">
        <v>217</v>
      </c>
      <c r="C37" s="146"/>
      <c r="D37" s="146"/>
      <c r="E37" s="146"/>
      <c r="F37" s="146"/>
      <c r="G37" s="146"/>
      <c r="H37" s="146"/>
    </row>
    <row r="38" spans="1:8" ht="51" customHeight="1" x14ac:dyDescent="0.2">
      <c r="A38" s="26" t="s">
        <v>191</v>
      </c>
      <c r="B38" s="149" t="s">
        <v>218</v>
      </c>
      <c r="C38" s="146"/>
      <c r="D38" s="146"/>
      <c r="E38" s="146"/>
      <c r="F38" s="146"/>
      <c r="G38" s="146"/>
      <c r="H38" s="146"/>
    </row>
    <row r="39" spans="1:8" ht="21" customHeight="1" x14ac:dyDescent="0.2">
      <c r="A39" s="25" t="s">
        <v>189</v>
      </c>
      <c r="B39" s="149" t="s">
        <v>219</v>
      </c>
      <c r="C39" s="146"/>
      <c r="D39" s="146"/>
      <c r="E39" s="146"/>
      <c r="F39" s="146"/>
      <c r="G39" s="146"/>
      <c r="H39" s="146"/>
    </row>
    <row r="41" spans="1:8" ht="21.75" customHeight="1" x14ac:dyDescent="0.2">
      <c r="A41" s="151" t="s">
        <v>220</v>
      </c>
      <c r="B41" s="146"/>
      <c r="C41" s="146"/>
      <c r="D41" s="146"/>
      <c r="E41" s="146"/>
      <c r="F41" s="146"/>
      <c r="G41" s="146"/>
      <c r="H41" s="146"/>
    </row>
    <row r="42" spans="1:8" ht="21" customHeight="1" x14ac:dyDescent="0.2">
      <c r="A42" s="25" t="s">
        <v>189</v>
      </c>
      <c r="B42" s="149" t="s">
        <v>221</v>
      </c>
      <c r="C42" s="146"/>
      <c r="D42" s="146"/>
      <c r="E42" s="146"/>
      <c r="F42" s="146"/>
      <c r="G42" s="146"/>
      <c r="H42" s="146"/>
    </row>
    <row r="43" spans="1:8" ht="51" customHeight="1" x14ac:dyDescent="0.2">
      <c r="A43" s="26" t="s">
        <v>191</v>
      </c>
      <c r="B43" s="149" t="s">
        <v>222</v>
      </c>
      <c r="C43" s="146"/>
      <c r="D43" s="146"/>
      <c r="E43" s="146"/>
      <c r="F43" s="146"/>
      <c r="G43" s="146"/>
      <c r="H43" s="146"/>
    </row>
    <row r="44" spans="1:8" ht="21" customHeight="1" x14ac:dyDescent="0.2">
      <c r="A44" s="25" t="s">
        <v>189</v>
      </c>
      <c r="B44" s="149" t="s">
        <v>223</v>
      </c>
      <c r="C44" s="146"/>
      <c r="D44" s="146"/>
      <c r="E44" s="146"/>
      <c r="F44" s="146"/>
      <c r="G44" s="146"/>
      <c r="H44" s="146"/>
    </row>
    <row r="45" spans="1:8" ht="36" customHeight="1" x14ac:dyDescent="0.2">
      <c r="A45" s="26" t="s">
        <v>191</v>
      </c>
      <c r="B45" s="149" t="s">
        <v>224</v>
      </c>
      <c r="C45" s="146"/>
      <c r="D45" s="146"/>
      <c r="E45" s="146"/>
      <c r="F45" s="146"/>
      <c r="G45" s="146"/>
      <c r="H45" s="146"/>
    </row>
    <row r="46" spans="1:8" ht="21" customHeight="1" x14ac:dyDescent="0.2">
      <c r="A46" s="25" t="s">
        <v>189</v>
      </c>
      <c r="B46" s="149" t="s">
        <v>225</v>
      </c>
      <c r="C46" s="146"/>
      <c r="D46" s="146"/>
      <c r="E46" s="146"/>
      <c r="F46" s="146"/>
      <c r="G46" s="146"/>
      <c r="H46" s="146"/>
    </row>
    <row r="47" spans="1:8" ht="21" customHeight="1" x14ac:dyDescent="0.2">
      <c r="A47" s="26" t="s">
        <v>191</v>
      </c>
      <c r="B47" s="149" t="s">
        <v>226</v>
      </c>
      <c r="C47" s="146"/>
      <c r="D47" s="146"/>
      <c r="E47" s="146"/>
      <c r="F47" s="146"/>
      <c r="G47" s="146"/>
      <c r="H47" s="146"/>
    </row>
    <row r="49" spans="1:8" ht="21.75" customHeight="1" x14ac:dyDescent="0.2">
      <c r="A49" s="151" t="s">
        <v>227</v>
      </c>
      <c r="B49" s="146"/>
      <c r="C49" s="146"/>
      <c r="D49" s="146"/>
      <c r="E49" s="146"/>
      <c r="F49" s="146"/>
      <c r="G49" s="146"/>
      <c r="H49" s="146"/>
    </row>
    <row r="50" spans="1:8" ht="36" customHeight="1" x14ac:dyDescent="0.2">
      <c r="A50" s="25" t="s">
        <v>189</v>
      </c>
      <c r="B50" s="149" t="s">
        <v>228</v>
      </c>
      <c r="C50" s="146"/>
      <c r="D50" s="146"/>
      <c r="E50" s="146"/>
      <c r="F50" s="146"/>
      <c r="G50" s="146"/>
      <c r="H50" s="146"/>
    </row>
    <row r="51" spans="1:8" ht="21" customHeight="1" x14ac:dyDescent="0.2">
      <c r="A51" s="26" t="s">
        <v>191</v>
      </c>
      <c r="B51" s="149" t="s">
        <v>229</v>
      </c>
      <c r="C51" s="146"/>
      <c r="D51" s="146"/>
      <c r="E51" s="146"/>
      <c r="F51" s="146"/>
      <c r="G51" s="146"/>
      <c r="H51" s="146"/>
    </row>
    <row r="52" spans="1:8" ht="21" customHeight="1" x14ac:dyDescent="0.2">
      <c r="A52" s="25" t="s">
        <v>189</v>
      </c>
      <c r="B52" s="149" t="s">
        <v>230</v>
      </c>
      <c r="C52" s="146"/>
      <c r="D52" s="146"/>
      <c r="E52" s="146"/>
      <c r="F52" s="146"/>
      <c r="G52" s="146"/>
      <c r="H52" s="146"/>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5" t="s">
        <v>231</v>
      </c>
      <c r="B1" s="146"/>
      <c r="C1" s="146"/>
      <c r="D1" s="146"/>
      <c r="E1" s="146"/>
      <c r="G1" s="27"/>
      <c r="H1" s="27"/>
      <c r="I1" s="27"/>
    </row>
    <row r="2" spans="1:9" ht="28.5" customHeight="1" x14ac:dyDescent="0.2">
      <c r="A2" s="154" t="s">
        <v>232</v>
      </c>
      <c r="B2" s="146"/>
      <c r="C2" s="146"/>
      <c r="D2" s="146"/>
      <c r="E2" s="146"/>
      <c r="G2" s="27"/>
      <c r="H2" s="27"/>
      <c r="I2" s="27"/>
    </row>
    <row r="3" spans="1:9" ht="3" customHeight="1" x14ac:dyDescent="0.2">
      <c r="G3" s="27"/>
      <c r="H3" s="27"/>
      <c r="I3" s="27"/>
    </row>
    <row r="4" spans="1:9" ht="15" customHeight="1" x14ac:dyDescent="0.2">
      <c r="A4" s="153" t="s">
        <v>233</v>
      </c>
      <c r="B4" s="146"/>
      <c r="C4" s="146"/>
      <c r="D4" s="146"/>
      <c r="E4" s="146"/>
      <c r="G4" s="27"/>
      <c r="H4" s="27"/>
      <c r="I4" s="27"/>
    </row>
    <row r="5" spans="1:9" ht="24.75" customHeight="1" x14ac:dyDescent="0.2">
      <c r="A5" s="156" t="str">
        <f ca="1">'Sport Records'!$C$4</f>
        <v>Daniel (Ferret)</v>
      </c>
      <c r="B5" s="146"/>
      <c r="C5" s="146"/>
      <c r="D5" s="146"/>
      <c r="E5" s="146"/>
      <c r="G5" s="27"/>
      <c r="H5" s="27"/>
      <c r="I5" s="27"/>
    </row>
    <row r="6" spans="1:9" ht="15" customHeight="1" x14ac:dyDescent="0.2">
      <c r="A6" s="158"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1220   |   62 wins, 84 losses   |   highest-rated eligible and active player</v>
      </c>
      <c r="B6" s="146"/>
      <c r="C6" s="146"/>
      <c r="D6" s="146"/>
      <c r="E6" s="146"/>
      <c r="G6" s="27"/>
      <c r="H6" s="27"/>
      <c r="I6" s="27"/>
    </row>
    <row r="7" spans="1:9" ht="15" customHeight="1" x14ac:dyDescent="0.2">
      <c r="G7" s="27"/>
      <c r="H7" s="27"/>
      <c r="I7" s="27"/>
    </row>
    <row r="8" spans="1:9" ht="15" customHeight="1" x14ac:dyDescent="0.2">
      <c r="A8" s="157"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1081</v>
      </c>
      <c r="D10" s="31" t="str">
        <f>IF(OR($B10="—",$B10=""),"—",COUNTIFS('Match Log'!$D$4:$D$1510,$B10,'Match Log'!$C$4:$C$1510,$A10,'Match Log'!$E$4:$E$1510,"Win")&amp;"–"&amp;(COUNTIFS('Match Log'!$D$4:$D$1510,$B10,'Match Log'!$C$4:$C$1510,$A10)-COUNTIFS('Match Log'!$D$4:$D$1510,$B10,'Match Log'!$C$4:$C$1510,$A10,'Match Log'!$E$4:$E$1510,"Win")))</f>
        <v>6–0</v>
      </c>
      <c r="E10" s="31">
        <f>IFERROR('Sport Records'!$P$8,0)</f>
        <v>7</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16</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30</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25</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4</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Log'!$D$4:$D$1510,$B23,'Match Log'!$C$4:$C$1510,$A23,'Match Log'!$E$4:$E$1510,"Win")&amp;"–"&amp;(COUNTIFS('Match Log'!$D$4:$D$1510,$B23,'Match Log'!$C$4:$C$1510,$A23)-COUNTIFS('Match Log'!$D$4:$D$1510,$B23,'Match Log'!$C$4:$C$1510,$A23,'Match Log'!$E$4:$E$1510,"Win")))</f>
        <v>8–3</v>
      </c>
      <c r="E23" s="31">
        <f>IFERROR('Sport Records'!$P$21,0)</f>
        <v>19</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Log'!$D$4:$D$1510,$B25,'Match Log'!$C$4:$C$1510,$A25,'Match Log'!$E$4:$E$1510,"Win")&amp;"–"&amp;(COUNTIFS('Match Log'!$D$4:$D$1510,$B25,'Match Log'!$C$4:$C$1510,$A25)-COUNTIFS('Match Log'!$D$4:$D$1510,$B25,'Match Log'!$C$4:$C$1510,$A25,'Match Log'!$E$4:$E$1510,"Win")))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1128</v>
      </c>
      <c r="D28" s="31" t="str">
        <f>IF(OR($B28="—",$B28=""),"—",COUNTIFS('Match Log'!$D$4:$D$1510,$B28,'Match Log'!$C$4:$C$1510,$A28,'Match Log'!$E$4:$E$1510,"Win")&amp;"–"&amp;(COUNTIFS('Match Log'!$D$4:$D$1510,$B28,'Match Log'!$C$4:$C$1510,$A28)-COUNTIFS('Match Log'!$D$4:$D$1510,$B28,'Match Log'!$C$4:$C$1510,$A28,'Match Log'!$E$4:$E$1510,"Win")))</f>
        <v>19–12</v>
      </c>
      <c r="E28" s="31">
        <f>IFERROR('Sport Records'!$P$26,0)</f>
        <v>47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T24" sqref="T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303  ·  25 Sep 2026</v>
      </c>
      <c r="T2" s="49" t="str">
        <f ca="1">IF(COUNTIF($T$5:$T$18,"At risk")+COUNTIF($T$5:$T$18,"Inactive")=0,"Inactivity watch:  all players active ✓","⚠ Inactivity watch:  "&amp;(COUNTIF($T$5:$T$18,"At risk")+COUNTIF($T$5:$T$18,"Inactive"))&amp;" player(s) need a game — see Activity column")</f>
        <v>⚠ Inactivity watch:  9 player(s) need a game — see Activity column</v>
      </c>
    </row>
    <row r="3" spans="1:24" ht="15.75" customHeight="1" x14ac:dyDescent="0.2">
      <c r="A3" s="50" t="str">
        <f ca="1">"Current Champion:  "&amp;IFERROR(INDEX($B$5:$B$18,MATCH(SUMPRODUCT(MAX(($L$5:$L$18="Eligible")*($T$5:$T$18&lt;&gt;"Inactive")*$V$5:$V$18)),$V$5:$V$18,0)),"— none eligible yet —")</f>
        <v>Current Champion:  Daniel (Ferret)</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Daniel (Ferret)</v>
      </c>
      <c r="C5" s="54">
        <f ca="1">IFERROR(INDEX(Calcs!$S$7:$S$20,MATCH($B5,Calcs!$A$7:$A$20,0)),"")</f>
        <v>1219.9989842732086</v>
      </c>
      <c r="D5" s="55">
        <f ca="1">COUNTIF('Match Log'!$D$4:$D$1510,$B5)</f>
        <v>146</v>
      </c>
      <c r="E5" s="55">
        <f ca="1">COUNTIFS('Match Log'!$D$4:$D$1510,$B5,'Match Log'!$E$4:$E$1510,"Win")</f>
        <v>62</v>
      </c>
      <c r="F5" s="55">
        <f t="shared" ref="F5:F18" ca="1" si="1">$D5-$E5</f>
        <v>84</v>
      </c>
      <c r="G5" s="56">
        <f t="shared" ref="G5:G18" ca="1" si="2">IF($D5=0,"",$E5/$D5)</f>
        <v>0.42465753424657532</v>
      </c>
      <c r="H5" s="57">
        <f ca="1">SUMIF('Match Log'!$D$4:$D$1510,$B5,'Match Log'!$J$4:$J$1510)</f>
        <v>14.26777052158292</v>
      </c>
      <c r="I5" s="57">
        <f ca="1">SUMIF('Match Log'!$D$4:$D$1510,$B5,'Match Log'!$K$4:$K$1510)</f>
        <v>52.081213751626279</v>
      </c>
      <c r="J5" s="57">
        <f ca="1">SUMIF('Match Log'!$D$4:$D$1510,$B5,'Match Log'!$L$4:$L$1510)</f>
        <v>155</v>
      </c>
      <c r="K5" s="55">
        <f ca="1">SUMPRODUCT(--(COUNTIFS('Match Log'!$D$4:$D$1510,$B5,'Match Log'!$C$4:$C$1510,Lists!$C$2:$C$26)&gt;0))</f>
        <v>20</v>
      </c>
      <c r="L5" s="55" t="str">
        <f ca="1">IF($D5=0,"No games",IF(AND($D5&gt;='Guide &amp; Settings'!$C$45,$K5&gt;='Guide &amp; Settings'!$C$46),"Eligible","Provisional"))</f>
        <v>Eligible</v>
      </c>
      <c r="M5" s="54">
        <f ca="1">IFERROR(INDEX(Calcs!$C$7:$C$20,MATCH($B5,Calcs!$A$7:$A$20,0)),"")</f>
        <v>1142.5891000464189</v>
      </c>
      <c r="N5" s="54">
        <f t="shared" ref="N5:N18" ca="1" si="3">MAX($C$5:$C$18)-$C5</f>
        <v>0</v>
      </c>
      <c r="O5" s="55" t="str">
        <f ca="1">IFERROR(INDEX(Calcs!$H$7:$H$20,MATCH($B5,Calcs!$A$7:$A$20,0)),"")</f>
        <v>W1</v>
      </c>
      <c r="P5" s="55" t="str">
        <f ca="1">IFERROR(INDEX(Calcs!$I$7:$I$20,MATCH($B5,Calcs!$A$7:$A$20,0)),"")</f>
        <v>WWWLW</v>
      </c>
      <c r="Q5" s="55" t="str">
        <f ca="1">IFERROR(IF(INDEX(Calcs!$L$7:$L$20,MATCH($B5,Calcs!$A$7:$A$20,0))&gt;0,"▲"&amp;INDEX(Calcs!$L$7:$L$20,MATCH($B5,Calcs!$A$7:$A$20,0)),IF(INDEX(Calcs!$L$7:$L$20,MATCH($B5,Calcs!$A$7:$A$20,0))&lt;0,"▼"&amp;ABS(INDEX(Calcs!$L$7:$L$20,MATCH($B5,Calcs!$A$7:$A$20,0))),"–")),"")</f>
        <v>▲9</v>
      </c>
      <c r="R5" s="55" t="str">
        <f ca="1">IFERROR(IF(INDEX(Calcs!$P$7:$P$20,MATCH($B5,Calcs!$A$7:$A$20,0))=0,"—",TEXT(INDEX(Calcs!$P$7:$P$20,MATCH($B5,Calcs!$A$7:$A$20,0)),"d mmm")),"")</f>
        <v>25 Sep</v>
      </c>
      <c r="S5" s="55">
        <f ca="1">IFERROR(ROUND(INDEX(Calcs!$Q$7:$Q$20,MATCH($B5,Calcs!$A$7:$A$20,0)),1),"")</f>
        <v>0</v>
      </c>
      <c r="T5" s="55" t="str">
        <f ca="1">IFERROR(INDEX(Calcs!$T$7:$T$20,MATCH($B5,Calcs!$A$7:$A$20,0)),"")</f>
        <v>Active</v>
      </c>
      <c r="U5">
        <f ca="1">IFERROR(ROUND(INDEX(Calcs!$R$7:$R$20,MATCH($B5,Calcs!$A$7:$A$20,0))+INDEX(Calcs!$U$7:$U$20,MATCH($B5,Calcs!$A$7:$A$20,0)),0),0)</f>
        <v>0</v>
      </c>
      <c r="V5" s="57">
        <f ca="1">IFERROR(ROUND(INDEX(Calcs!$S$7:$S$20,MATCH($B5,Calcs!$A$7:$A$20,0)),0),"")</f>
        <v>1220</v>
      </c>
      <c r="W5" s="55" t="str">
        <f ca="1">IFERROR(INDEX(Calcs!$AF$7:$AF$20,MATCH($B5,Calcs!$A$7:$A$20,0)),"")</f>
        <v>Elite</v>
      </c>
      <c r="X5" s="57">
        <f ca="1">IFERROR(ROUND(SUMIF('Poker Stake Ledger'!$C$18:$C$137,$B5,'Poker Stake Ledger'!$K$18:$K$137),1),0)</f>
        <v>-1.4</v>
      </c>
    </row>
    <row r="6" spans="1:24" ht="15" customHeight="1" x14ac:dyDescent="0.2">
      <c r="A6" s="52">
        <f t="shared" si="0"/>
        <v>2</v>
      </c>
      <c r="B6" s="53" t="str">
        <f ca="1">IFERROR(INDEX(Calcs!$A$7:$A$20,MATCH(LARGE(Calcs!$AI$7:$AI$20,ROW()-4),Calcs!$AI$7:$AI$20,0)),"")</f>
        <v>Josh</v>
      </c>
      <c r="C6" s="54">
        <f ca="1">IFERROR(INDEX(Calcs!$S$7:$S$20,MATCH($B6,Calcs!$A$7:$A$20,0)),"")</f>
        <v>1214.0621492095624</v>
      </c>
      <c r="D6" s="55">
        <f ca="1">COUNTIF('Match Log'!$D$4:$D$1510,$B6)</f>
        <v>62</v>
      </c>
      <c r="E6" s="55">
        <f ca="1">COUNTIFS('Match Log'!$D$4:$D$1510,$B6,'Match Log'!$E$4:$E$1510,"Win")</f>
        <v>37</v>
      </c>
      <c r="F6" s="55">
        <f t="shared" ca="1" si="1"/>
        <v>25</v>
      </c>
      <c r="G6" s="56">
        <f t="shared" ca="1" si="2"/>
        <v>0.59677419354838712</v>
      </c>
      <c r="H6" s="57">
        <f ca="1">SUMIF('Match Log'!$D$4:$D$1510,$B6,'Match Log'!$J$4:$J$1510)</f>
        <v>86.079325685091305</v>
      </c>
      <c r="I6" s="57">
        <f ca="1">SUMIF('Match Log'!$D$4:$D$1510,$B6,'Match Log'!$K$4:$K$1510)</f>
        <v>56.232823524470831</v>
      </c>
      <c r="J6" s="57">
        <f ca="1">SUMIF('Match Log'!$D$4:$D$1510,$B6,'Match Log'!$L$4:$L$1510)</f>
        <v>50</v>
      </c>
      <c r="K6" s="55">
        <f ca="1">SUMPRODUCT(--(COUNTIFS('Match Log'!$D$4:$D$1510,$B6,'Match Log'!$C$4:$C$1510,Lists!$C$2:$C$26)&gt;0))</f>
        <v>15</v>
      </c>
      <c r="L6" s="55" t="str">
        <f ca="1">IF($D6=0,"No games",IF(AND($D6&gt;='Guide &amp; Settings'!$C$45,$K6&gt;='Guide &amp; Settings'!$C$46),"Eligible","Provisional"))</f>
        <v>Eligible</v>
      </c>
      <c r="M6" s="54">
        <f ca="1">IFERROR(INDEX(Calcs!$C$7:$C$20,MATCH($B6,Calcs!$A$7:$A$20,0)),"")</f>
        <v>1139.8905869641942</v>
      </c>
      <c r="N6" s="54">
        <f t="shared" ca="1" si="3"/>
        <v>5.9368350636461855</v>
      </c>
      <c r="O6" s="55" t="str">
        <f ca="1">IFERROR(INDEX(Calcs!$H$7:$H$20,MATCH($B6,Calcs!$A$7:$A$20,0)),"")</f>
        <v>W3</v>
      </c>
      <c r="P6" s="55" t="str">
        <f ca="1">IFERROR(INDEX(Calcs!$I$7:$I$20,MATCH($B6,Calcs!$A$7:$A$20,0)),"")</f>
        <v>WLWWW</v>
      </c>
      <c r="Q6" s="55" t="str">
        <f ca="1">IFERROR(IF(INDEX(Calcs!$L$7:$L$20,MATCH($B6,Calcs!$A$7:$A$20,0))&gt;0,"▲"&amp;INDEX(Calcs!$L$7:$L$20,MATCH($B6,Calcs!$A$7:$A$20,0)),IF(INDEX(Calcs!$L$7:$L$20,MATCH($B6,Calcs!$A$7:$A$20,0))&lt;0,"▼"&amp;ABS(INDEX(Calcs!$L$7:$L$20,MATCH($B6,Calcs!$A$7:$A$20,0))),"–")),"")</f>
        <v>▲2</v>
      </c>
      <c r="R6" s="55" t="str">
        <f ca="1">IFERROR(IF(INDEX(Calcs!$P$7:$P$20,MATCH($B6,Calcs!$A$7:$A$20,0))=0,"—",TEXT(INDEX(Calcs!$P$7:$P$20,MATCH($B6,Calcs!$A$7:$A$20,0)),"d mmm")),"")</f>
        <v>7 Sep</v>
      </c>
      <c r="S6" s="55">
        <f ca="1">IFERROR(ROUND(INDEX(Calcs!$Q$7:$Q$20,MATCH($B6,Calcs!$A$7:$A$20,0)),1),"")</f>
        <v>2.6</v>
      </c>
      <c r="T6" s="55" t="str">
        <f ca="1">IFERROR(INDEX(Calcs!$T$7:$T$20,MATCH($B6,Calcs!$A$7:$A$20,0)),"")</f>
        <v>At risk</v>
      </c>
      <c r="U6">
        <f ca="1">IFERROR(ROUND(INDEX(Calcs!$R$7:$R$20,MATCH($B6,Calcs!$A$7:$A$20,0))+INDEX(Calcs!$U$7:$U$20,MATCH($B6,Calcs!$A$7:$A$20,0)),0),0)</f>
        <v>0</v>
      </c>
      <c r="V6" s="57">
        <f ca="1">IFERROR(ROUND(INDEX(Calcs!$S$7:$S$20,MATCH($B6,Calcs!$A$7:$A$20,0)),0),"")</f>
        <v>1214</v>
      </c>
      <c r="W6" s="55" t="str">
        <f ca="1">IFERROR(INDEX(Calcs!$AF$7:$AF$20,MATCH($B6,Calcs!$A$7:$A$20,0)),"")</f>
        <v>Elite</v>
      </c>
      <c r="X6" s="57">
        <f ca="1">IFERROR(ROUND(SUMIF('Poker Stake Ledger'!$C$18:$C$137,$B6,'Poker Stake Ledger'!$K$18:$K$137),1),0)</f>
        <v>21.8</v>
      </c>
    </row>
    <row r="7" spans="1:24" ht="15" customHeight="1" x14ac:dyDescent="0.2">
      <c r="A7" s="52">
        <f t="shared" si="0"/>
        <v>3</v>
      </c>
      <c r="B7" s="53" t="str">
        <f ca="1">IFERROR(INDEX(Calcs!$A$7:$A$20,MATCH(LARGE(Calcs!$AI$7:$AI$20,ROW()-4),Calcs!$AI$7:$AI$20,0)),"")</f>
        <v>Simon</v>
      </c>
      <c r="C7" s="54">
        <f ca="1">IFERROR(INDEX(Calcs!$S$7:$S$20,MATCH($B7,Calcs!$A$7:$A$20,0)),"")</f>
        <v>1210.4461816871431</v>
      </c>
      <c r="D7" s="55">
        <f ca="1">COUNTIF('Match Log'!$D$4:$D$1510,$B7)</f>
        <v>40</v>
      </c>
      <c r="E7" s="55">
        <f ca="1">COUNTIFS('Match Log'!$D$4:$D$1510,$B7,'Match Log'!$E$4:$E$1510,"Win")</f>
        <v>21</v>
      </c>
      <c r="F7" s="55">
        <f t="shared" ca="1" si="1"/>
        <v>19</v>
      </c>
      <c r="G7" s="56">
        <f t="shared" ca="1" si="2"/>
        <v>0.52500000000000002</v>
      </c>
      <c r="H7" s="57">
        <f ca="1">SUMIF('Match Log'!$D$4:$D$1510,$B7,'Match Log'!$J$4:$J$1510)</f>
        <v>74.310240078644824</v>
      </c>
      <c r="I7" s="57">
        <f ca="1">SUMIF('Match Log'!$D$4:$D$1510,$B7,'Match Log'!$K$4:$K$1510)</f>
        <v>55.685941608498204</v>
      </c>
      <c r="J7" s="57">
        <f ca="1">SUMIF('Match Log'!$D$4:$D$1510,$B7,'Match Log'!$L$4:$L$1510)</f>
        <v>86</v>
      </c>
      <c r="K7" s="55">
        <f ca="1">SUMPRODUCT(--(COUNTIFS('Match Log'!$D$4:$D$1510,$B7,'Match Log'!$C$4:$C$1510,Lists!$C$2:$C$26)&gt;0))</f>
        <v>12</v>
      </c>
      <c r="L7" s="55" t="str">
        <f ca="1">IF($D7=0,"No games",IF(AND($D7&gt;='Guide &amp; Settings'!$C$45,$K7&gt;='Guide &amp; Settings'!$C$46),"Eligible","Provisional"))</f>
        <v>Eligible</v>
      </c>
      <c r="M7" s="54">
        <f ca="1">IFERROR(INDEX(Calcs!$C$7:$C$20,MATCH($B7,Calcs!$A$7:$A$20,0)),"")</f>
        <v>1068.2185956896708</v>
      </c>
      <c r="N7" s="54">
        <f t="shared" ca="1" si="3"/>
        <v>9.5528025860655816</v>
      </c>
      <c r="O7" s="55" t="str">
        <f ca="1">IFERROR(INDEX(Calcs!$H$7:$H$20,MATCH($B7,Calcs!$A$7:$A$20,0)),"")</f>
        <v>W5</v>
      </c>
      <c r="P7" s="55" t="str">
        <f ca="1">IFERROR(INDEX(Calcs!$I$7:$I$20,MATCH($B7,Calcs!$A$7:$A$20,0)),"")</f>
        <v>WWWWW</v>
      </c>
      <c r="Q7" s="55" t="str">
        <f ca="1">IFERROR(IF(INDEX(Calcs!$L$7:$L$20,MATCH($B7,Calcs!$A$7:$A$20,0))&gt;0,"▲"&amp;INDEX(Calcs!$L$7:$L$20,MATCH($B7,Calcs!$A$7:$A$20,0)),IF(INDEX(Calcs!$L$7:$L$20,MATCH($B7,Calcs!$A$7:$A$20,0))&lt;0,"▼"&amp;ABS(INDEX(Calcs!$L$7:$L$20,MATCH($B7,Calcs!$A$7:$A$20,0))),"–")),"")</f>
        <v>▲2</v>
      </c>
      <c r="R7" s="55" t="str">
        <f ca="1">IFERROR(IF(INDEX(Calcs!$P$7:$P$20,MATCH($B7,Calcs!$A$7:$A$20,0))=0,"—",TEXT(INDEX(Calcs!$P$7:$P$20,MATCH($B7,Calcs!$A$7:$A$20,0)),"d mmm")),"")</f>
        <v>6 Sep</v>
      </c>
      <c r="S7" s="55">
        <f ca="1">IFERROR(ROUND(INDEX(Calcs!$Q$7:$Q$20,MATCH($B7,Calcs!$A$7:$A$20,0)),1),"")</f>
        <v>2.7</v>
      </c>
      <c r="T7" s="55" t="str">
        <f ca="1">IFERROR(INDEX(Calcs!$T$7:$T$20,MATCH($B7,Calcs!$A$7:$A$20,0)),"")</f>
        <v>At risk</v>
      </c>
      <c r="U7">
        <f ca="1">IFERROR(ROUND(INDEX(Calcs!$R$7:$R$20,MATCH($B7,Calcs!$A$7:$A$20,0))+INDEX(Calcs!$U$7:$U$20,MATCH($B7,Calcs!$A$7:$A$20,0)),0),0)</f>
        <v>0</v>
      </c>
      <c r="V7" s="57">
        <f ca="1">IFERROR(ROUND(INDEX(Calcs!$S$7:$S$20,MATCH($B7,Calcs!$A$7:$A$20,0)),0),"")</f>
        <v>1210</v>
      </c>
      <c r="W7" s="55" t="str">
        <f ca="1">IFERROR(INDEX(Calcs!$AF$7:$AF$20,MATCH($B7,Calcs!$A$7:$A$20,0)),"")</f>
        <v>Elite</v>
      </c>
      <c r="X7" s="57">
        <f ca="1">IFERROR(ROUND(SUMIF('Poker Stake Ledger'!$C$18:$C$137,$B7,'Poker Stake Ledger'!$K$18:$K$137),1),0)</f>
        <v>-5.6</v>
      </c>
    </row>
    <row r="8" spans="1:24" ht="15" customHeight="1" x14ac:dyDescent="0.2">
      <c r="A8" s="52">
        <f t="shared" si="0"/>
        <v>4</v>
      </c>
      <c r="B8" s="53" t="str">
        <f ca="1">IFERROR(INDEX(Calcs!$A$7:$A$20,MATCH(LARGE(Calcs!$AI$7:$AI$20,ROW()-4),Calcs!$AI$7:$AI$20,0)),"")</f>
        <v>Aaron</v>
      </c>
      <c r="C8" s="54">
        <f ca="1">IFERROR(INDEX(Calcs!$S$7:$S$20,MATCH($B8,Calcs!$A$7:$A$20,0)),"")</f>
        <v>1196.4573388632245</v>
      </c>
      <c r="D8" s="55">
        <f ca="1">COUNTIF('Match Log'!$D$4:$D$1510,$B8)</f>
        <v>89</v>
      </c>
      <c r="E8" s="55">
        <f ca="1">COUNTIFS('Match Log'!$D$4:$D$1510,$B8,'Match Log'!$E$4:$E$1510,"Win")</f>
        <v>42</v>
      </c>
      <c r="F8" s="55">
        <f t="shared" ca="1" si="1"/>
        <v>47</v>
      </c>
      <c r="G8" s="56">
        <f t="shared" ca="1" si="2"/>
        <v>0.47191011235955055</v>
      </c>
      <c r="H8" s="57">
        <f ca="1">SUMIF('Match Log'!$D$4:$D$1510,$B8,'Match Log'!$J$4:$J$1510)</f>
        <v>47.757035931473901</v>
      </c>
      <c r="I8" s="57">
        <f ca="1">SUMIF('Match Log'!$D$4:$D$1510,$B8,'Match Log'!$K$4:$K$1510)</f>
        <v>65.800302931750437</v>
      </c>
      <c r="J8" s="57">
        <f ca="1">SUMIF('Match Log'!$D$4:$D$1510,$B8,'Match Log'!$L$4:$L$1510)</f>
        <v>104</v>
      </c>
      <c r="K8" s="55">
        <f ca="1">SUMPRODUCT(--(COUNTIFS('Match Log'!$D$4:$D$1510,$B8,'Match Log'!$C$4:$C$1510,Lists!$C$2:$C$26)&gt;0))</f>
        <v>14</v>
      </c>
      <c r="L8" s="55" t="str">
        <f ca="1">IF($D8=0,"No games",IF(AND($D8&gt;='Guide &amp; Settings'!$C$45,$K8&gt;='Guide &amp; Settings'!$C$46),"Eligible","Provisional"))</f>
        <v>Eligible</v>
      </c>
      <c r="M8" s="54">
        <f ca="1">IFERROR(INDEX(Calcs!$C$7:$C$20,MATCH($B8,Calcs!$A$7:$A$20,0)),"")</f>
        <v>1141.1025297673987</v>
      </c>
      <c r="N8" s="54">
        <f t="shared" ca="1" si="3"/>
        <v>23.541645409984085</v>
      </c>
      <c r="O8" s="55" t="str">
        <f ca="1">IFERROR(INDEX(Calcs!$H$7:$H$20,MATCH($B8,Calcs!$A$7:$A$20,0)),"")</f>
        <v>L5</v>
      </c>
      <c r="P8" s="55" t="str">
        <f ca="1">IFERROR(INDEX(Calcs!$I$7:$I$20,MATCH($B8,Calcs!$A$7:$A$20,0)),"")</f>
        <v>LLLLL</v>
      </c>
      <c r="Q8" s="55" t="str">
        <f ca="1">IFERROR(IF(INDEX(Calcs!$L$7:$L$20,MATCH($B8,Calcs!$A$7:$A$20,0))&gt;0,"▲"&amp;INDEX(Calcs!$L$7:$L$20,MATCH($B8,Calcs!$A$7:$A$20,0)),IF(INDEX(Calcs!$L$7:$L$20,MATCH($B8,Calcs!$A$7:$A$20,0))&lt;0,"▼"&amp;ABS(INDEX(Calcs!$L$7:$L$20,MATCH($B8,Calcs!$A$7:$A$20,0))),"–")),"")</f>
        <v>▼2</v>
      </c>
      <c r="R8" s="55" t="str">
        <f ca="1">IFERROR(IF(INDEX(Calcs!$P$7:$P$20,MATCH($B8,Calcs!$A$7:$A$20,0))=0,"—",TEXT(INDEX(Calcs!$P$7:$P$20,MATCH($B8,Calcs!$A$7:$A$20,0)),"d mmm")),"")</f>
        <v>25 Sep</v>
      </c>
      <c r="S8" s="55">
        <f ca="1">IFERROR(ROUND(INDEX(Calcs!$Q$7:$Q$20,MATCH($B8,Calcs!$A$7:$A$20,0)),1),"")</f>
        <v>0</v>
      </c>
      <c r="T8" s="55" t="str">
        <f ca="1">IFERROR(INDEX(Calcs!$T$7:$T$20,MATCH($B8,Calcs!$A$7:$A$20,0)),"")</f>
        <v>Active</v>
      </c>
      <c r="U8">
        <f ca="1">IFERROR(ROUND(INDEX(Calcs!$R$7:$R$20,MATCH($B8,Calcs!$A$7:$A$20,0))+INDEX(Calcs!$U$7:$U$20,MATCH($B8,Calcs!$A$7:$A$20,0)),0),0)</f>
        <v>10</v>
      </c>
      <c r="V8" s="57">
        <f ca="1">IFERROR(ROUND(INDEX(Calcs!$S$7:$S$20,MATCH($B8,Calcs!$A$7:$A$20,0)),0),"")</f>
        <v>1196</v>
      </c>
      <c r="W8" s="55" t="str">
        <f ca="1">IFERROR(INDEX(Calcs!$AF$7:$AF$20,MATCH($B8,Calcs!$A$7:$A$20,0)),"")</f>
        <v>Elite</v>
      </c>
      <c r="X8" s="57">
        <f ca="1">IFERROR(ROUND(SUMIF('Poker Stake Ledger'!$C$18:$C$137,$B8,'Poker Stake Ledger'!$K$18:$K$137),1),0)</f>
        <v>-11.1</v>
      </c>
    </row>
    <row r="9" spans="1:24" ht="15" customHeight="1" x14ac:dyDescent="0.2">
      <c r="A9" s="52">
        <f t="shared" si="0"/>
        <v>5</v>
      </c>
      <c r="B9" s="53" t="str">
        <f ca="1">IFERROR(INDEX(Calcs!$A$7:$A$20,MATCH(LARGE(Calcs!$AI$7:$AI$20,ROW()-4),Calcs!$AI$7:$AI$20,0)),"")</f>
        <v>Dean B</v>
      </c>
      <c r="C9" s="54">
        <f ca="1">IFERROR(INDEX(Calcs!$S$7:$S$20,MATCH($B9,Calcs!$A$7:$A$20,0)),"")</f>
        <v>1187.9015417269482</v>
      </c>
      <c r="D9" s="55">
        <f ca="1">COUNTIF('Match Log'!$D$4:$D$1510,$B9)</f>
        <v>42</v>
      </c>
      <c r="E9" s="55">
        <f ca="1">COUNTIFS('Match Log'!$D$4:$D$1510,$B9,'Match Log'!$E$4:$E$1510,"Win")</f>
        <v>25</v>
      </c>
      <c r="F9" s="55">
        <f t="shared" ca="1" si="1"/>
        <v>17</v>
      </c>
      <c r="G9" s="56">
        <f t="shared" ca="1" si="2"/>
        <v>0.59523809523809523</v>
      </c>
      <c r="H9" s="57">
        <f ca="1">SUMIF('Match Log'!$D$4:$D$1510,$B9,'Match Log'!$J$4:$J$1510)</f>
        <v>89.675227242644667</v>
      </c>
      <c r="I9" s="57">
        <f ca="1">SUMIF('Match Log'!$D$4:$D$1510,$B9,'Match Log'!$K$4:$K$1510)</f>
        <v>72.226314484303657</v>
      </c>
      <c r="J9" s="57">
        <f ca="1">SUMIF('Match Log'!$D$4:$D$1510,$B9,'Match Log'!$L$4:$L$1510)</f>
        <v>56</v>
      </c>
      <c r="K9" s="55">
        <f ca="1">SUMPRODUCT(--(COUNTIFS('Match Log'!$D$4:$D$1510,$B9,'Match Log'!$C$4:$C$1510,Lists!$C$2:$C$26)&gt;0))</f>
        <v>7</v>
      </c>
      <c r="L9" s="55" t="str">
        <f ca="1">IF($D9=0,"No games",IF(AND($D9&gt;='Guide &amp; Settings'!$C$45,$K9&gt;='Guide &amp; Settings'!$C$46),"Eligible","Provisional"))</f>
        <v>Eligible</v>
      </c>
      <c r="M9" s="54">
        <f ca="1">IFERROR(INDEX(Calcs!$C$7:$C$20,MATCH($B9,Calcs!$A$7:$A$20,0)),"")</f>
        <v>1138.3708635308883</v>
      </c>
      <c r="N9" s="54">
        <f t="shared" ca="1" si="3"/>
        <v>32.097442546260481</v>
      </c>
      <c r="O9" s="55" t="str">
        <f ca="1">IFERROR(INDEX(Calcs!$H$7:$H$20,MATCH($B9,Calcs!$A$7:$A$20,0)),"")</f>
        <v>L1</v>
      </c>
      <c r="P9" s="55" t="str">
        <f ca="1">IFERROR(INDEX(Calcs!$I$7:$I$20,MATCH($B9,Calcs!$A$7:$A$20,0)),"")</f>
        <v>WWLWL</v>
      </c>
      <c r="Q9" s="55" t="str">
        <f ca="1">IFERROR(IF(INDEX(Calcs!$L$7:$L$20,MATCH($B9,Calcs!$A$7:$A$20,0))&gt;0,"▲"&amp;INDEX(Calcs!$L$7:$L$20,MATCH($B9,Calcs!$A$7:$A$20,0)),IF(INDEX(Calcs!$L$7:$L$20,MATCH($B9,Calcs!$A$7:$A$20,0))&lt;0,"▼"&amp;ABS(INDEX(Calcs!$L$7:$L$20,MATCH($B9,Calcs!$A$7:$A$20,0))),"–")),"")</f>
        <v>▼2</v>
      </c>
      <c r="R9" s="55" t="str">
        <f ca="1">IFERROR(IF(INDEX(Calcs!$P$7:$P$20,MATCH($B9,Calcs!$A$7:$A$20,0))=0,"—",TEXT(INDEX(Calcs!$P$7:$P$20,MATCH($B9,Calcs!$A$7:$A$20,0)),"d mmm")),"")</f>
        <v>25 Sep</v>
      </c>
      <c r="S9" s="55">
        <f ca="1">IFERROR(ROUND(INDEX(Calcs!$Q$7:$Q$20,MATCH($B9,Calcs!$A$7:$A$20,0)),1),"")</f>
        <v>0</v>
      </c>
      <c r="T9" s="55" t="str">
        <f ca="1">IFERROR(INDEX(Calcs!$T$7:$T$20,MATCH($B9,Calcs!$A$7:$A$20,0)),"")</f>
        <v>Active</v>
      </c>
      <c r="U9">
        <f ca="1">IFERROR(ROUND(INDEX(Calcs!$R$7:$R$20,MATCH($B9,Calcs!$A$7:$A$20,0))+INDEX(Calcs!$U$7:$U$20,MATCH($B9,Calcs!$A$7:$A$20,0)),0),0)</f>
        <v>30</v>
      </c>
      <c r="V9" s="57">
        <f ca="1">IFERROR(ROUND(INDEX(Calcs!$S$7:$S$20,MATCH($B9,Calcs!$A$7:$A$20,0)),0),"")</f>
        <v>1188</v>
      </c>
      <c r="W9" s="55" t="str">
        <f ca="1">IFERROR(INDEX(Calcs!$AF$7:$AF$20,MATCH($B9,Calcs!$A$7:$A$20,0)),"")</f>
        <v>Elite</v>
      </c>
      <c r="X9" s="57">
        <f ca="1">IFERROR(ROUND(SUMIF('Poker Stake Ledger'!$C$18:$C$137,$B9,'Poker Stake Ledger'!$K$18:$K$137),1),0)</f>
        <v>0</v>
      </c>
    </row>
    <row r="10" spans="1:24" ht="15" customHeight="1" x14ac:dyDescent="0.2">
      <c r="A10" s="52">
        <f t="shared" si="0"/>
        <v>6</v>
      </c>
      <c r="B10" s="53" t="str">
        <f ca="1">IFERROR(INDEX(Calcs!$A$7:$A$20,MATCH(LARGE(Calcs!$AI$7:$AI$20,ROW()-4),Calcs!$AI$7:$AI$20,0)),"")</f>
        <v>Shawn</v>
      </c>
      <c r="C10" s="54">
        <f ca="1">IFERROR(INDEX(Calcs!$S$7:$S$20,MATCH($B10,Calcs!$A$7:$A$20,0)),"")</f>
        <v>1152.9705039890414</v>
      </c>
      <c r="D10" s="55">
        <f ca="1">COUNTIF('Match Log'!$D$4:$D$1510,$B10)</f>
        <v>156</v>
      </c>
      <c r="E10" s="55">
        <f ca="1">COUNTIFS('Match Log'!$D$4:$D$1510,$B10,'Match Log'!$E$4:$E$1510,"Win")</f>
        <v>73</v>
      </c>
      <c r="F10" s="55">
        <f t="shared" ca="1" si="1"/>
        <v>83</v>
      </c>
      <c r="G10" s="56">
        <f t="shared" ca="1" si="2"/>
        <v>0.46794871794871795</v>
      </c>
      <c r="H10" s="57">
        <f ca="1">SUMIF('Match Log'!$D$4:$D$1510,$B10,'Match Log'!$J$4:$J$1510)</f>
        <v>-26.478897159428762</v>
      </c>
      <c r="I10" s="57">
        <f ca="1">SUMIF('Match Log'!$D$4:$D$1510,$B10,'Match Log'!$K$4:$K$1510)</f>
        <v>6.199401148470578</v>
      </c>
      <c r="J10" s="57">
        <f ca="1">SUMIF('Match Log'!$D$4:$D$1510,$B10,'Match Log'!$L$4:$L$1510)</f>
        <v>177</v>
      </c>
      <c r="K10" s="55">
        <f ca="1">SUMPRODUCT(--(COUNTIFS('Match Log'!$D$4:$D$1510,$B10,'Match Log'!$C$4:$C$1510,Lists!$C$2:$C$26)&gt;0))</f>
        <v>19</v>
      </c>
      <c r="L10" s="55" t="str">
        <f ca="1">IF($D10=0,"No games",IF(AND($D10&gt;='Guide &amp; Settings'!$C$45,$K10&gt;='Guide &amp; Settings'!$C$46),"Eligible","Provisional"))</f>
        <v>Eligible</v>
      </c>
      <c r="M10" s="54">
        <f ca="1">IFERROR(INDEX(Calcs!$C$7:$C$20,MATCH($B10,Calcs!$A$7:$A$20,0)),"")</f>
        <v>1149.597475959707</v>
      </c>
      <c r="N10" s="54">
        <f t="shared" ca="1" si="3"/>
        <v>67.028480284167244</v>
      </c>
      <c r="O10" s="55" t="str">
        <f ca="1">IFERROR(INDEX(Calcs!$H$7:$H$20,MATCH($B10,Calcs!$A$7:$A$20,0)),"")</f>
        <v>L5</v>
      </c>
      <c r="P10" s="55" t="str">
        <f ca="1">IFERROR(INDEX(Calcs!$I$7:$I$20,MATCH($B10,Calcs!$A$7:$A$20,0)),"")</f>
        <v>LLLLL</v>
      </c>
      <c r="Q10" s="55" t="str">
        <f ca="1">IFERROR(IF(INDEX(Calcs!$L$7:$L$20,MATCH($B10,Calcs!$A$7:$A$20,0))&gt;0,"▲"&amp;INDEX(Calcs!$L$7:$L$20,MATCH($B10,Calcs!$A$7:$A$20,0)),IF(INDEX(Calcs!$L$7:$L$20,MATCH($B10,Calcs!$A$7:$A$20,0))&lt;0,"▼"&amp;ABS(INDEX(Calcs!$L$7:$L$20,MATCH($B10,Calcs!$A$7:$A$20,0))),"–")),"")</f>
        <v>▼5</v>
      </c>
      <c r="R10" s="55" t="str">
        <f ca="1">IFERROR(IF(INDEX(Calcs!$P$7:$P$20,MATCH($B10,Calcs!$A$7:$A$20,0))=0,"—",TEXT(INDEX(Calcs!$P$7:$P$20,MATCH($B10,Calcs!$A$7:$A$20,0)),"d mmm")),"")</f>
        <v>24 Sep</v>
      </c>
      <c r="S10" s="55">
        <f ca="1">IFERROR(ROUND(INDEX(Calcs!$Q$7:$Q$20,MATCH($B10,Calcs!$A$7:$A$20,0)),1),"")</f>
        <v>0.1</v>
      </c>
      <c r="T10" s="55" t="str">
        <f ca="1">IFERROR(INDEX(Calcs!$T$7:$T$20,MATCH($B10,Calcs!$A$7:$A$20,0)),"")</f>
        <v>Active</v>
      </c>
      <c r="U10">
        <f ca="1">IFERROR(ROUND(INDEX(Calcs!$R$7:$R$20,MATCH($B10,Calcs!$A$7:$A$20,0))+INDEX(Calcs!$U$7:$U$20,MATCH($B10,Calcs!$A$7:$A$20,0)),0),0)</f>
        <v>0</v>
      </c>
      <c r="V10" s="57">
        <f ca="1">IFERROR(ROUND(INDEX(Calcs!$S$7:$S$20,MATCH($B10,Calcs!$A$7:$A$20,0)),0),"")</f>
        <v>1153</v>
      </c>
      <c r="W10" s="55" t="str">
        <f ca="1">IFERROR(INDEX(Calcs!$AF$7:$AF$20,MATCH($B10,Calcs!$A$7:$A$20,0)),"")</f>
        <v>Strong</v>
      </c>
      <c r="X10" s="57">
        <f ca="1">IFERROR(ROUND(SUMIF('Poker Stake Ledger'!$C$18:$C$137,$B10,'Poker Stake Ledger'!$K$18:$K$137),1),0)</f>
        <v>-3.8</v>
      </c>
    </row>
    <row r="11" spans="1:24" ht="15" customHeight="1" x14ac:dyDescent="0.2">
      <c r="A11" s="52">
        <f t="shared" si="0"/>
        <v>7</v>
      </c>
      <c r="B11" s="53" t="str">
        <f ca="1">IFERROR(INDEX(Calcs!$A$7:$A$20,MATCH(LARGE(Calcs!$AI$7:$AI$20,ROW()-4),Calcs!$AI$7:$AI$20,0)),"")</f>
        <v>Dean M</v>
      </c>
      <c r="C11" s="54">
        <f ca="1">IFERROR(INDEX(Calcs!$S$7:$S$20,MATCH($B11,Calcs!$A$7:$A$20,0)),"")</f>
        <v>1067.5488947064855</v>
      </c>
      <c r="D11" s="55">
        <f ca="1">COUNTIF('Match Log'!$D$4:$D$1510,$B11)</f>
        <v>15</v>
      </c>
      <c r="E11" s="55">
        <f ca="1">COUNTIFS('Match Log'!$D$4:$D$1510,$B11,'Match Log'!$E$4:$E$1510,"Win")</f>
        <v>7</v>
      </c>
      <c r="F11" s="55">
        <f t="shared" ca="1" si="1"/>
        <v>8</v>
      </c>
      <c r="G11" s="56">
        <f t="shared" ca="1" si="2"/>
        <v>0.46666666666666667</v>
      </c>
      <c r="H11" s="57">
        <f ca="1">SUMIF('Match Log'!$D$4:$D$1510,$B11,'Match Log'!$J$4:$J$1510)</f>
        <v>28.076161354904098</v>
      </c>
      <c r="I11" s="57">
        <f ca="1">SUMIF('Match Log'!$D$4:$D$1510,$B11,'Match Log'!$K$4:$K$1510)</f>
        <v>24.47273335158134</v>
      </c>
      <c r="J11" s="57">
        <f ca="1">SUMIF('Match Log'!$D$4:$D$1510,$B11,'Match Log'!$L$4:$L$1510)</f>
        <v>35</v>
      </c>
      <c r="K11" s="55">
        <f ca="1">SUMPRODUCT(--(COUNTIFS('Match Log'!$D$4:$D$1510,$B11,'Match Log'!$C$4:$C$1510,Lists!$C$2:$C$26)&gt;0))</f>
        <v>4</v>
      </c>
      <c r="L11" s="55" t="str">
        <f ca="1">IF($D11=0,"No games",IF(AND($D11&gt;='Guide &amp; Settings'!$C$45,$K11&gt;='Guide &amp; Settings'!$C$46),"Eligible","Provisional"))</f>
        <v>Eligible</v>
      </c>
      <c r="M11" s="54">
        <f ca="1">IFERROR(INDEX(Calcs!$C$7:$C$20,MATCH($B11,Calcs!$A$7:$A$20,0)),"")</f>
        <v>1078.2699087020494</v>
      </c>
      <c r="N11" s="54">
        <f t="shared" ca="1" si="3"/>
        <v>152.45008956672314</v>
      </c>
      <c r="O11" s="55" t="str">
        <f ca="1">IFERROR(INDEX(Calcs!$H$7:$H$20,MATCH($B11,Calcs!$A$7:$A$20,0)),"")</f>
        <v>W1</v>
      </c>
      <c r="P11" s="55" t="str">
        <f ca="1">IFERROR(INDEX(Calcs!$I$7:$I$20,MATCH($B11,Calcs!$A$7:$A$20,0)),"")</f>
        <v>LWWLW</v>
      </c>
      <c r="Q11" s="55" t="str">
        <f ca="1">IFERROR(IF(INDEX(Calcs!$L$7:$L$20,MATCH($B11,Calcs!$A$7:$A$20,0))&gt;0,"▲"&amp;INDEX(Calcs!$L$7:$L$20,MATCH($B11,Calcs!$A$7:$A$20,0)),IF(INDEX(Calcs!$L$7:$L$20,MATCH($B11,Calcs!$A$7:$A$20,0))&lt;0,"▼"&amp;ABS(INDEX(Calcs!$L$7:$L$20,MATCH($B11,Calcs!$A$7:$A$20,0))),"–")),"")</f>
        <v>▼1</v>
      </c>
      <c r="R11" s="55" t="str">
        <f ca="1">IFERROR(IF(INDEX(Calcs!$P$7:$P$20,MATCH($B11,Calcs!$A$7:$A$20,0))=0,"—",TEXT(INDEX(Calcs!$P$7:$P$20,MATCH($B11,Calcs!$A$7:$A$20,0)),"d mmm")),"")</f>
        <v>15 Aug</v>
      </c>
      <c r="S11" s="55">
        <f ca="1">IFERROR(ROUND(INDEX(Calcs!$Q$7:$Q$20,MATCH($B11,Calcs!$A$7:$A$20,0)),1),"")</f>
        <v>5.9</v>
      </c>
      <c r="T11" s="55" t="str">
        <f ca="1">IFERROR(INDEX(Calcs!$T$7:$T$20,MATCH($B11,Calcs!$A$7:$A$20,0)),"")</f>
        <v>Inactive</v>
      </c>
      <c r="U11">
        <f ca="1">IFERROR(ROUND(INDEX(Calcs!$R$7:$R$20,MATCH($B11,Calcs!$A$7:$A$20,0))+INDEX(Calcs!$U$7:$U$20,MATCH($B11,Calcs!$A$7:$A$20,0)),0),0)</f>
        <v>20</v>
      </c>
      <c r="V11" s="57">
        <f ca="1">IFERROR(ROUND(INDEX(Calcs!$S$7:$S$20,MATCH($B11,Calcs!$A$7:$A$20,0)),0),"")</f>
        <v>1068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Chase</v>
      </c>
      <c r="C12" s="54">
        <f ca="1">IFERROR(INDEX(Calcs!$S$7:$S$20,MATCH($B12,Calcs!$A$7:$A$20,0)),"")</f>
        <v>1061.2287215286424</v>
      </c>
      <c r="D12" s="55">
        <f ca="1">COUNTIF('Match Log'!$D$4:$D$1510,$B12)</f>
        <v>20</v>
      </c>
      <c r="E12" s="55">
        <f ca="1">COUNTIFS('Match Log'!$D$4:$D$1510,$B12,'Match Log'!$E$4:$E$1510,"Win")</f>
        <v>9</v>
      </c>
      <c r="F12" s="55">
        <f t="shared" ca="1" si="1"/>
        <v>11</v>
      </c>
      <c r="G12" s="56">
        <f t="shared" ca="1" si="2"/>
        <v>0.45</v>
      </c>
      <c r="H12" s="57">
        <f ca="1">SUMIF('Match Log'!$D$4:$D$1510,$B12,'Match Log'!$J$4:$J$1510)</f>
        <v>38.265554488910006</v>
      </c>
      <c r="I12" s="57">
        <f ca="1">SUMIF('Match Log'!$D$4:$D$1510,$B12,'Match Log'!$K$4:$K$1510)</f>
        <v>2.963167039732447</v>
      </c>
      <c r="J12" s="57">
        <f ca="1">SUMIF('Match Log'!$D$4:$D$1510,$B12,'Match Log'!$L$4:$L$1510)</f>
        <v>40</v>
      </c>
      <c r="K12" s="55">
        <f ca="1">SUMPRODUCT(--(COUNTIFS('Match Log'!$D$4:$D$1510,$B12,'Match Log'!$C$4:$C$1510,Lists!$C$2:$C$26)&gt;0))</f>
        <v>10</v>
      </c>
      <c r="L12" s="55" t="str">
        <f ca="1">IF($D12=0,"No games",IF(AND($D12&gt;='Guide &amp; Settings'!$C$45,$K12&gt;='Guide &amp; Settings'!$C$46),"Eligible","Provisional"))</f>
        <v>Eligible</v>
      </c>
      <c r="M12" s="54">
        <f ca="1">IFERROR(INDEX(Calcs!$C$7:$C$20,MATCH($B12,Calcs!$A$7:$A$20,0)),"")</f>
        <v>1137.4276677442306</v>
      </c>
      <c r="N12" s="54">
        <f t="shared" ca="1" si="3"/>
        <v>158.77026274456625</v>
      </c>
      <c r="O12" s="55" t="str">
        <f ca="1">IFERROR(INDEX(Calcs!$H$7:$H$20,MATCH($B12,Calcs!$A$7:$A$20,0)),"")</f>
        <v>L1</v>
      </c>
      <c r="P12" s="55" t="str">
        <f ca="1">IFERROR(INDEX(Calcs!$I$7:$I$20,MATCH($B12,Calcs!$A$7:$A$20,0)),"")</f>
        <v>LLWWL</v>
      </c>
      <c r="Q12" s="55" t="str">
        <f ca="1">IFERROR(IF(INDEX(Calcs!$L$7:$L$20,MATCH($B12,Calcs!$A$7:$A$20,0))&gt;0,"▲"&amp;INDEX(Calcs!$L$7:$L$20,MATCH($B12,Calcs!$A$7:$A$20,0)),IF(INDEX(Calcs!$L$7:$L$20,MATCH($B12,Calcs!$A$7:$A$20,0))&lt;0,"▼"&amp;ABS(INDEX(Calcs!$L$7:$L$20,MATCH($B12,Calcs!$A$7:$A$20,0))),"–")),"")</f>
        <v>▼1</v>
      </c>
      <c r="R12" s="55" t="str">
        <f ca="1">IFERROR(IF(INDEX(Calcs!$P$7:$P$20,MATCH($B12,Calcs!$A$7:$A$20,0))=0,"—",TEXT(INDEX(Calcs!$P$7:$P$20,MATCH($B12,Calcs!$A$7:$A$20,0)),"d mmm")),"")</f>
        <v>9 Sep</v>
      </c>
      <c r="S12" s="55">
        <f ca="1">IFERROR(ROUND(INDEX(Calcs!$Q$7:$Q$20,MATCH($B12,Calcs!$A$7:$A$20,0)),1),"")</f>
        <v>2.2999999999999998</v>
      </c>
      <c r="T12" s="55" t="str">
        <f ca="1">IFERROR(INDEX(Calcs!$T$7:$T$20,MATCH($B12,Calcs!$A$7:$A$20,0)),"")</f>
        <v>At risk</v>
      </c>
      <c r="U12">
        <f ca="1">IFERROR(ROUND(INDEX(Calcs!$R$7:$R$20,MATCH($B12,Calcs!$A$7:$A$20,0))+INDEX(Calcs!$U$7:$U$20,MATCH($B12,Calcs!$A$7:$A$20,0)),0),0)</f>
        <v>20</v>
      </c>
      <c r="V12" s="57">
        <f ca="1">IFERROR(ROUND(INDEX(Calcs!$S$7:$S$20,MATCH($B12,Calcs!$A$7:$A$20,0)),0),"")</f>
        <v>1061</v>
      </c>
      <c r="W12" s="55" t="str">
        <f ca="1">IFERROR(INDEX(Calcs!$AF$7:$AF$20,MATCH($B12,Calcs!$A$7:$A$20,0)),"")</f>
        <v>Strong</v>
      </c>
      <c r="X12" s="57">
        <f ca="1">IFERROR(ROUND(SUMIF('Poker Stake Ledger'!$C$18:$C$137,$B12,'Poker Stake Ledger'!$K$18:$K$137),1),0)</f>
        <v>0</v>
      </c>
    </row>
    <row r="13" spans="1:24" ht="15" customHeight="1" x14ac:dyDescent="0.2">
      <c r="A13" s="52">
        <f t="shared" si="0"/>
        <v>9</v>
      </c>
      <c r="B13" s="53" t="str">
        <f ca="1">IFERROR(INDEX(Calcs!$A$7:$A$20,MATCH(LARGE(Calcs!$AI$7:$AI$20,ROW()-4),Calcs!$AI$7:$AI$20,0)),"")</f>
        <v>Dylan A</v>
      </c>
      <c r="C13" s="54">
        <f ca="1">IFERROR(INDEX(Calcs!$S$7:$S$20,MATCH($B13,Calcs!$A$7:$A$20,0)),"")</f>
        <v>1003.2192605207141</v>
      </c>
      <c r="D13" s="55">
        <f ca="1">COUNTIF('Match Log'!$D$4:$D$1510,$B13)</f>
        <v>15</v>
      </c>
      <c r="E13" s="55">
        <f ca="1">COUNTIFS('Match Log'!$D$4:$D$1510,$B13,'Match Log'!$E$4:$E$1510,"Win")</f>
        <v>6</v>
      </c>
      <c r="F13" s="55">
        <f t="shared" ca="1" si="1"/>
        <v>9</v>
      </c>
      <c r="G13" s="56">
        <f t="shared" ca="1" si="2"/>
        <v>0.4</v>
      </c>
      <c r="H13" s="57">
        <f ca="1">SUMIF('Match Log'!$D$4:$D$1510,$B13,'Match Log'!$J$4:$J$1510)</f>
        <v>-11.626983026245711</v>
      </c>
      <c r="I13" s="57">
        <f ca="1">SUMIF('Match Log'!$D$4:$D$1510,$B13,'Match Log'!$K$4:$K$1510)</f>
        <v>3.8462435469599932</v>
      </c>
      <c r="J13" s="57">
        <f ca="1">SUMIF('Match Log'!$D$4:$D$1510,$B13,'Match Log'!$L$4:$L$1510)</f>
        <v>31</v>
      </c>
      <c r="K13" s="55">
        <f ca="1">SUMPRODUCT(--(COUNTIFS('Match Log'!$D$4:$D$1510,$B13,'Match Log'!$C$4:$C$1510,Lists!$C$2:$C$26)&gt;0))</f>
        <v>4</v>
      </c>
      <c r="L13" s="55" t="str">
        <f ca="1">IF($D13=0,"No games",IF(AND($D13&gt;='Guide &amp; Settings'!$C$45,$K13&gt;='Guide &amp; Settings'!$C$46),"Eligible","Provisional"))</f>
        <v>Eligible</v>
      </c>
      <c r="M13" s="54">
        <f ca="1">IFERROR(INDEX(Calcs!$C$7:$C$20,MATCH($B13,Calcs!$A$7:$A$20,0)),"")</f>
        <v>1114.4782830003082</v>
      </c>
      <c r="N13" s="54">
        <f t="shared" ca="1" si="3"/>
        <v>216.77972375249453</v>
      </c>
      <c r="O13" s="55" t="str">
        <f ca="1">IFERROR(INDEX(Calcs!$H$7:$H$20,MATCH($B13,Calcs!$A$7:$A$20,0)),"")</f>
        <v>L6</v>
      </c>
      <c r="P13" s="55" t="str">
        <f ca="1">IFERROR(INDEX(Calcs!$I$7:$I$20,MATCH($B13,Calcs!$A$7:$A$20,0)),"")</f>
        <v>LLLLL</v>
      </c>
      <c r="Q13" s="55" t="str">
        <f ca="1">IFERROR(IF(INDEX(Calcs!$L$7:$L$20,MATCH($B13,Calcs!$A$7:$A$20,0))&gt;0,"▲"&amp;INDEX(Calcs!$L$7:$L$20,MATCH($B13,Calcs!$A$7:$A$20,0)),IF(INDEX(Calcs!$L$7:$L$20,MATCH($B13,Calcs!$A$7:$A$20,0))&lt;0,"▼"&amp;ABS(INDEX(Calcs!$L$7:$L$20,MATCH($B13,Calcs!$A$7:$A$20,0))),"–")),"")</f>
        <v>▼1</v>
      </c>
      <c r="R13" s="55" t="str">
        <f ca="1">IFERROR(IF(INDEX(Calcs!$P$7:$P$20,MATCH($B13,Calcs!$A$7:$A$20,0))=0,"—",TEXT(INDEX(Calcs!$P$7:$P$20,MATCH($B13,Calcs!$A$7:$A$20,0)),"d mmm")),"")</f>
        <v>15 Aug</v>
      </c>
      <c r="S13" s="55">
        <f ca="1">IFERROR(ROUND(INDEX(Calcs!$Q$7:$Q$20,MATCH($B13,Calcs!$A$7:$A$20,0)),1),"")</f>
        <v>5.9</v>
      </c>
      <c r="T13" s="55" t="str">
        <f ca="1">IFERROR(INDEX(Calcs!$T$7:$T$20,MATCH($B13,Calcs!$A$7:$A$20,0)),"")</f>
        <v>Inactive</v>
      </c>
      <c r="U13">
        <f ca="1">IFERROR(ROUND(INDEX(Calcs!$R$7:$R$20,MATCH($B13,Calcs!$A$7:$A$20,0))+INDEX(Calcs!$U$7:$U$20,MATCH($B13,Calcs!$A$7:$A$20,0)),0),0)</f>
        <v>20</v>
      </c>
      <c r="V13" s="57">
        <f ca="1">IFERROR(ROUND(INDEX(Calcs!$S$7:$S$20,MATCH($B13,Calcs!$A$7:$A$20,0)),0),"")</f>
        <v>1003</v>
      </c>
      <c r="W13" s="55" t="str">
        <f ca="1">IFERROR(INDEX(Calcs!$AF$7:$AF$20,MATCH($B13,Calcs!$A$7:$A$20,0)),"")</f>
        <v>Mid</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Log'!$D$4:$D$1510,$B14)</f>
        <v>0</v>
      </c>
      <c r="E14" s="55">
        <f ca="1">COUNTIFS('Match Log'!$D$4:$D$1510,$B14,'Match Log'!$E$4:$E$1510,"Win")</f>
        <v>0</v>
      </c>
      <c r="F14" s="55">
        <f t="shared" ca="1" si="1"/>
        <v>0</v>
      </c>
      <c r="G14" s="56" t="str">
        <f t="shared" ca="1" si="2"/>
        <v/>
      </c>
      <c r="H14" s="57">
        <f ca="1">SUMIF('Match Log'!$D$4:$D$1510,$B14,'Match Log'!$J$4:$J$1510)</f>
        <v>0</v>
      </c>
      <c r="I14" s="57">
        <f ca="1">SUMIF('Match Log'!$D$4:$D$1510,$B14,'Match Log'!$K$4:$K$1510)</f>
        <v>0</v>
      </c>
      <c r="J14" s="57">
        <f ca="1">SUMIF('Match Log'!$D$4:$D$1510,$B14,'Match Log'!$L$4:$L$1510)</f>
        <v>0</v>
      </c>
      <c r="K14" s="55">
        <f ca="1">SUMPRODUCT(--(COUNTIFS('Match Log'!$D$4:$D$1510,$B14,'Match Log'!$C$4:$C$1510,Lists!$C$2:$C$26)&gt;0))</f>
        <v>0</v>
      </c>
      <c r="L14" s="55" t="str">
        <f ca="1">IF($D14=0,"No games",IF(AND($D14&gt;='Guide &amp; Settings'!$C$45,$K14&gt;='Guide &amp; Settings'!$C$46),"Eligible","Provisional"))</f>
        <v>No games</v>
      </c>
      <c r="M14" s="54" t="str">
        <f ca="1">IFERROR(INDEX(Calcs!$C$7:$C$20,MATCH($B14,Calcs!$A$7:$A$20,0)),"")</f>
        <v/>
      </c>
      <c r="N14" s="54">
        <f t="shared" ca="1" si="3"/>
        <v>219.99898427320863</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944.39454678356583</v>
      </c>
      <c r="D15" s="55">
        <f ca="1">COUNTIF('Match Log'!$D$4:$D$1510,$B15)</f>
        <v>82</v>
      </c>
      <c r="E15" s="55">
        <f ca="1">COUNTIFS('Match Log'!$D$4:$D$1510,$B15,'Match Log'!$E$4:$E$1510,"Win")</f>
        <v>28</v>
      </c>
      <c r="F15" s="55">
        <f t="shared" ca="1" si="1"/>
        <v>54</v>
      </c>
      <c r="G15" s="56">
        <f t="shared" ca="1" si="2"/>
        <v>0.34146341463414637</v>
      </c>
      <c r="H15" s="57">
        <f ca="1">SUMIF('Match Log'!$D$4:$D$1510,$B15,'Match Log'!$J$4:$J$1510)</f>
        <v>-130.51564376153294</v>
      </c>
      <c r="I15" s="57">
        <f ca="1">SUMIF('Match Log'!$D$4:$D$1510,$B15,'Match Log'!$K$4:$K$1510)</f>
        <v>-45.089809454901385</v>
      </c>
      <c r="J15" s="57">
        <f ca="1">SUMIF('Match Log'!$D$4:$D$1510,$B15,'Match Log'!$L$4:$L$1510)</f>
        <v>120</v>
      </c>
      <c r="K15" s="55">
        <f ca="1">SUMPRODUCT(--(COUNTIFS('Match Log'!$D$4:$D$1510,$B15,'Match Log'!$C$4:$C$1510,Lists!$C$2:$C$26)&gt;0))</f>
        <v>14</v>
      </c>
      <c r="L15" s="55" t="str">
        <f ca="1">IF($D15=0,"No games",IF(AND($D15&gt;='Guide &amp; Settings'!$C$45,$K15&gt;='Guide &amp; Settings'!$C$46),"Eligible","Provisional"))</f>
        <v>Eligible</v>
      </c>
      <c r="M15" s="54">
        <f ca="1">IFERROR(INDEX(Calcs!$C$7:$C$20,MATCH($B15,Calcs!$A$7:$A$20,0)),"")</f>
        <v>1163.4049423395463</v>
      </c>
      <c r="N15" s="54">
        <f t="shared" ca="1" si="3"/>
        <v>275.60443748964281</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6 Sep</v>
      </c>
      <c r="S15" s="55">
        <f ca="1">IFERROR(ROUND(INDEX(Calcs!$Q$7:$Q$20,MATCH($B15,Calcs!$A$7:$A$20,0)),1),"")</f>
        <v>2.7</v>
      </c>
      <c r="T15" s="55" t="str">
        <f ca="1">IFERROR(INDEX(Calcs!$T$7:$T$20,MATCH($B15,Calcs!$A$7:$A$20,0)),"")</f>
        <v>At risk</v>
      </c>
      <c r="U15">
        <f ca="1">IFERROR(ROUND(INDEX(Calcs!$R$7:$R$20,MATCH($B15,Calcs!$A$7:$A$20,0))+INDEX(Calcs!$U$7:$U$20,MATCH($B15,Calcs!$A$7:$A$20,0)),0),0)</f>
        <v>0</v>
      </c>
      <c r="V15" s="57">
        <f ca="1">IFERROR(ROUND(INDEX(Calcs!$S$7:$S$20,MATCH($B15,Calcs!$A$7:$A$20,0)),0),"")</f>
        <v>944</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919.51759653351382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1091.6603007389642</v>
      </c>
      <c r="N16" s="54">
        <f t="shared" ca="1" si="3"/>
        <v>300.48138773969481</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14.6</v>
      </c>
      <c r="T16" s="55" t="str">
        <f ca="1">IFERROR(INDEX(Calcs!$T$7:$T$20,MATCH($B16,Calcs!$A$7:$A$20,0)),"")</f>
        <v>Inactive</v>
      </c>
      <c r="U16">
        <f ca="1">IFERROR(ROUND(INDEX(Calcs!$R$7:$R$20,MATCH($B16,Calcs!$A$7:$A$20,0))+INDEX(Calcs!$U$7:$U$20,MATCH($B16,Calcs!$A$7:$A$20,0)),0),0)</f>
        <v>110</v>
      </c>
      <c r="V16" s="57">
        <f ca="1">IFERROR(ROUND(INDEX(Calcs!$S$7:$S$20,MATCH($B16,Calcs!$A$7:$A$20,0)),0),"")</f>
        <v>920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877.03133644117429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1160.7770929859353</v>
      </c>
      <c r="N17" s="54">
        <f t="shared" ca="1" si="3"/>
        <v>342.96764783203434</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4.9000000000000004</v>
      </c>
      <c r="T17" s="55" t="str">
        <f ca="1">IFERROR(INDEX(Calcs!$T$7:$T$20,MATCH($B17,Calcs!$A$7:$A$20,0)),"")</f>
        <v>Inactive</v>
      </c>
      <c r="U17">
        <f ca="1">IFERROR(ROUND(INDEX(Calcs!$R$7:$R$20,MATCH($B17,Calcs!$A$7:$A$20,0))+INDEX(Calcs!$U$7:$U$20,MATCH($B17,Calcs!$A$7:$A$20,0)),0),0)</f>
        <v>30</v>
      </c>
      <c r="V17" s="57">
        <f ca="1">IFERROR(ROUND(INDEX(Calcs!$S$7:$S$20,MATCH($B17,Calcs!$A$7:$A$20,0)),0),"")</f>
        <v>877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792.22294373677494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1118.8781367522934</v>
      </c>
      <c r="N18" s="54">
        <f t="shared" ca="1" si="3"/>
        <v>427.7760405364337</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9.6999999999999993</v>
      </c>
      <c r="T18" s="55" t="str">
        <f ca="1">IFERROR(INDEX(Calcs!$T$7:$T$20,MATCH($B18,Calcs!$A$7:$A$20,0)),"")</f>
        <v>Inactive</v>
      </c>
      <c r="U18">
        <f ca="1">IFERROR(ROUND(INDEX(Calcs!$R$7:$R$20,MATCH($B18,Calcs!$A$7:$A$20,0))+INDEX(Calcs!$U$7:$U$20,MATCH($B18,Calcs!$A$7:$A$20,0)),0),0)</f>
        <v>70</v>
      </c>
      <c r="V18" s="57">
        <f ca="1">IFERROR(ROUND(INDEX(Calcs!$S$7:$S$20,MATCH($B18,Calcs!$A$7:$A$20,0)),0),"")</f>
        <v>792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2</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1214.0621492095624</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37–25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0.59677419354838712</v>
      </c>
      <c r="D9" s="63" t="s">
        <v>37</v>
      </c>
      <c r="E9" s="37">
        <f>COUNTIFS('Match Log'!$D$4:$D$1510,$B$3,'Match Log'!$C$4:$C$1510,$D9)</f>
        <v>4</v>
      </c>
      <c r="F9" s="37">
        <f>COUNTIFS('Match Log'!$D$4:$D$1510,$B$3,'Match Log'!$C$4:$C$1510,$D9,'Match Log'!$E$4:$E$1510,"Win")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62</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1139.8905869641942</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W3</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WLWWW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5.9368350636461855</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7 Sep  ·  At risk</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5</v>
      </c>
      <c r="F18" s="40">
        <f>COUNTIFS('Match Log'!$D$4:$D$1510,$B$3,'Match Log'!$C$4:$C$1510,$D18,'Match Log'!$E$4:$E$1510,"Win")</f>
        <v>4</v>
      </c>
      <c r="G18" s="68">
        <f t="shared" si="0"/>
        <v>0.8</v>
      </c>
      <c r="H18" s="69">
        <f>IFERROR(IF($E18=0,"",INDEX('Sport Records'!$B$106:$O$130,MATCH($D18,'Sport Records'!$A$106:$A$130,0),MATCH($B$3,'Sport Records'!$B$105:$O$105,0))),"")</f>
        <v>1025.9268866328202</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87</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60</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80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85</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61" t="s">
        <v>290</v>
      </c>
      <c r="B2" s="146"/>
      <c r="C2" s="146"/>
      <c r="D2" s="146"/>
      <c r="E2" s="146"/>
      <c r="F2" s="146"/>
      <c r="G2" s="146"/>
      <c r="H2" s="146"/>
      <c r="I2" s="146"/>
      <c r="J2" s="146"/>
      <c r="K2" s="146"/>
      <c r="L2" s="146"/>
      <c r="M2" s="146"/>
      <c r="N2" s="146"/>
      <c r="O2" s="146"/>
    </row>
    <row r="3" spans="1:15" ht="37.5" customHeight="1" x14ac:dyDescent="0.2">
      <c r="A3" s="159" t="s">
        <v>291</v>
      </c>
      <c r="B3" s="160"/>
      <c r="C3" s="160"/>
      <c r="D3" s="160"/>
      <c r="E3" s="160"/>
      <c r="F3" s="160"/>
      <c r="G3" s="160"/>
      <c r="H3" s="160"/>
      <c r="I3" s="160"/>
      <c r="J3" s="160"/>
      <c r="K3" s="160"/>
      <c r="L3" s="160"/>
      <c r="M3" s="160"/>
      <c r="N3" s="160"/>
      <c r="O3" s="160"/>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45% of 53</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54% of 26</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38% of 8</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60% of 30</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55% of 53</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63% of 8</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42% of 12</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54% of 59</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56% of 32</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1</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58% of 12</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76% of 17</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46% of 26</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40% of 30</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46% of 59</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75% of 4</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44% of 32</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24% of 17</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1</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25% of 4</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5</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58</v>
      </c>
      <c r="H22" s="77">
        <f>IF($A22=H$21,0,SUMPRODUCT(('Match Log'!$D$4:$D$1510=$A22)*(COUNTIFS('Match Log'!$A$4:$A$1510,'Match Log'!$A$4:$A$1510,'Match Log'!$D$4:$D$1510,H$21)&gt;0)))</f>
        <v>8</v>
      </c>
      <c r="I22" s="77">
        <f>IF($A22=I$21,0,SUMPRODUCT(('Match Log'!$D$4:$D$1510=$A22)*(COUNTIFS('Match Log'!$A$4:$A$1510,'Match Log'!$A$4:$A$1510,'Match Log'!$D$4:$D$1510,I$21)&gt;0)))</f>
        <v>36</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5</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10</v>
      </c>
      <c r="H24" s="77">
        <f>IF($A24=H$21,0,SUMPRODUCT(('Match Log'!$D$4:$D$1510=$A24)*(COUNTIFS('Match Log'!$A$4:$A$1510,'Match Log'!$A$4:$A$1510,'Match Log'!$D$4:$D$1510,H$21)&gt;0)))</f>
        <v>4</v>
      </c>
      <c r="I24" s="77">
        <f>IF($A24=I$21,0,SUMPRODUCT(('Match Log'!$D$4:$D$1510=$A24)*(COUNTIFS('Match Log'!$A$4:$A$1510,'Match Log'!$A$4:$A$1510,'Match Log'!$D$4:$D$1510,I$21)&gt;0)))</f>
        <v>10</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31</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58</v>
      </c>
      <c r="C27" s="77">
        <f>IF($A27=C$21,0,SUMPRODUCT(('Match Log'!$D$4:$D$1510=$A27)*(COUNTIFS('Match Log'!$A$4:$A$1510,'Match Log'!$A$4:$A$1510,'Match Log'!$D$4:$D$1510,C$21)&gt;0)))</f>
        <v>1</v>
      </c>
      <c r="D27" s="77">
        <f>IF($A27=D$21,0,SUMPRODUCT(('Match Log'!$D$4:$D$1510=$A27)*(COUNTIFS('Match Log'!$A$4:$A$1510,'Match Log'!$A$4:$A$1510,'Match Log'!$D$4:$D$1510,D$21)&gt;0)))</f>
        <v>10</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16</v>
      </c>
      <c r="I27" s="77">
        <f>IF($A27=I$21,0,SUMPRODUCT(('Match Log'!$D$4:$D$1510=$A27)*(COUNTIFS('Match Log'!$A$4:$A$1510,'Match Log'!$A$4:$A$1510,'Match Log'!$D$4:$D$1510,I$21)&gt;0)))</f>
        <v>70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46</v>
      </c>
      <c r="M27" s="77">
        <f>IF($A27=M$21,0,SUMPRODUCT(('Match Log'!$D$4:$D$1510=$A27)*(COUNTIFS('Match Log'!$A$4:$A$1510,'Match Log'!$A$4:$A$1510,'Match Log'!$D$4:$D$1510,M$21)&gt;0)))</f>
        <v>1</v>
      </c>
      <c r="N27" s="77">
        <f>IF($A27=N$21,0,SUMPRODUCT(('Match Log'!$D$4:$D$1510=$A27)*(COUNTIFS('Match Log'!$A$4:$A$1510,'Match Log'!$A$4:$A$1510,'Match Log'!$D$4:$D$1510,N$21)&gt;0)))</f>
        <v>1</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16</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29</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36</v>
      </c>
      <c r="C29" s="77">
        <f>IF($A29=C$21,0,SUMPRODUCT(('Match Log'!$D$4:$D$1510=$A29)*(COUNTIFS('Match Log'!$A$4:$A$1510,'Match Log'!$A$4:$A$1510,'Match Log'!$D$4:$D$1510,C$21)&gt;0)))</f>
        <v>2</v>
      </c>
      <c r="D29" s="77">
        <f>IF($A29=D$21,0,SUMPRODUCT(('Match Log'!$D$4:$D$1510=$A29)*(COUNTIFS('Match Log'!$A$4:$A$1510,'Match Log'!$A$4:$A$1510,'Match Log'!$D$4:$D$1510,D$21)&gt;0)))</f>
        <v>10</v>
      </c>
      <c r="E29" s="77">
        <f>IF($A29=E$21,0,SUMPRODUCT(('Match Log'!$D$4:$D$1510=$A29)*(COUNTIFS('Match Log'!$A$4:$A$1510,'Match Log'!$A$4:$A$1510,'Match Log'!$D$4:$D$1510,E$21)&gt;0)))</f>
        <v>6</v>
      </c>
      <c r="F29" s="77">
        <f>IF($A29=F$21,0,SUMPRODUCT(('Match Log'!$D$4:$D$1510=$A29)*(COUNTIFS('Match Log'!$A$4:$A$1510,'Match Log'!$A$4:$A$1510,'Match Log'!$D$4:$D$1510,F$21)&gt;0)))</f>
        <v>31</v>
      </c>
      <c r="G29" s="77">
        <f>IF($A29=G$21,0,SUMPRODUCT(('Match Log'!$D$4:$D$1510=$A29)*(COUNTIFS('Match Log'!$A$4:$A$1510,'Match Log'!$A$4:$A$1510,'Match Log'!$D$4:$D$1510,G$21)&gt;0)))</f>
        <v>70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7</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46</v>
      </c>
      <c r="H32" s="77">
        <f>IF($A32=H$21,0,SUMPRODUCT(('Match Log'!$D$4:$D$1510=$A32)*(COUNTIFS('Match Log'!$A$4:$A$1510,'Match Log'!$A$4:$A$1510,'Match Log'!$D$4:$D$1510,H$21)&gt;0)))</f>
        <v>29</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1</v>
      </c>
      <c r="H34" s="77">
        <f>IF($A34=H$21,0,SUMPRODUCT(('Match Log'!$D$4:$D$1510=$A34)*(COUNTIFS('Match Log'!$A$4:$A$1510,'Match Log'!$A$4:$A$1510,'Match Log'!$D$4:$D$1510,H$21)&gt;0)))</f>
        <v>2</v>
      </c>
      <c r="I34" s="77">
        <f>IF($A34=I$21,0,SUMPRODUCT(('Match Log'!$D$4:$D$1510=$A34)*(COUNTIFS('Match Log'!$A$4:$A$1510,'Match Log'!$A$4:$A$1510,'Match Log'!$D$4:$D$1510,I$21)&gt;0)))</f>
        <v>7</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4"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303</v>
      </c>
    </row>
    <row r="4" spans="1:18" ht="18.75" customHeight="1" x14ac:dyDescent="0.2">
      <c r="A4" s="43" t="s">
        <v>298</v>
      </c>
      <c r="C4" s="163" t="str">
        <f ca="1">INDEX($A$89:$A$102,MATCH(MAX($S$89:$S$102),$S$89:$S$102,0))</f>
        <v>Daniel (Ferret)</v>
      </c>
      <c r="D4" s="146"/>
      <c r="E4" s="146"/>
      <c r="F4" s="146"/>
      <c r="G4" s="146"/>
    </row>
    <row r="6" spans="1:18" ht="15" customHeight="1" x14ac:dyDescent="0.2">
      <c r="A6" s="162"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2</v>
      </c>
      <c r="E8" s="83">
        <f>COUNTIFS('Match Log'!$D$4:$D$1510,E$7,'Match Log'!$C$4:$C$1510,$A8)</f>
        <v>0</v>
      </c>
      <c r="F8" s="83">
        <f>COUNTIFS('Match Log'!$D$4:$D$1510,F$7,'Match Log'!$C$4:$C$1510,$A8)</f>
        <v>0</v>
      </c>
      <c r="G8" s="83">
        <f>COUNTIFS('Match Log'!$D$4:$D$1510,G$7,'Match Log'!$C$4:$C$1510,$A8)</f>
        <v>6</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7</v>
      </c>
      <c r="Q8" s="85" t="str">
        <f t="shared" ref="Q8:Q32" si="0">IF($P8=0,"—",INDEX($B$34:$O$34,MATCH(MAX($B35:$O35),$B35:$O35,0)))</f>
        <v>Shawn</v>
      </c>
      <c r="R8" s="84">
        <f t="shared" ref="R8:R32" si="1">IF($P8=0,"—",MAX($B35:$O35))</f>
        <v>6</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10</v>
      </c>
      <c r="H9" s="83">
        <f>COUNTIFS('Match Log'!$D$4:$D$1510,H$7,'Match Log'!$C$4:$C$1510,$A9)</f>
        <v>3</v>
      </c>
      <c r="I9" s="83">
        <f>COUNTIFS('Match Log'!$D$4:$D$1510,I$7,'Match Log'!$C$4:$C$1510,$A9)</f>
        <v>10</v>
      </c>
      <c r="J9" s="83">
        <f>COUNTIFS('Match Log'!$D$4:$D$1510,J$7,'Match Log'!$C$4:$C$1510,$A9)</f>
        <v>4</v>
      </c>
      <c r="K9" s="83">
        <f>COUNTIFS('Match Log'!$D$4:$D$1510,K$7,'Match Log'!$C$4:$C$1510,$A9)</f>
        <v>0</v>
      </c>
      <c r="L9" s="83">
        <f>COUNTIFS('Match Log'!$D$4:$D$1510,L$7,'Match Log'!$C$4:$C$1510,$A9)</f>
        <v>3</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16</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22</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7</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30</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4</v>
      </c>
      <c r="G12" s="83">
        <f>COUNTIFS('Match Log'!$D$4:$D$1510,G$7,'Match Log'!$C$4:$C$1510,$A12)</f>
        <v>1</v>
      </c>
      <c r="H12" s="83">
        <f>COUNTIFS('Match Log'!$D$4:$D$1510,H$7,'Match Log'!$C$4:$C$1510,$A12)</f>
        <v>2</v>
      </c>
      <c r="I12" s="83">
        <f>COUNTIFS('Match Log'!$D$4:$D$1510,I$7,'Match Log'!$C$4:$C$1510,$A12)</f>
        <v>11</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25</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3</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2</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4</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5</v>
      </c>
      <c r="G21" s="83">
        <f>COUNTIFS('Match Log'!$D$4:$D$1510,G$7,'Match Log'!$C$4:$C$1510,$A21)</f>
        <v>14</v>
      </c>
      <c r="H21" s="83">
        <f>COUNTIFS('Match Log'!$D$4:$D$1510,H$7,'Match Log'!$C$4:$C$1510,$A21)</f>
        <v>1</v>
      </c>
      <c r="I21" s="83">
        <f>COUNTIFS('Match Log'!$D$4:$D$1510,I$7,'Match Log'!$C$4:$C$1510,$A21)</f>
        <v>5</v>
      </c>
      <c r="J21" s="83">
        <f>COUNTIFS('Match Log'!$D$4:$D$1510,J$7,'Match Log'!$C$4:$C$1510,$A21)</f>
        <v>0</v>
      </c>
      <c r="K21" s="83">
        <f>COUNTIFS('Match Log'!$D$4:$D$1510,K$7,'Match Log'!$C$4:$C$1510,$A21)</f>
        <v>0</v>
      </c>
      <c r="L21" s="83">
        <f>COUNTIFS('Match Log'!$D$4:$D$1510,L$7,'Match Log'!$C$4:$C$1510,$A21)</f>
        <v>11</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19</v>
      </c>
      <c r="Q21" s="85" t="str">
        <f t="shared" si="0"/>
        <v>Oscar</v>
      </c>
      <c r="R21" s="84">
        <f t="shared" si="1"/>
        <v>8</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9</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9</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10</v>
      </c>
      <c r="Q23" s="85" t="str">
        <f t="shared" si="0"/>
        <v>Daniel (Ferret)</v>
      </c>
      <c r="R23" s="84">
        <f t="shared" si="1"/>
        <v>7</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14</v>
      </c>
      <c r="C26" s="83">
        <f>COUNTIFS('Match Log'!$D$4:$D$1510,C$7,'Match Log'!$C$4:$C$1510,$A26)</f>
        <v>0</v>
      </c>
      <c r="D26" s="83">
        <f>COUNTIFS('Match Log'!$D$4:$D$1510,D$7,'Match Log'!$C$4:$C$1510,$A26)</f>
        <v>8</v>
      </c>
      <c r="E26" s="83">
        <f>COUNTIFS('Match Log'!$D$4:$D$1510,E$7,'Match Log'!$C$4:$C$1510,$A26)</f>
        <v>0</v>
      </c>
      <c r="F26" s="83">
        <f>COUNTIFS('Match Log'!$D$4:$D$1510,F$7,'Match Log'!$C$4:$C$1510,$A26)</f>
        <v>4</v>
      </c>
      <c r="G26" s="83">
        <f>COUNTIFS('Match Log'!$D$4:$D$1510,G$7,'Match Log'!$C$4:$C$1510,$A26)</f>
        <v>38</v>
      </c>
      <c r="H26" s="83">
        <f>COUNTIFS('Match Log'!$D$4:$D$1510,H$7,'Match Log'!$C$4:$C$1510,$A26)</f>
        <v>1</v>
      </c>
      <c r="I26" s="83">
        <f>COUNTIFS('Match Log'!$D$4:$D$1510,I$7,'Match Log'!$C$4:$C$1510,$A26)</f>
        <v>31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0</v>
      </c>
      <c r="O26" s="83">
        <f>COUNTIFS('Match Log'!$D$4:$D$1510,O$7,'Match Log'!$C$4:$C$1510,$A26)</f>
        <v>0</v>
      </c>
      <c r="P26" s="84">
        <f>SUMPRODUCT(('Match Log'!$C$4:$C$1510=$A26)*('Match Log'!$D$4:$D$1510='Match Log'!$G$4:$G$1510)*('Match Log'!$D$4:$D$1510&lt;&gt;""))</f>
        <v>47</v>
      </c>
      <c r="Q26" s="85" t="str">
        <f t="shared" si="0"/>
        <v>Daniel (Ferret)</v>
      </c>
      <c r="R26" s="84">
        <f t="shared" si="1"/>
        <v>19</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2"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6</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0</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1</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3</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2</v>
      </c>
      <c r="G39" s="83">
        <f>COUNTIFS('Match Log'!$D$4:$D$1510,G$34,'Match Log'!$C$4:$C$1510,$A39,'Match Log'!$E$4:$E$1510,"Win")</f>
        <v>1</v>
      </c>
      <c r="H39" s="83">
        <f>COUNTIFS('Match Log'!$D$4:$D$1510,H$34,'Match Log'!$C$4:$C$1510,$A39,'Match Log'!$E$4:$E$1510,"Win")</f>
        <v>2</v>
      </c>
      <c r="I39" s="83">
        <f>COUNTIFS('Match Log'!$D$4:$D$1510,I$34,'Match Log'!$C$4:$C$1510,$A39,'Match Log'!$E$4:$E$1510,"Win")</f>
        <v>5</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0</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4</v>
      </c>
      <c r="G48" s="83">
        <f>COUNTIFS('Match Log'!$D$4:$D$1510,G$34,'Match Log'!$C$4:$C$1510,$A48,'Match Log'!$E$4:$E$1510,"Win")</f>
        <v>0</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8</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3</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7</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18</v>
      </c>
      <c r="H53" s="83">
        <f>COUNTIFS('Match Log'!$D$4:$D$1510,H$34,'Match Log'!$C$4:$C$1510,$A53,'Match Log'!$E$4:$E$1510,"Win")</f>
        <v>0</v>
      </c>
      <c r="I53" s="83">
        <f>COUNTIFS('Match Log'!$D$4:$D$1510,I$34,'Match Log'!$C$4:$C$1510,$A53,'Match Log'!$E$4:$E$1510,"Win")</f>
        <v>19</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2"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0.5</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0.45454545454545453</v>
      </c>
      <c r="H64" s="86">
        <f t="shared" si="4"/>
        <v>0</v>
      </c>
      <c r="I64" s="86">
        <f t="shared" si="4"/>
        <v>0.42857142857142855</v>
      </c>
      <c r="J64" s="86" t="str">
        <f t="shared" si="4"/>
        <v/>
      </c>
      <c r="K64" s="86" t="str">
        <f t="shared" si="4"/>
        <v/>
      </c>
      <c r="L64" s="86">
        <f t="shared" si="4"/>
        <v>0.42857142857142855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0.45454545454545453</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0.21428571428571427</v>
      </c>
      <c r="C80" s="86" t="str">
        <f t="shared" si="20"/>
        <v/>
      </c>
      <c r="D80" s="86">
        <f t="shared" si="20"/>
        <v>0.5</v>
      </c>
      <c r="E80" s="86" t="str">
        <f t="shared" si="20"/>
        <v/>
      </c>
      <c r="F80" s="86">
        <f t="shared" si="20"/>
        <v>0.5</v>
      </c>
      <c r="G80" s="86">
        <f t="shared" si="20"/>
        <v>0.47368421052631576</v>
      </c>
      <c r="H80" s="86">
        <f t="shared" si="20"/>
        <v>0</v>
      </c>
      <c r="I80" s="86">
        <f t="shared" si="20"/>
        <v>0.61290322580645162</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2"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1187.9015417269482</v>
      </c>
      <c r="G89" s="83" t="str">
        <f>IF($B89=0,"No games",IF(AND($B89&gt;='Guide &amp; Settings'!$C$45,$C89&gt;='Guide &amp; Settings'!$C$46),"Eligible","Provisional"))</f>
        <v>Eligible</v>
      </c>
      <c r="S89" s="89">
        <f ca="1">IF($G89="Eligible",IF(IFERROR(INDEX(Calcs!$T$7:$T$20,MATCH($A89,Calcs!$A$7:$A$20,0)),"")="Inactive",-1,$F89),-1)</f>
        <v>1187.9015417269482</v>
      </c>
    </row>
    <row r="90" spans="1:19" ht="15" customHeight="1" x14ac:dyDescent="0.2">
      <c r="A90" s="82" t="s">
        <v>19</v>
      </c>
      <c r="B90" s="83">
        <f>COUNTIF('Match Log'!$D$4:$D$1510,$A90)</f>
        <v>62</v>
      </c>
      <c r="C90" s="83">
        <f>SUMPRODUCT(--(COUNTIFS('Match Log'!$D$4:$D$1510,$A90,'Match Log'!$C$4:$C$1510,Lists!$C$2:$C$26)&gt;0))</f>
        <v>15</v>
      </c>
      <c r="D90" s="83">
        <f>COUNTIFS('Match Log'!$D$4:$D$1510,$A90,'Match Log'!$E$4:$E$1510,"Win")</f>
        <v>37</v>
      </c>
      <c r="E90" s="86">
        <f t="shared" si="27"/>
        <v>0.59677419354838712</v>
      </c>
      <c r="F90" s="88">
        <f ca="1">IFERROR(INDEX(Calcs!$S$7:$S$20,MATCH($A90,Calcs!$A$7:$A$20,0)),"")</f>
        <v>1214.0621492095624</v>
      </c>
      <c r="G90" s="83" t="str">
        <f>IF($B90=0,"No games",IF(AND($B90&gt;='Guide &amp; Settings'!$C$45,$C90&gt;='Guide &amp; Settings'!$C$46),"Eligible","Provisional"))</f>
        <v>Eligible</v>
      </c>
      <c r="S90" s="89">
        <f ca="1">IF($G90="Eligible",IF(IFERROR(INDEX(Calcs!$T$7:$T$20,MATCH($A90,Calcs!$A$7:$A$20,0)),"")="Inactive",-1,$F90),-1)</f>
        <v>1214.0621492095624</v>
      </c>
    </row>
    <row r="91" spans="1:19" ht="15" customHeight="1" x14ac:dyDescent="0.2">
      <c r="A91" s="82" t="s">
        <v>21</v>
      </c>
      <c r="B91" s="83">
        <f>COUNTIF('Match Log'!$D$4:$D$1510,$A91)</f>
        <v>40</v>
      </c>
      <c r="C91" s="83">
        <f>SUMPRODUCT(--(COUNTIFS('Match Log'!$D$4:$D$1510,$A91,'Match Log'!$C$4:$C$1510,Lists!$C$2:$C$26)&gt;0))</f>
        <v>12</v>
      </c>
      <c r="D91" s="83">
        <f>COUNTIFS('Match Log'!$D$4:$D$1510,$A91,'Match Log'!$E$4:$E$1510,"Win")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Log'!$D$4:$D$1510,$A92)</f>
        <v>82</v>
      </c>
      <c r="C92" s="83">
        <f>SUMPRODUCT(--(COUNTIFS('Match Log'!$D$4:$D$1510,$A92,'Match Log'!$C$4:$C$1510,Lists!$C$2:$C$26)&gt;0))</f>
        <v>14</v>
      </c>
      <c r="D92" s="83">
        <f>COUNTIFS('Match Log'!$D$4:$D$1510,$A92,'Match Log'!$E$4:$E$1510,"Win")</f>
        <v>28</v>
      </c>
      <c r="E92" s="86">
        <f t="shared" si="27"/>
        <v>0.34146341463414637</v>
      </c>
      <c r="F92" s="88">
        <f ca="1">IFERROR(INDEX(Calcs!$S$7:$S$20,MATCH($A92,Calcs!$A$7:$A$20,0)),"")</f>
        <v>944.39454678356583</v>
      </c>
      <c r="G92" s="83" t="str">
        <f>IF($B92=0,"No games",IF(AND($B92&gt;='Guide &amp; Settings'!$C$45,$C92&gt;='Guide &amp; Settings'!$C$46),"Eligible","Provisional"))</f>
        <v>Eligible</v>
      </c>
      <c r="S92" s="89">
        <f ca="1">IF($G92="Eligible",IF(IFERROR(INDEX(Calcs!$T$7:$T$20,MATCH($A92,Calcs!$A$7:$A$20,0)),"")="Inactive",-1,$F92),-1)</f>
        <v>944.39454678356583</v>
      </c>
    </row>
    <row r="93" spans="1:19" ht="15" customHeight="1" x14ac:dyDescent="0.2">
      <c r="A93" s="82" t="s">
        <v>22</v>
      </c>
      <c r="B93" s="83">
        <f>COUNTIF('Match Log'!$D$4:$D$1510,$A93)</f>
        <v>146</v>
      </c>
      <c r="C93" s="83">
        <f>SUMPRODUCT(--(COUNTIFS('Match Log'!$D$4:$D$1510,$A93,'Match Log'!$C$4:$C$1510,Lists!$C$2:$C$26)&gt;0))</f>
        <v>20</v>
      </c>
      <c r="D93" s="83">
        <f>COUNTIFS('Match Log'!$D$4:$D$1510,$A93,'Match Log'!$E$4:$E$1510,"Win")</f>
        <v>62</v>
      </c>
      <c r="E93" s="86">
        <f t="shared" si="27"/>
        <v>0.42465753424657532</v>
      </c>
      <c r="F93" s="88">
        <f ca="1">IFERROR(INDEX(Calcs!$S$7:$S$20,MATCH($A93,Calcs!$A$7:$A$20,0)),"")</f>
        <v>1219.9989842732086</v>
      </c>
      <c r="G93" s="83" t="str">
        <f>IF($B93=0,"No games",IF(AND($B93&gt;='Guide &amp; Settings'!$C$45,$C93&gt;='Guide &amp; Settings'!$C$46),"Eligible","Provisional"))</f>
        <v>Eligible</v>
      </c>
      <c r="S93" s="89">
        <f ca="1">IF($G93="Eligible",IF(IFERROR(INDEX(Calcs!$T$7:$T$20,MATCH($A93,Calcs!$A$7:$A$20,0)),"")="Inactive",-1,$F93),-1)</f>
        <v>1219.9989842732086</v>
      </c>
    </row>
    <row r="94" spans="1:19" ht="15" customHeight="1" x14ac:dyDescent="0.2">
      <c r="A94" s="82" t="s">
        <v>15</v>
      </c>
      <c r="B94" s="83">
        <f>COUNTIF('Match Log'!$D$4:$D$1510,$A94)</f>
        <v>89</v>
      </c>
      <c r="C94" s="83">
        <f>SUMPRODUCT(--(COUNTIFS('Match Log'!$D$4:$D$1510,$A94,'Match Log'!$C$4:$C$1510,Lists!$C$2:$C$26)&gt;0))</f>
        <v>14</v>
      </c>
      <c r="D94" s="83">
        <f>COUNTIFS('Match Log'!$D$4:$D$1510,$A94,'Match Log'!$E$4:$E$1510,"Win")</f>
        <v>42</v>
      </c>
      <c r="E94" s="86">
        <f t="shared" si="27"/>
        <v>0.47191011235955055</v>
      </c>
      <c r="F94" s="88">
        <f ca="1">IFERROR(INDEX(Calcs!$S$7:$S$20,MATCH($A94,Calcs!$A$7:$A$20,0)),"")</f>
        <v>1196.4573388632245</v>
      </c>
      <c r="G94" s="83" t="str">
        <f>IF($B94=0,"No games",IF(AND($B94&gt;='Guide &amp; Settings'!$C$45,$C94&gt;='Guide &amp; Settings'!$C$46),"Eligible","Provisional"))</f>
        <v>Eligible</v>
      </c>
      <c r="S94" s="89">
        <f ca="1">IF($G94="Eligible",IF(IFERROR(INDEX(Calcs!$T$7:$T$20,MATCH($A94,Calcs!$A$7:$A$20,0)),"")="Inactive",-1,$F94),-1)</f>
        <v>1196.4573388632245</v>
      </c>
    </row>
    <row r="95" spans="1:19" ht="15" customHeight="1" x14ac:dyDescent="0.2">
      <c r="A95" s="82" t="s">
        <v>20</v>
      </c>
      <c r="B95" s="83">
        <f>COUNTIF('Match Log'!$D$4:$D$1510,$A95)</f>
        <v>156</v>
      </c>
      <c r="C95" s="83">
        <f>SUMPRODUCT(--(COUNTIFS('Match Log'!$D$4:$D$1510,$A95,'Match Log'!$C$4:$C$1510,Lists!$C$2:$C$26)&gt;0))</f>
        <v>19</v>
      </c>
      <c r="D95" s="83">
        <f>COUNTIFS('Match Log'!$D$4:$D$1510,$A95,'Match Log'!$E$4:$E$1510,"Win")</f>
        <v>73</v>
      </c>
      <c r="E95" s="86">
        <f t="shared" si="27"/>
        <v>0.46794871794871795</v>
      </c>
      <c r="F95" s="88">
        <f ca="1">IFERROR(INDEX(Calcs!$S$7:$S$20,MATCH($A95,Calcs!$A$7:$A$20,0)),"")</f>
        <v>1152.9705039890414</v>
      </c>
      <c r="G95" s="83" t="str">
        <f>IF($B95=0,"No games",IF(AND($B95&gt;='Guide &amp; Settings'!$C$45,$C95&gt;='Guide &amp; Settings'!$C$46),"Eligible","Provisional"))</f>
        <v>Eligible</v>
      </c>
      <c r="S95" s="89">
        <f ca="1">IF($G95="Eligible",IF(IFERROR(INDEX(Calcs!$T$7:$T$20,MATCH($A95,Calcs!$A$7:$A$20,0)),"")="Inactive",-1,$F95),-1)</f>
        <v>1152.9705039890414</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919.51759653351382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1067.5488947064855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15</v>
      </c>
      <c r="C98" s="83">
        <f>SUMPRODUCT(--(COUNTIFS('Match Log'!$D$4:$D$1510,$A98,'Match Log'!$C$4:$C$1510,Lists!$C$2:$C$26)&gt;0))</f>
        <v>4</v>
      </c>
      <c r="D98" s="83">
        <f>COUNTIFS('Match Log'!$D$4:$D$1510,$A98,'Match Log'!$E$4:$E$1510,"Win")</f>
        <v>6</v>
      </c>
      <c r="E98" s="86">
        <f t="shared" si="27"/>
        <v>0.4</v>
      </c>
      <c r="F98" s="88">
        <f ca="1">IFERROR(INDEX(Calcs!$S$7:$S$20,MATCH($A98,Calcs!$A$7:$A$20,0)),"")</f>
        <v>1003.2192605207141</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Log'!$D$4:$D$1510,$A99)</f>
        <v>20</v>
      </c>
      <c r="C99" s="83">
        <f>SUMPRODUCT(--(COUNTIFS('Match Log'!$D$4:$D$1510,$A99,'Match Log'!$C$4:$C$1510,Lists!$C$2:$C$26)&gt;0))</f>
        <v>10</v>
      </c>
      <c r="D99" s="83">
        <f>COUNTIFS('Match Log'!$D$4:$D$1510,$A99,'Match Log'!$E$4:$E$1510,"Win")</f>
        <v>9</v>
      </c>
      <c r="E99" s="86">
        <f t="shared" si="27"/>
        <v>0.45</v>
      </c>
      <c r="F99" s="88">
        <f ca="1">IFERROR(INDEX(Calcs!$S$7:$S$20,MATCH($A99,Calcs!$A$7:$A$20,0)),"")</f>
        <v>1061.2287215286424</v>
      </c>
      <c r="G99" s="83" t="str">
        <f>IF($B99=0,"No games",IF(AND($B99&gt;='Guide &amp; Settings'!$C$45,$C99&gt;='Guide &amp; Settings'!$C$46),"Eligible","Provisional"))</f>
        <v>Eligible</v>
      </c>
      <c r="S99" s="89">
        <f ca="1">IF($G99="Eligible",IF(IFERROR(INDEX(Calcs!$T$7:$T$20,MATCH($A99,Calcs!$A$7:$A$20,0)),"")="Inactive",-1,$F99),-1)</f>
        <v>1061.2287215286424</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877.03133644117429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792.22294373677494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2"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1002.3243051567958</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1080.5069404636042</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981.95393847012519</v>
      </c>
      <c r="H107" s="88">
        <f>IFERROR(LOOKUP(2,1/(('Match Log'!$D$4:$D$1510=H$105)*('Match Log'!$C$4:$C$1510=$A107)),'Match Log'!$AB$4:$AB$1510),"")</f>
        <v>984.18398397467593</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1007.570042379687</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977.16140054243726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991.24131700741486</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1001.4894058706261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988.04042504575511</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1023.5011654330204</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986.91774437124525</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1025.9268866328202</v>
      </c>
      <c r="G119" s="88">
        <f>IFERROR(LOOKUP(2,1/(('Match Log'!$D$4:$D$1510=G$105)*('Match Log'!$C$4:$C$1510=$A119)),'Match Log'!$AB$4:$AB$1510),"")</f>
        <v>844.70538647951662</v>
      </c>
      <c r="H119" s="88">
        <f>IFERROR(LOOKUP(2,1/(('Match Log'!$D$4:$D$1510=H$105)*('Match Log'!$C$4:$C$1510=$A119)),'Match Log'!$AB$4:$AB$1510),"")</f>
        <v>994.66666666666663</v>
      </c>
      <c r="I119" s="88">
        <f>IFERROR(LOOKUP(2,1/(('Match Log'!$D$4:$D$1510=I$105)*('Match Log'!$C$4:$C$1510=$A119)),'Match Log'!$AB$4:$AB$1510),"")</f>
        <v>1014.7130743334857</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1063.0786926105654</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Oscar</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977.73645858927773</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1053.5611427473693</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941.66416056941034</v>
      </c>
      <c r="C124" s="88" t="str">
        <f>IFERROR(LOOKUP(2,1/(('Match Log'!$D$4:$D$1510=C$105)*('Match Log'!$C$4:$C$1510=$A124)),'Match Log'!$AB$4:$AB$1510),"")</f>
        <v/>
      </c>
      <c r="D124" s="88">
        <f>IFERROR(LOOKUP(2,1/(('Match Log'!$D$4:$D$1510=D$105)*('Match Log'!$C$4:$C$1510=$A124)),'Match Log'!$AB$4:$AB$1510),"")</f>
        <v>1025.1456607850155</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962.4492002901444</v>
      </c>
      <c r="H124" s="88">
        <f>IFERROR(LOOKUP(2,1/(('Match Log'!$D$4:$D$1510=H$105)*('Match Log'!$C$4:$C$1510=$A124)),'Match Log'!$AB$4:$AB$1510),"")</f>
        <v>995.11454772974389</v>
      </c>
      <c r="I124" s="88">
        <f>IFERROR(LOOKUP(2,1/(('Match Log'!$D$4:$D$1510=I$105)*('Match Log'!$C$4:$C$1510=$A124)),'Match Log'!$AB$4:$AB$1510),"")</f>
        <v>1127.9441393405727</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t="str">
        <f>IFERROR(LOOKUP(2,1/(('Match Log'!$D$4:$D$1510=N$105)*('Match Log'!$C$4:$C$1510=$A124)),'Match Log'!$AB$4:$AB$1510),"")</f>
        <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5"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Aaron</v>
      </c>
      <c r="C6" s="91" t="str">
        <f>IFERROR(INDEX(Calcs!$H$25:$H$724,MATCH(LARGE(Calcs!$I$25:$I$724,1),Calcs!$I$25:$I$724,0)),"")</f>
        <v>Shawn</v>
      </c>
      <c r="D6" s="91" t="str">
        <f>IFERROR(INDEX(Calcs!$C$25:$C$724,MATCH(LARGE(Calcs!$I$25:$I$724,1),Calcs!$I$25:$I$724,0)),"")</f>
        <v>Mario Golf</v>
      </c>
      <c r="E6" s="91" t="str">
        <f>IFERROR(TEXT(INDEX(Calcs!$F$25:$F$724,MATCH(LARGE(Calcs!$I$25:$I$724,1),Calcs!$I$25:$I$724,0)),"0%"),"")</f>
        <v>17%</v>
      </c>
      <c r="F6" s="91" t="str">
        <f>IFERROR(TEXT(INDEX(Calcs!$B$25:$B$724,MATCH(LARGE(Calcs!$I$25:$I$724,1),Calcs!$I$25:$I$724,0)),"d mmm"),"")</f>
        <v>10 Jul</v>
      </c>
    </row>
    <row r="7" spans="1:6" ht="15" customHeight="1" x14ac:dyDescent="0.2">
      <c r="A7" s="67">
        <v>2</v>
      </c>
      <c r="B7" s="40" t="str">
        <f>IFERROR(INDEX(Calcs!$D$25:$D$724,MATCH(LARGE(Calcs!$I$25:$I$724,2),Calcs!$I$25:$I$724,0)),"")</f>
        <v>Daniel (Ferret)</v>
      </c>
      <c r="C7" s="40" t="str">
        <f>IFERROR(INDEX(Calcs!$H$25:$H$724,MATCH(LARGE(Calcs!$I$25:$I$724,2),Calcs!$I$25:$I$724,0)),"")</f>
        <v>Shawn</v>
      </c>
      <c r="D7" s="40" t="str">
        <f>IFERROR(INDEX(Calcs!$C$25:$C$724,MATCH(LARGE(Calcs!$I$25:$I$724,2),Calcs!$I$25:$I$724,0)),"")</f>
        <v>FIFA</v>
      </c>
      <c r="E7" s="40" t="str">
        <f>IFERROR(TEXT(INDEX(Calcs!$F$25:$F$724,MATCH(LARGE(Calcs!$I$25:$I$724,2),Calcs!$I$25:$I$724,0)),"0%"),"")</f>
        <v>20%</v>
      </c>
      <c r="F7" s="40" t="str">
        <f>IFERROR(TEXT(INDEX(Calcs!$B$25:$B$724,MATCH(LARGE(Calcs!$I$25:$I$724,2),Calcs!$I$25:$I$724,0)),"d mmm"),"")</f>
        <v>30 May</v>
      </c>
    </row>
    <row r="8" spans="1:6" ht="15" customHeight="1" x14ac:dyDescent="0.2">
      <c r="A8" s="63">
        <v>3</v>
      </c>
      <c r="B8" s="37" t="str">
        <f>IFERROR(INDEX(Calcs!$D$25:$D$724,MATCH(LARGE(Calcs!$I$25:$I$724,3),Calcs!$I$25:$I$724,0)),"")</f>
        <v>Shawn</v>
      </c>
      <c r="C8" s="37" t="str">
        <f>IFERROR(INDEX(Calcs!$H$25:$H$724,MATCH(LARGE(Calcs!$I$25:$I$724,3),Calcs!$I$25:$I$724,0)),"")</f>
        <v>Daniel (Ferret)</v>
      </c>
      <c r="D8" s="37" t="str">
        <f>IFERROR(INDEX(Calcs!$C$25:$C$724,MATCH(LARGE(Calcs!$I$25:$I$724,3),Calcs!$I$25:$I$724,0)),"")</f>
        <v>Mario Party</v>
      </c>
      <c r="E8" s="37" t="str">
        <f>IFERROR(TEXT(INDEX(Calcs!$F$25:$F$724,MATCH(LARGE(Calcs!$I$25:$I$724,3),Calcs!$I$25:$I$724,0)),"0%"),"")</f>
        <v>23%</v>
      </c>
      <c r="F8" s="37" t="str">
        <f>IFERROR(TEXT(INDEX(Calcs!$B$25:$B$724,MATCH(LARGE(Calcs!$I$25:$I$724,3),Calcs!$I$25:$I$724,0)),"d mmm"),"")</f>
        <v>5 Jul</v>
      </c>
    </row>
    <row r="9" spans="1:6" ht="15" customHeight="1" x14ac:dyDescent="0.2">
      <c r="A9" s="67">
        <v>4</v>
      </c>
      <c r="B9" s="40" t="str">
        <f>IFERROR(INDEX(Calcs!$D$25:$D$724,MATCH(LARGE(Calcs!$I$25:$I$724,4),Calcs!$I$25:$I$724,0)),"")</f>
        <v>Dean B</v>
      </c>
      <c r="C9" s="40" t="str">
        <f>IFERROR(INDEX(Calcs!$H$25:$H$724,MATCH(LARGE(Calcs!$I$25:$I$724,4),Calcs!$I$25:$I$724,0)),"")</f>
        <v>David</v>
      </c>
      <c r="D9" s="40" t="str">
        <f>IFERROR(INDEX(Calcs!$C$25:$C$724,MATCH(LARGE(Calcs!$I$25:$I$724,4),Calcs!$I$25:$I$724,0)),"")</f>
        <v>Darts</v>
      </c>
      <c r="E9" s="40" t="str">
        <f>IFERROR(TEXT(INDEX(Calcs!$F$25:$F$724,MATCH(LARGE(Calcs!$I$25:$I$724,4),Calcs!$I$25:$I$724,0)),"0%"),"")</f>
        <v>23%</v>
      </c>
      <c r="F9" s="40" t="str">
        <f>IFERROR(TEXT(INDEX(Calcs!$B$25:$B$724,MATCH(LARGE(Calcs!$I$25:$I$724,4),Calcs!$I$25:$I$724,0)),"d mmm"),"")</f>
        <v>21 Aug</v>
      </c>
    </row>
    <row r="10" spans="1:6" ht="15" customHeight="1" x14ac:dyDescent="0.2">
      <c r="A10" s="63">
        <v>5</v>
      </c>
      <c r="B10" s="37" t="str">
        <f>IFERROR(INDEX(Calcs!$D$25:$D$724,MATCH(LARGE(Calcs!$I$25:$I$724,5),Calcs!$I$25:$I$724,0)),"")</f>
        <v>Simon</v>
      </c>
      <c r="C10" s="37" t="str">
        <f>IFERROR(INDEX(Calcs!$H$25:$H$724,MATCH(LARGE(Calcs!$I$25:$I$724,5),Calcs!$I$25:$I$724,0)),"")</f>
        <v>Oscar</v>
      </c>
      <c r="D10" s="37" t="str">
        <f>IFERROR(INDEX(Calcs!$C$25:$C$724,MATCH(LARGE(Calcs!$I$25:$I$724,5),Calcs!$I$25:$I$724,0)),"")</f>
        <v>Table Tennis</v>
      </c>
      <c r="E10" s="37" t="str">
        <f>IFERROR(TEXT(INDEX(Calcs!$F$25:$F$724,MATCH(LARGE(Calcs!$I$25:$I$724,5),Calcs!$I$25:$I$724,0)),"0%"),"")</f>
        <v>23%</v>
      </c>
      <c r="F10" s="37" t="str">
        <f>IFERROR(TEXT(INDEX(Calcs!$B$25:$B$724,MATCH(LARGE(Calcs!$I$25:$I$724,5),Calcs!$I$25:$I$724,0)),"d mmm"),"")</f>
        <v>23 Aug</v>
      </c>
    </row>
    <row r="11" spans="1:6" ht="15" customHeight="1" x14ac:dyDescent="0.2">
      <c r="A11" s="67">
        <v>6</v>
      </c>
      <c r="B11" s="40" t="str">
        <f>IFERROR(INDEX(Calcs!$D$25:$D$724,MATCH(LARGE(Calcs!$I$25:$I$724,6),Calcs!$I$25:$I$724,0)),"")</f>
        <v>Aaron</v>
      </c>
      <c r="C11" s="40" t="str">
        <f>IFERROR(INDEX(Calcs!$H$25:$H$724,MATCH(LARGE(Calcs!$I$25:$I$724,6),Calcs!$I$25:$I$724,0)),"")</f>
        <v>Shawn</v>
      </c>
      <c r="D11" s="40" t="str">
        <f>IFERROR(INDEX(Calcs!$C$25:$C$724,MATCH(LARGE(Calcs!$I$25:$I$724,6),Calcs!$I$25:$I$724,0)),"")</f>
        <v>Table Tennis</v>
      </c>
      <c r="E11" s="40" t="str">
        <f>IFERROR(TEXT(INDEX(Calcs!$F$25:$F$724,MATCH(LARGE(Calcs!$I$25:$I$724,6),Calcs!$I$25:$I$724,0)),"0%"),"")</f>
        <v>24%</v>
      </c>
      <c r="F11" s="40" t="str">
        <f>IFERROR(TEXT(INDEX(Calcs!$B$25:$B$724,MATCH(LARGE(Calcs!$I$25:$I$724,6),Calcs!$I$25:$I$724,0)),"d mmm"),"")</f>
        <v>21 Aug</v>
      </c>
    </row>
    <row r="12" spans="1:6" ht="15" customHeight="1" x14ac:dyDescent="0.2">
      <c r="A12" s="63">
        <v>7</v>
      </c>
      <c r="B12" s="37" t="str">
        <f>IFERROR(INDEX(Calcs!$D$25:$D$724,MATCH(LARGE(Calcs!$I$25:$I$724,7),Calcs!$I$25:$I$724,0)),"")</f>
        <v>Oscar</v>
      </c>
      <c r="C12" s="37" t="str">
        <f>IFERROR(INDEX(Calcs!$H$25:$H$724,MATCH(LARGE(Calcs!$I$25:$I$724,7),Calcs!$I$25:$I$724,0)),"")</f>
        <v>Daniel (Ferret)</v>
      </c>
      <c r="D12" s="37" t="str">
        <f>IFERROR(INDEX(Calcs!$C$25:$C$724,MATCH(LARGE(Calcs!$I$25:$I$724,7),Calcs!$I$25:$I$724,0)),"")</f>
        <v>Mario Kart</v>
      </c>
      <c r="E12" s="37" t="str">
        <f>IFERROR(TEXT(INDEX(Calcs!$F$25:$F$724,MATCH(LARGE(Calcs!$I$25:$I$724,7),Calcs!$I$25:$I$724,0)),"0%"),"")</f>
        <v>25%</v>
      </c>
      <c r="F12" s="37" t="str">
        <f>IFERROR(TEXT(INDEX(Calcs!$B$25:$B$724,MATCH(LARGE(Calcs!$I$25:$I$724,7),Calcs!$I$25:$I$724,0)),"d mmm"),"")</f>
        <v>3 Jun</v>
      </c>
    </row>
    <row r="13" spans="1:6" ht="15" customHeight="1" x14ac:dyDescent="0.2">
      <c r="A13" s="67">
        <v>8</v>
      </c>
      <c r="B13" s="40" t="str">
        <f>IFERROR(INDEX(Calcs!$D$25:$D$724,MATCH(LARGE(Calcs!$I$25:$I$724,8),Calcs!$I$25:$I$724,0)),"")</f>
        <v>Daniel (Ferret)</v>
      </c>
      <c r="C13" s="40" t="str">
        <f>IFERROR(INDEX(Calcs!$H$25:$H$724,MATCH(LARGE(Calcs!$I$25:$I$724,8),Calcs!$I$25:$I$724,0)),"")</f>
        <v>Josh</v>
      </c>
      <c r="D13" s="40" t="str">
        <f>IFERROR(INDEX(Calcs!$C$25:$C$724,MATCH(LARGE(Calcs!$I$25:$I$724,8),Calcs!$I$25:$I$724,0)),"")</f>
        <v>Mario Golf</v>
      </c>
      <c r="E13" s="40" t="str">
        <f>IFERROR(TEXT(INDEX(Calcs!$F$25:$F$724,MATCH(LARGE(Calcs!$I$25:$I$724,8),Calcs!$I$25:$I$724,0)),"0%"),"")</f>
        <v>25%</v>
      </c>
      <c r="F13" s="40" t="str">
        <f>IFERROR(TEXT(INDEX(Calcs!$B$25:$B$724,MATCH(LARGE(Calcs!$I$25:$I$724,8),Calcs!$I$25:$I$724,0)),"d mmm"),"")</f>
        <v>26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17%</v>
      </c>
      <c r="C20" s="40" t="str">
        <f>$B$6</f>
        <v>Aaron</v>
      </c>
      <c r="D20" s="40" t="str">
        <f>$D$6</f>
        <v>Mario Golf</v>
      </c>
      <c r="E20" s="40" t="str">
        <f>$F$6</f>
        <v>10 Jul</v>
      </c>
      <c r="F20" s="40" t="str">
        <f>"beat "&amp;$C$6</f>
        <v>beat Shawn</v>
      </c>
    </row>
    <row r="21" spans="1:8" ht="15" customHeight="1" x14ac:dyDescent="0.2">
      <c r="A21" s="92" t="s">
        <v>325</v>
      </c>
      <c r="B21" s="37" t="str">
        <f ca="1">TEXT(MAX(Dashboard!$D$5:$D$18),"0")</f>
        <v>156</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56 games</v>
      </c>
      <c r="C23" s="37" t="str">
        <f>INDEX('Sport Records'!$A$8:$A$32,MATCH(MAX('Sport Records'!$P$8:$P$32),'Sport Records'!$P$8:$P$32,0))</f>
        <v>Table Tennis</v>
      </c>
      <c r="D23" s="37" t="s">
        <v>326</v>
      </c>
      <c r="E23" s="37" t="s">
        <v>326</v>
      </c>
      <c r="F23" s="37" t="s">
        <v>329</v>
      </c>
    </row>
    <row r="24" spans="1:8" ht="15" customHeight="1" x14ac:dyDescent="0.2">
      <c r="A24" s="93" t="s">
        <v>330</v>
      </c>
      <c r="B24" s="40" t="str">
        <f>MAX(Calcs!$O$7:$O$20)&amp;" wins"</f>
        <v>5 wins</v>
      </c>
      <c r="C24" s="40" t="str">
        <f>INDEX(Calcs!$A$7:$A$20,MATCH(MAX(Calcs!$O$7:$O$20),Calcs!$O$7:$O$20,0))</f>
        <v>Simon</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Daniel (Ferret)</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Simon</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Daniel (Ferret) leads the title race, 6 points clear of Josh.</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Simon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Oscar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Daniel (Ferret) is surging — up 9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156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Log'!$A$4:$A$1510)&amp;" games played across "&amp;COUNTIF('Sport Records'!$P$8:$P$32,"&gt;0")&amp;" different sports — and counting."</f>
        <v>🎲  303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Daniel (Ferret)</v>
      </c>
      <c r="C17" s="143">
        <f ca="1">ROUND(Dashboard!$C$5,0)</f>
        <v>1220</v>
      </c>
      <c r="D17" s="109" t="str">
        <f>"leader"</f>
        <v>leader</v>
      </c>
      <c r="E17" s="105"/>
      <c r="F17" s="27"/>
    </row>
    <row r="18" spans="1:6" ht="15" customHeight="1" x14ac:dyDescent="0.2">
      <c r="A18" s="110">
        <v>2</v>
      </c>
      <c r="B18" s="62" t="str">
        <f ca="1">Dashboard!$B$6</f>
        <v>Josh</v>
      </c>
      <c r="C18" s="144">
        <f ca="1">ROUND(Dashboard!$C$6,0)</f>
        <v>1214</v>
      </c>
      <c r="D18" s="111" t="str">
        <f ca="1">ROUND(Dashboard!$C$5-Dashboard!$C$6,0)&amp;" behind"</f>
        <v>6 behind</v>
      </c>
      <c r="E18" s="105"/>
      <c r="F18" s="27"/>
    </row>
    <row r="19" spans="1:6" ht="15" customHeight="1" x14ac:dyDescent="0.2">
      <c r="A19" s="110">
        <v>3</v>
      </c>
      <c r="B19" s="62" t="str">
        <f ca="1">Dashboard!$B$7</f>
        <v>Simon</v>
      </c>
      <c r="C19" s="144">
        <f ca="1">ROUND(Dashboard!$C$7,0)</f>
        <v>1210</v>
      </c>
      <c r="D19" s="111" t="str">
        <f ca="1">ROUND(Dashboard!$C$5-Dashboard!$C$7,0)&amp;" behind"</f>
        <v>10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W</v>
      </c>
      <c r="C40" s="113" t="str">
        <f>IFERROR(IF(INDEX('Match Log'!$E$1:$E$1510,_xlfn.AGGREGATE(14,6,ROW('Match Log'!$A$4:$A$1510)/('Match Log'!$D$4:$D$1510=$A40),9))="Win","W","L"),"")</f>
        <v>W</v>
      </c>
      <c r="D40" s="113" t="str">
        <f>IFERROR(IF(INDEX('Match Log'!$E$1:$E$1510,_xlfn.AGGREGATE(14,6,ROW('Match Log'!$A$4:$A$1510)/('Match Log'!$D$4:$D$1510=$A40),8))="Win","W","L"),"")</f>
        <v>L</v>
      </c>
      <c r="E40" s="113" t="str">
        <f>IFERROR(IF(INDEX('Match Log'!$E$1:$E$1510,_xlfn.AGGREGATE(14,6,ROW('Match Log'!$A$4:$A$1510)/('Match Log'!$D$4:$D$1510=$A40),7))="Win","W","L"),"")</f>
        <v>W</v>
      </c>
      <c r="F40" s="113" t="str">
        <f>IFERROR(IF(INDEX('Match Log'!$E$1:$E$1510,_xlfn.AGGREGATE(14,6,ROW('Match Log'!$A$4:$A$1510)/('Match Log'!$D$4:$D$1510=$A40),6))="Win","W","L"),"")</f>
        <v>W</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L</v>
      </c>
      <c r="K40" s="113" t="str">
        <f>IFERROR(IF(INDEX('Match Log'!$E$1:$E$1510,_xlfn.AGGREGATE(14,6,ROW('Match Log'!$A$4:$A$1510)/('Match Log'!$D$4:$D$1510=$A40),1))="Win","W","L"),"")</f>
        <v>L</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W</v>
      </c>
      <c r="C42" s="113" t="str">
        <f>IFERROR(IF(INDEX('Match Log'!$E$1:$E$1510,_xlfn.AGGREGATE(14,6,ROW('Match Log'!$A$4:$A$1510)/('Match Log'!$D$4:$D$1510=$A42),9))="Win","W","L"),"")</f>
        <v>L</v>
      </c>
      <c r="D42" s="113" t="str">
        <f>IFERROR(IF(INDEX('Match Log'!$E$1:$E$1510,_xlfn.AGGREGATE(14,6,ROW('Match Log'!$A$4:$A$1510)/('Match Log'!$D$4:$D$1510=$A42),8))="Win","W","L"),"")</f>
        <v>W</v>
      </c>
      <c r="E42" s="113" t="str">
        <f>IFERROR(IF(INDEX('Match Log'!$E$1:$E$1510,_xlfn.AGGREGATE(14,6,ROW('Match Log'!$A$4:$A$1510)/('Match Log'!$D$4:$D$1510=$A42),7))="Win","W","L"),"")</f>
        <v>L</v>
      </c>
      <c r="F42" s="113" t="str">
        <f>IFERROR(IF(INDEX('Match Log'!$E$1:$E$1510,_xlfn.AGGREGATE(14,6,ROW('Match Log'!$A$4:$A$1510)/('Match Log'!$D$4:$D$1510=$A42),6))="Win","W","L"),"")</f>
        <v>L</v>
      </c>
      <c r="G42" s="113" t="str">
        <f>IFERROR(IF(INDEX('Match Log'!$E$1:$E$1510,_xlfn.AGGREGATE(14,6,ROW('Match Log'!$A$4:$A$1510)/('Match Log'!$D$4:$D$1510=$A42),5))="Win","W","L"),"")</f>
        <v>L</v>
      </c>
      <c r="H42" s="113" t="str">
        <f>IFERROR(IF(INDEX('Match Log'!$E$1:$E$1510,_xlfn.AGGREGATE(14,6,ROW('Match Log'!$A$4:$A$1510)/('Match Log'!$D$4:$D$1510=$A42),4))="Win","W","L"),"")</f>
        <v>L</v>
      </c>
      <c r="I42" s="113" t="str">
        <f>IFERROR(IF(INDEX('Match Log'!$E$1:$E$1510,_xlfn.AGGREGATE(14,6,ROW('Match Log'!$A$4:$A$1510)/('Match Log'!$D$4:$D$1510=$A42),3))="Win","W","L"),"")</f>
        <v>W</v>
      </c>
      <c r="J42" s="113" t="str">
        <f>IFERROR(IF(INDEX('Match Log'!$E$1:$E$1510,_xlfn.AGGREGATE(14,6,ROW('Match Log'!$A$4:$A$1510)/('Match Log'!$D$4:$D$1510=$A42),2))="Win","W","L"),"")</f>
        <v>W</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L</v>
      </c>
      <c r="D44" s="113" t="str">
        <f>IFERROR(IF(INDEX('Match Log'!$E$1:$E$1510,_xlfn.AGGREGATE(14,6,ROW('Match Log'!$A$4:$A$1510)/('Match Log'!$D$4:$D$1510=$A44),8))="Win","W","L"),"")</f>
        <v>W</v>
      </c>
      <c r="E44" s="113" t="str">
        <f>IFERROR(IF(INDEX('Match Log'!$E$1:$E$1510,_xlfn.AGGREGATE(14,6,ROW('Match Log'!$A$4:$A$1510)/('Match Log'!$D$4:$D$1510=$A44),7))="Win","W","L"),"")</f>
        <v>W</v>
      </c>
      <c r="F44" s="113" t="str">
        <f>IFERROR(IF(INDEX('Match Log'!$E$1:$E$1510,_xlfn.AGGREGATE(14,6,ROW('Match Log'!$A$4:$A$1510)/('Match Log'!$D$4:$D$1510=$A44),6))="Win","W","L"),"")</f>
        <v>L</v>
      </c>
      <c r="G44" s="113" t="str">
        <f>IFERROR(IF(INDEX('Match Log'!$E$1:$E$1510,_xlfn.AGGREGATE(14,6,ROW('Match Log'!$A$4:$A$1510)/('Match Log'!$D$4:$D$1510=$A44),5))="Win","W","L"),"")</f>
        <v>W</v>
      </c>
      <c r="H44" s="113" t="str">
        <f>IFERROR(IF(INDEX('Match Log'!$E$1:$E$1510,_xlfn.AGGREGATE(14,6,ROW('Match Log'!$A$4:$A$1510)/('Match Log'!$D$4:$D$1510=$A44),4))="Win","W","L"),"")</f>
        <v>L</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W</v>
      </c>
      <c r="C45" s="113" t="str">
        <f>IFERROR(IF(INDEX('Match Log'!$E$1:$E$1510,_xlfn.AGGREGATE(14,6,ROW('Match Log'!$A$4:$A$1510)/('Match Log'!$D$4:$D$1510=$A45),9))="Win","W","L"),"")</f>
        <v>W</v>
      </c>
      <c r="D45" s="113" t="str">
        <f>IFERROR(IF(INDEX('Match Log'!$E$1:$E$1510,_xlfn.AGGREGATE(14,6,ROW('Match Log'!$A$4:$A$1510)/('Match Log'!$D$4:$D$1510=$A45),8))="Win","W","L"),"")</f>
        <v>L</v>
      </c>
      <c r="E45" s="113" t="str">
        <f>IFERROR(IF(INDEX('Match Log'!$E$1:$E$1510,_xlfn.AGGREGATE(14,6,ROW('Match Log'!$A$4:$A$1510)/('Match Log'!$D$4:$D$1510=$A45),7))="Win","W","L"),"")</f>
        <v>L</v>
      </c>
      <c r="F45" s="113" t="str">
        <f>IFERROR(IF(INDEX('Match Log'!$E$1:$E$1510,_xlfn.AGGREGATE(14,6,ROW('Match Log'!$A$4:$A$1510)/('Match Log'!$D$4:$D$1510=$A45),6))="Win","W","L"),"")</f>
        <v>W</v>
      </c>
      <c r="G45" s="113" t="str">
        <f>IFERROR(IF(INDEX('Match Log'!$E$1:$E$1510,_xlfn.AGGREGATE(14,6,ROW('Match Log'!$A$4:$A$1510)/('Match Log'!$D$4:$D$1510=$A45),5))="Win","W","L"),"")</f>
        <v>L</v>
      </c>
      <c r="H45" s="113" t="str">
        <f>IFERROR(IF(INDEX('Match Log'!$E$1:$E$1510,_xlfn.AGGREGATE(14,6,ROW('Match Log'!$A$4:$A$1510)/('Match Log'!$D$4:$D$1510=$A45),4))="Win","W","L"),"")</f>
        <v>L</v>
      </c>
      <c r="I45" s="113" t="str">
        <f>IFERROR(IF(INDEX('Match Log'!$E$1:$E$1510,_xlfn.AGGREGATE(14,6,ROW('Match Log'!$A$4:$A$1510)/('Match Log'!$D$4:$D$1510=$A45),3))="Win","W","L"),"")</f>
        <v>L</v>
      </c>
      <c r="J45" s="113" t="str">
        <f>IFERROR(IF(INDEX('Match Log'!$E$1:$E$1510,_xlfn.AGGREGATE(14,6,ROW('Match Log'!$A$4:$A$1510)/('Match Log'!$D$4:$D$1510=$A45),2))="Win","W","L"),"")</f>
        <v>L</v>
      </c>
      <c r="K45" s="113" t="str">
        <f>IFERROR(IF(INDEX('Match Log'!$E$1:$E$1510,_xlfn.AGGREGATE(14,6,ROW('Match Log'!$A$4:$A$1510)/('Match Log'!$D$4:$D$1510=$A45),1))="Win","W","L"),"")</f>
        <v>L</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L</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L</v>
      </c>
      <c r="G46" s="113" t="str">
        <f>IFERROR(IF(INDEX('Match Log'!$E$1:$E$1510,_xlfn.AGGREGATE(14,6,ROW('Match Log'!$A$4:$A$1510)/('Match Log'!$D$4:$D$1510=$A46),5))="Win","W","L"),"")</f>
        <v>W</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W</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L</v>
      </c>
      <c r="C47" s="113" t="str">
        <f>IFERROR(IF(INDEX('Match Log'!$E$1:$E$1510,_xlfn.AGGREGATE(14,6,ROW('Match Log'!$A$4:$A$1510)/('Match Log'!$D$4:$D$1510=$A47),9))="Win","W","L"),"")</f>
        <v>W</v>
      </c>
      <c r="D47" s="113" t="str">
        <f>IFERROR(IF(INDEX('Match Log'!$E$1:$E$1510,_xlfn.AGGREGATE(14,6,ROW('Match Log'!$A$4:$A$1510)/('Match Log'!$D$4:$D$1510=$A47),8))="Win","W","L"),"")</f>
        <v>W</v>
      </c>
      <c r="E47" s="113" t="str">
        <f>IFERROR(IF(INDEX('Match Log'!$E$1:$E$1510,_xlfn.AGGREGATE(14,6,ROW('Match Log'!$A$4:$A$1510)/('Match Log'!$D$4:$D$1510=$A47),7))="Win","W","L"),"")</f>
        <v>W</v>
      </c>
      <c r="F47" s="113" t="str">
        <f>IFERROR(IF(INDEX('Match Log'!$E$1:$E$1510,_xlfn.AGGREGATE(14,6,ROW('Match Log'!$A$4:$A$1510)/('Match Log'!$D$4:$D$1510=$A47),6))="Win","W","L"),"")</f>
        <v>W</v>
      </c>
      <c r="G47" s="113" t="str">
        <f>IFERROR(IF(INDEX('Match Log'!$E$1:$E$1510,_xlfn.AGGREGATE(14,6,ROW('Match Log'!$A$4:$A$1510)/('Match Log'!$D$4:$D$1510=$A47),5))="Win","W","L"),"")</f>
        <v>W</v>
      </c>
      <c r="H47" s="113" t="str">
        <f>IFERROR(IF(INDEX('Match Log'!$E$1:$E$1510,_xlfn.AGGREGATE(14,6,ROW('Match Log'!$A$4:$A$1510)/('Match Log'!$D$4:$D$1510=$A47),4))="Win","W","L"),"")</f>
        <v>W</v>
      </c>
      <c r="I47" s="113" t="str">
        <f>IFERROR(IF(INDEX('Match Log'!$E$1:$E$1510,_xlfn.AGGREGATE(14,6,ROW('Match Log'!$A$4:$A$1510)/('Match Log'!$D$4:$D$1510=$A47),3))="Win","W","L"),"")</f>
        <v>W</v>
      </c>
      <c r="J47" s="113" t="str">
        <f>IFERROR(IF(INDEX('Match Log'!$E$1:$E$1510,_xlfn.AGGREGATE(14,6,ROW('Match Log'!$A$4:$A$1510)/('Match Log'!$D$4:$D$1510=$A47),2))="Win","W","L"),"")</f>
        <v>L</v>
      </c>
      <c r="K47" s="113" t="str">
        <f>IFERROR(IF(INDEX('Match Log'!$E$1:$E$1510,_xlfn.AGGREGATE(14,6,ROW('Match Log'!$A$4:$A$1510)/('Match Log'!$D$4:$D$1510=$A47),1))="Win","W","L"),"")</f>
        <v>W</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L</v>
      </c>
      <c r="C50" s="113" t="str">
        <f>IFERROR(IF(INDEX('Match Log'!$E$1:$E$1510,_xlfn.AGGREGATE(14,6,ROW('Match Log'!$A$4:$A$1510)/('Match Log'!$D$4:$D$1510=$A50),9))="Win","W","L"),"")</f>
        <v>W</v>
      </c>
      <c r="D50" s="113" t="str">
        <f>IFERROR(IF(INDEX('Match Log'!$E$1:$E$1510,_xlfn.AGGREGATE(14,6,ROW('Match Log'!$A$4:$A$1510)/('Match Log'!$D$4:$D$1510=$A50),8))="Win","W","L"),"")</f>
        <v>L</v>
      </c>
      <c r="E50" s="113" t="str">
        <f>IFERROR(IF(INDEX('Match Log'!$E$1:$E$1510,_xlfn.AGGREGATE(14,6,ROW('Match Log'!$A$4:$A$1510)/('Match Log'!$D$4:$D$1510=$A50),7))="Win","W","L"),"")</f>
        <v>L</v>
      </c>
      <c r="F50" s="113" t="str">
        <f>IFERROR(IF(INDEX('Match Log'!$E$1:$E$1510,_xlfn.AGGREGATE(14,6,ROW('Match Log'!$A$4:$A$1510)/('Match Log'!$D$4:$D$1510=$A50),6))="Win","W","L"),"")</f>
        <v>L</v>
      </c>
      <c r="G50" s="113" t="str">
        <f>IFERROR(IF(INDEX('Match Log'!$E$1:$E$1510,_xlfn.AGGREGATE(14,6,ROW('Match Log'!$A$4:$A$1510)/('Match Log'!$D$4:$D$1510=$A50),5))="Win","W","L"),"")</f>
        <v>L</v>
      </c>
      <c r="H50" s="113" t="str">
        <f>IFERROR(IF(INDEX('Match Log'!$E$1:$E$1510,_xlfn.AGGREGATE(14,6,ROW('Match Log'!$A$4:$A$1510)/('Match Log'!$D$4:$D$1510=$A50),4))="Win","W","L"),"")</f>
        <v>L</v>
      </c>
      <c r="I50" s="113" t="str">
        <f>IFERROR(IF(INDEX('Match Log'!$E$1:$E$1510,_xlfn.AGGREGATE(14,6,ROW('Match Log'!$A$4:$A$1510)/('Match Log'!$D$4:$D$1510=$A50),3))="Win","W","L"),"")</f>
        <v>L</v>
      </c>
      <c r="J50" s="113" t="str">
        <f>IFERROR(IF(INDEX('Match Log'!$E$1:$E$1510,_xlfn.AGGREGATE(14,6,ROW('Match Log'!$A$4:$A$1510)/('Match Log'!$D$4:$D$1510=$A50),2))="Win","W","L"),"")</f>
        <v>L</v>
      </c>
      <c r="K50" s="113" t="str">
        <f>IFERROR(IF(INDEX('Match Log'!$E$1:$E$1510,_xlfn.AGGREGATE(14,6,ROW('Match Log'!$A$4:$A$1510)/('Match Log'!$D$4:$D$1510=$A50),1))="Win","W","L"),"")</f>
        <v>L</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L</v>
      </c>
      <c r="D52" s="113" t="str">
        <f>IFERROR(IF(INDEX('Match Log'!$E$1:$E$1510,_xlfn.AGGREGATE(14,6,ROW('Match Log'!$A$4:$A$1510)/('Match Log'!$D$4:$D$1510=$A52),8))="Win","W","L"),"")</f>
        <v>W</v>
      </c>
      <c r="E52" s="113" t="str">
        <f>IFERROR(IF(INDEX('Match Log'!$E$1:$E$1510,_xlfn.AGGREGATE(14,6,ROW('Match Log'!$A$4:$A$1510)/('Match Log'!$D$4:$D$1510=$A52),7))="Win","W","L"),"")</f>
        <v>W</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0.21428571428571427</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0.5</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0.45454545454545453</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0.47368421052631576</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0.45454545454545453</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0.61290322580645162</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0.42857142857142855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675" activePane="bottomRight" state="frozen"/>
      <selection pane="topRight" activeCell="F1" sqref="F1"/>
      <selection pane="bottomLeft" activeCell="A442" sqref="A442"/>
      <selection pane="bottomRight" activeCell="E711" sqref="E711"/>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45" t="s">
        <v>346</v>
      </c>
      <c r="B1" s="146"/>
      <c r="C1" s="146"/>
      <c r="D1" s="146"/>
      <c r="E1" s="146"/>
      <c r="F1" s="146"/>
      <c r="G1" s="146"/>
      <c r="H1" s="146"/>
      <c r="I1" s="146"/>
      <c r="J1" s="146"/>
      <c r="K1" s="146"/>
      <c r="L1" s="146"/>
      <c r="M1" s="146"/>
      <c r="N1" s="146"/>
      <c r="O1" s="146"/>
    </row>
    <row r="2" spans="1:32" ht="15" customHeight="1" x14ac:dyDescent="0.2">
      <c r="A2" s="147"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c r="B719" s="118"/>
      <c r="C719" s="119"/>
      <c r="D719" s="119"/>
      <c r="E719" s="117"/>
      <c r="F719" s="120">
        <f t="shared" si="220"/>
        <v>0</v>
      </c>
      <c r="G719" s="121" t="str">
        <f t="shared" si="221"/>
        <v/>
      </c>
      <c r="H719" s="122">
        <f>IF($D719="",0,IFERROR(LOOKUP(2,1/(($D$3:D718=$D719)*($A$3:A718&lt;$A719)),$N$3:N718),'Guide &amp; Settings'!$C$41))</f>
        <v>0</v>
      </c>
      <c r="I719" s="123">
        <f t="shared" si="222"/>
        <v>0</v>
      </c>
      <c r="J719" s="124">
        <f>IF($D719="",0,IF($F719&lt;2,0,IF($E719="Win",('Guide &amp; Settings'!$C$42/(($F719-1)*COUNTIFS($A$4:$A$1510,$A719,$E$4:$E$1510,"Win")))*SUMIFS($X$4:$X$1510,$A$4:$A$1510,$A719,$E$4:$E$1510,"Loss"),-('Guide &amp; Settings'!$C$42/($F719-1))*$X719)))</f>
        <v>0</v>
      </c>
      <c r="K719" s="124">
        <f>IF($D719="",0,'Guide &amp; Settings'!$C$43*(IF($E719="Win",1,0)-$I719))</f>
        <v>0</v>
      </c>
      <c r="L719" s="125">
        <f>IF($D719="",0,'Guide &amp; Settings'!$C$44*IF($F719&gt;=3,$F719,0))</f>
        <v>0</v>
      </c>
      <c r="M719" s="124">
        <f t="shared" si="223"/>
        <v>0</v>
      </c>
      <c r="N719" s="122">
        <f t="shared" si="224"/>
        <v>0</v>
      </c>
      <c r="O719" s="121" t="str">
        <f t="shared" si="225"/>
        <v/>
      </c>
      <c r="P719">
        <f t="shared" si="226"/>
        <v>0</v>
      </c>
      <c r="Q719">
        <f t="shared" si="227"/>
        <v>0</v>
      </c>
      <c r="R719">
        <f t="shared" si="228"/>
        <v>0</v>
      </c>
      <c r="S719">
        <f t="shared" si="229"/>
        <v>0</v>
      </c>
      <c r="T719" s="89">
        <f t="shared" si="230"/>
        <v>0</v>
      </c>
      <c r="U719" s="126">
        <f>IF($D719="",0,IFERROR(LOOKUP(2,1/(($D$3:D718=$D719)*($C$3:C718=$C719)*($A$3:A718&lt;$A719)),$AB$3:AB718),1000))</f>
        <v>0</v>
      </c>
      <c r="V719" s="126">
        <f t="shared" si="231"/>
        <v>0</v>
      </c>
      <c r="W719">
        <f t="shared" si="232"/>
        <v>0</v>
      </c>
      <c r="X719">
        <f t="shared" si="233"/>
        <v>0</v>
      </c>
      <c r="Y719">
        <f t="shared" si="234"/>
        <v>0</v>
      </c>
      <c r="Z719">
        <f t="shared" si="235"/>
        <v>0</v>
      </c>
      <c r="AA719">
        <f>IF($D719="",0,IF($F719&lt;2,0,IF($E719="Win",('Guide &amp; Settings'!$C$42/(($F719-1)*COUNTIFS($A$4:$A$1510,$A719,$E$4:$E$1510,"Win")))*SUMIFS($Z$4:$Z$1510,$A$4:$A$1510,$A719,$E$4:$E$1510,"Loss"),-('Guide &amp; Settings'!$C$42/($F719-1))*$Z719)))</f>
        <v>0</v>
      </c>
      <c r="AB719" s="126">
        <f t="shared" si="236"/>
        <v>0</v>
      </c>
      <c r="AC719" s="126" t="str">
        <f>IF($D719="","",IF($AD719=0,0,IF(COUNTIFS($D$4:$D719,$D719,$B$4:$B719,$B719)&gt;1,0,IF($B719&lt;'Guide &amp; Settings'!$C$50,0,IF(($B719-$AD719)/7-'Guide &amp; Settings'!$C$48&gt;=0,(INT(($B719-$AD719)/7-'Guide &amp; Settings'!$C$48)+1)*'Guide &amp; Settings'!$C$49,0)))))</f>
        <v/>
      </c>
      <c r="AD719" s="142">
        <f t="shared" si="237"/>
        <v>0</v>
      </c>
      <c r="AE719">
        <f t="shared" si="238"/>
        <v>0</v>
      </c>
      <c r="AF719">
        <f t="shared" si="239"/>
        <v>0</v>
      </c>
    </row>
    <row r="720" spans="1:32" x14ac:dyDescent="0.2">
      <c r="A720" s="117"/>
      <c r="B720" s="118"/>
      <c r="C720" s="119"/>
      <c r="D720" s="119"/>
      <c r="E720" s="117"/>
      <c r="F720" s="120">
        <f t="shared" si="220"/>
        <v>0</v>
      </c>
      <c r="G720" s="121" t="str">
        <f t="shared" si="221"/>
        <v/>
      </c>
      <c r="H720" s="122">
        <f>IF($D720="",0,IFERROR(LOOKUP(2,1/(($D$3:D719=$D720)*($A$3:A719&lt;$A720)),$N$3:N719),'Guide &amp; Settings'!$C$41))</f>
        <v>0</v>
      </c>
      <c r="I720" s="123">
        <f t="shared" si="222"/>
        <v>0</v>
      </c>
      <c r="J720" s="124">
        <f>IF($D720="",0,IF($F720&lt;2,0,IF($E720="Win",('Guide &amp; Settings'!$C$42/(($F720-1)*COUNTIFS($A$4:$A$1510,$A720,$E$4:$E$1510,"Win")))*SUMIFS($X$4:$X$1510,$A$4:$A$1510,$A720,$E$4:$E$1510,"Loss"),-('Guide &amp; Settings'!$C$42/($F720-1))*$X720)))</f>
        <v>0</v>
      </c>
      <c r="K720" s="124">
        <f>IF($D720="",0,'Guide &amp; Settings'!$C$43*(IF($E720="Win",1,0)-$I720))</f>
        <v>0</v>
      </c>
      <c r="L720" s="125">
        <f>IF($D720="",0,'Guide &amp; Settings'!$C$44*IF($F720&gt;=3,$F720,0))</f>
        <v>0</v>
      </c>
      <c r="M720" s="124">
        <f t="shared" si="223"/>
        <v>0</v>
      </c>
      <c r="N720" s="122">
        <f t="shared" si="224"/>
        <v>0</v>
      </c>
      <c r="O720" s="121" t="str">
        <f t="shared" si="225"/>
        <v/>
      </c>
      <c r="P720">
        <f t="shared" si="226"/>
        <v>0</v>
      </c>
      <c r="Q720">
        <f t="shared" si="227"/>
        <v>0</v>
      </c>
      <c r="R720">
        <f t="shared" si="228"/>
        <v>0</v>
      </c>
      <c r="S720">
        <f t="shared" si="229"/>
        <v>0</v>
      </c>
      <c r="T720" s="89">
        <f t="shared" si="230"/>
        <v>0</v>
      </c>
      <c r="U720" s="126">
        <f>IF($D720="",0,IFERROR(LOOKUP(2,1/(($D$3:D719=$D720)*($C$3:C719=$C720)*($A$3:A719&lt;$A720)),$AB$3:AB719),1000))</f>
        <v>0</v>
      </c>
      <c r="V720" s="126">
        <f t="shared" si="231"/>
        <v>0</v>
      </c>
      <c r="W720">
        <f t="shared" si="232"/>
        <v>0</v>
      </c>
      <c r="X720">
        <f t="shared" si="233"/>
        <v>0</v>
      </c>
      <c r="Y720">
        <f t="shared" si="234"/>
        <v>0</v>
      </c>
      <c r="Z720">
        <f t="shared" si="235"/>
        <v>0</v>
      </c>
      <c r="AA720">
        <f>IF($D720="",0,IF($F720&lt;2,0,IF($E720="Win",('Guide &amp; Settings'!$C$42/(($F720-1)*COUNTIFS($A$4:$A$1510,$A720,$E$4:$E$1510,"Win")))*SUMIFS($Z$4:$Z$1510,$A$4:$A$1510,$A720,$E$4:$E$1510,"Loss"),-('Guide &amp; Settings'!$C$42/($F720-1))*$Z720)))</f>
        <v>0</v>
      </c>
      <c r="AB720" s="126">
        <f t="shared" si="236"/>
        <v>0</v>
      </c>
      <c r="AC720" s="126" t="str">
        <f>IF($D720="","",IF($AD720=0,0,IF(COUNTIFS($D$4:$D720,$D720,$B$4:$B720,$B720)&gt;1,0,IF($B720&lt;'Guide &amp; Settings'!$C$50,0,IF(($B720-$AD720)/7-'Guide &amp; Settings'!$C$48&gt;=0,(INT(($B720-$AD720)/7-'Guide &amp; Settings'!$C$48)+1)*'Guide &amp; Settings'!$C$49,0)))))</f>
        <v/>
      </c>
      <c r="AD720" s="142">
        <f t="shared" si="237"/>
        <v>0</v>
      </c>
      <c r="AE720">
        <f t="shared" si="238"/>
        <v>0</v>
      </c>
      <c r="AF720">
        <f t="shared" si="239"/>
        <v>0</v>
      </c>
    </row>
    <row r="721" spans="1:32" x14ac:dyDescent="0.2">
      <c r="A721" s="117"/>
      <c r="B721" s="118"/>
      <c r="C721" s="119"/>
      <c r="D721" s="119"/>
      <c r="E721" s="117"/>
      <c r="F721" s="120">
        <f t="shared" si="220"/>
        <v>0</v>
      </c>
      <c r="G721" s="121" t="str">
        <f t="shared" si="221"/>
        <v/>
      </c>
      <c r="H721" s="122">
        <f>IF($D721="",0,IFERROR(LOOKUP(2,1/(($D$3:D720=$D721)*($A$3:A720&lt;$A721)),$N$3:N720),'Guide &amp; Settings'!$C$41))</f>
        <v>0</v>
      </c>
      <c r="I721" s="123">
        <f t="shared" si="222"/>
        <v>0</v>
      </c>
      <c r="J721" s="124">
        <f>IF($D721="",0,IF($F721&lt;2,0,IF($E721="Win",('Guide &amp; Settings'!$C$42/(($F721-1)*COUNTIFS($A$4:$A$1510,$A721,$E$4:$E$1510,"Win")))*SUMIFS($X$4:$X$1510,$A$4:$A$1510,$A721,$E$4:$E$1510,"Loss"),-('Guide &amp; Settings'!$C$42/($F721-1))*$X721)))</f>
        <v>0</v>
      </c>
      <c r="K721" s="124">
        <f>IF($D721="",0,'Guide &amp; Settings'!$C$43*(IF($E721="Win",1,0)-$I721))</f>
        <v>0</v>
      </c>
      <c r="L721" s="125">
        <f>IF($D721="",0,'Guide &amp; Settings'!$C$44*IF($F721&gt;=3,$F721,0))</f>
        <v>0</v>
      </c>
      <c r="M721" s="124">
        <f t="shared" si="223"/>
        <v>0</v>
      </c>
      <c r="N721" s="122">
        <f t="shared" si="224"/>
        <v>0</v>
      </c>
      <c r="O721" s="121" t="str">
        <f t="shared" si="225"/>
        <v/>
      </c>
      <c r="P721">
        <f t="shared" si="226"/>
        <v>0</v>
      </c>
      <c r="Q721">
        <f t="shared" si="227"/>
        <v>0</v>
      </c>
      <c r="R721">
        <f t="shared" si="228"/>
        <v>0</v>
      </c>
      <c r="S721">
        <f t="shared" si="229"/>
        <v>0</v>
      </c>
      <c r="T721" s="89">
        <f t="shared" si="230"/>
        <v>0</v>
      </c>
      <c r="U721" s="126">
        <f>IF($D721="",0,IFERROR(LOOKUP(2,1/(($D$3:D720=$D721)*($C$3:C720=$C721)*($A$3:A720&lt;$A721)),$AB$3:AB720),1000))</f>
        <v>0</v>
      </c>
      <c r="V721" s="126">
        <f t="shared" si="231"/>
        <v>0</v>
      </c>
      <c r="W721">
        <f t="shared" si="232"/>
        <v>0</v>
      </c>
      <c r="X721">
        <f t="shared" si="233"/>
        <v>0</v>
      </c>
      <c r="Y721">
        <f t="shared" si="234"/>
        <v>0</v>
      </c>
      <c r="Z721">
        <f t="shared" si="235"/>
        <v>0</v>
      </c>
      <c r="AA721">
        <f>IF($D721="",0,IF($F721&lt;2,0,IF($E721="Win",('Guide &amp; Settings'!$C$42/(($F721-1)*COUNTIFS($A$4:$A$1510,$A721,$E$4:$E$1510,"Win")))*SUMIFS($Z$4:$Z$1510,$A$4:$A$1510,$A721,$E$4:$E$1510,"Loss"),-('Guide &amp; Settings'!$C$42/($F721-1))*$Z721)))</f>
        <v>0</v>
      </c>
      <c r="AB721" s="126">
        <f t="shared" si="236"/>
        <v>0</v>
      </c>
      <c r="AC721" s="126" t="str">
        <f>IF($D721="","",IF($AD721=0,0,IF(COUNTIFS($D$4:$D721,$D721,$B$4:$B721,$B721)&gt;1,0,IF($B721&lt;'Guide &amp; Settings'!$C$50,0,IF(($B721-$AD721)/7-'Guide &amp; Settings'!$C$48&gt;=0,(INT(($B721-$AD721)/7-'Guide &amp; Settings'!$C$48)+1)*'Guide &amp; Settings'!$C$49,0)))))</f>
        <v/>
      </c>
      <c r="AD721" s="142">
        <f t="shared" si="237"/>
        <v>0</v>
      </c>
      <c r="AE721">
        <f t="shared" si="238"/>
        <v>0</v>
      </c>
      <c r="AF721">
        <f t="shared" si="239"/>
        <v>0</v>
      </c>
    </row>
    <row r="722" spans="1:32" x14ac:dyDescent="0.2">
      <c r="A722" s="117"/>
      <c r="B722" s="118"/>
      <c r="C722" s="119"/>
      <c r="D722" s="119"/>
      <c r="E722" s="117"/>
      <c r="F722" s="120">
        <f t="shared" si="220"/>
        <v>0</v>
      </c>
      <c r="G722" s="121" t="str">
        <f t="shared" si="221"/>
        <v/>
      </c>
      <c r="H722" s="122">
        <f>IF($D722="",0,IFERROR(LOOKUP(2,1/(($D$3:D721=$D722)*($A$3:A721&lt;$A722)),$N$3:N721),'Guide &amp; Settings'!$C$41))</f>
        <v>0</v>
      </c>
      <c r="I722" s="123">
        <f t="shared" si="222"/>
        <v>0</v>
      </c>
      <c r="J722" s="124">
        <f>IF($D722="",0,IF($F722&lt;2,0,IF($E722="Win",('Guide &amp; Settings'!$C$42/(($F722-1)*COUNTIFS($A$4:$A$1510,$A722,$E$4:$E$1510,"Win")))*SUMIFS($X$4:$X$1510,$A$4:$A$1510,$A722,$E$4:$E$1510,"Loss"),-('Guide &amp; Settings'!$C$42/($F722-1))*$X722)))</f>
        <v>0</v>
      </c>
      <c r="K722" s="124">
        <f>IF($D722="",0,'Guide &amp; Settings'!$C$43*(IF($E722="Win",1,0)-$I722))</f>
        <v>0</v>
      </c>
      <c r="L722" s="125">
        <f>IF($D722="",0,'Guide &amp; Settings'!$C$44*IF($F722&gt;=3,$F722,0))</f>
        <v>0</v>
      </c>
      <c r="M722" s="124">
        <f t="shared" si="223"/>
        <v>0</v>
      </c>
      <c r="N722" s="122">
        <f t="shared" si="224"/>
        <v>0</v>
      </c>
      <c r="O722" s="121" t="str">
        <f t="shared" si="225"/>
        <v/>
      </c>
      <c r="P722">
        <f t="shared" si="226"/>
        <v>0</v>
      </c>
      <c r="Q722">
        <f t="shared" si="227"/>
        <v>0</v>
      </c>
      <c r="R722">
        <f t="shared" si="228"/>
        <v>0</v>
      </c>
      <c r="S722">
        <f t="shared" si="229"/>
        <v>0</v>
      </c>
      <c r="T722" s="89">
        <f t="shared" si="230"/>
        <v>0</v>
      </c>
      <c r="U722" s="126">
        <f>IF($D722="",0,IFERROR(LOOKUP(2,1/(($D$3:D721=$D722)*($C$3:C721=$C722)*($A$3:A721&lt;$A722)),$AB$3:AB721),1000))</f>
        <v>0</v>
      </c>
      <c r="V722" s="126">
        <f t="shared" si="231"/>
        <v>0</v>
      </c>
      <c r="W722">
        <f t="shared" si="232"/>
        <v>0</v>
      </c>
      <c r="X722">
        <f t="shared" si="233"/>
        <v>0</v>
      </c>
      <c r="Y722">
        <f t="shared" si="234"/>
        <v>0</v>
      </c>
      <c r="Z722">
        <f t="shared" si="235"/>
        <v>0</v>
      </c>
      <c r="AA722">
        <f>IF($D722="",0,IF($F722&lt;2,0,IF($E722="Win",('Guide &amp; Settings'!$C$42/(($F722-1)*COUNTIFS($A$4:$A$1510,$A722,$E$4:$E$1510,"Win")))*SUMIFS($Z$4:$Z$1510,$A$4:$A$1510,$A722,$E$4:$E$1510,"Loss"),-('Guide &amp; Settings'!$C$42/($F722-1))*$Z722)))</f>
        <v>0</v>
      </c>
      <c r="AB722" s="126">
        <f t="shared" si="236"/>
        <v>0</v>
      </c>
      <c r="AC722" s="126" t="str">
        <f>IF($D722="","",IF($AD722=0,0,IF(COUNTIFS($D$4:$D722,$D722,$B$4:$B722,$B722)&gt;1,0,IF($B722&lt;'Guide &amp; Settings'!$C$50,0,IF(($B722-$AD722)/7-'Guide &amp; Settings'!$C$48&gt;=0,(INT(($B722-$AD722)/7-'Guide &amp; Settings'!$C$48)+1)*'Guide &amp; Settings'!$C$49,0)))))</f>
        <v/>
      </c>
      <c r="AD722" s="142">
        <f t="shared" si="237"/>
        <v>0</v>
      </c>
      <c r="AE722">
        <f t="shared" si="238"/>
        <v>0</v>
      </c>
      <c r="AF722">
        <f t="shared" si="239"/>
        <v>0</v>
      </c>
    </row>
    <row r="723" spans="1:32" x14ac:dyDescent="0.2">
      <c r="A723" s="117"/>
      <c r="B723" s="118"/>
      <c r="C723" s="119"/>
      <c r="D723" s="119"/>
      <c r="E723" s="117"/>
      <c r="F723" s="120">
        <f t="shared" si="220"/>
        <v>0</v>
      </c>
      <c r="G723" s="121" t="str">
        <f t="shared" si="221"/>
        <v/>
      </c>
      <c r="H723" s="122">
        <f>IF($D723="",0,IFERROR(LOOKUP(2,1/(($D$3:D722=$D723)*($A$3:A722&lt;$A723)),$N$3:N722),'Guide &amp; Settings'!$C$41))</f>
        <v>0</v>
      </c>
      <c r="I723" s="123">
        <f t="shared" si="222"/>
        <v>0</v>
      </c>
      <c r="J723" s="124">
        <f>IF($D723="",0,IF($F723&lt;2,0,IF($E723="Win",('Guide &amp; Settings'!$C$42/(($F723-1)*COUNTIFS($A$4:$A$1510,$A723,$E$4:$E$1510,"Win")))*SUMIFS($X$4:$X$1510,$A$4:$A$1510,$A723,$E$4:$E$1510,"Loss"),-('Guide &amp; Settings'!$C$42/($F723-1))*$X723)))</f>
        <v>0</v>
      </c>
      <c r="K723" s="124">
        <f>IF($D723="",0,'Guide &amp; Settings'!$C$43*(IF($E723="Win",1,0)-$I723))</f>
        <v>0</v>
      </c>
      <c r="L723" s="125">
        <f>IF($D723="",0,'Guide &amp; Settings'!$C$44*IF($F723&gt;=3,$F723,0))</f>
        <v>0</v>
      </c>
      <c r="M723" s="124">
        <f t="shared" si="223"/>
        <v>0</v>
      </c>
      <c r="N723" s="122">
        <f t="shared" si="224"/>
        <v>0</v>
      </c>
      <c r="O723" s="121" t="str">
        <f t="shared" si="225"/>
        <v/>
      </c>
      <c r="P723">
        <f t="shared" si="226"/>
        <v>0</v>
      </c>
      <c r="Q723">
        <f t="shared" si="227"/>
        <v>0</v>
      </c>
      <c r="R723">
        <f t="shared" si="228"/>
        <v>0</v>
      </c>
      <c r="S723">
        <f t="shared" si="229"/>
        <v>0</v>
      </c>
      <c r="T723" s="89">
        <f t="shared" si="230"/>
        <v>0</v>
      </c>
      <c r="U723" s="126">
        <f>IF($D723="",0,IFERROR(LOOKUP(2,1/(($D$3:D722=$D723)*($C$3:C722=$C723)*($A$3:A722&lt;$A723)),$AB$3:AB722),1000))</f>
        <v>0</v>
      </c>
      <c r="V723" s="126">
        <f t="shared" si="231"/>
        <v>0</v>
      </c>
      <c r="W723">
        <f t="shared" si="232"/>
        <v>0</v>
      </c>
      <c r="X723">
        <f t="shared" si="233"/>
        <v>0</v>
      </c>
      <c r="Y723">
        <f t="shared" si="234"/>
        <v>0</v>
      </c>
      <c r="Z723">
        <f t="shared" si="235"/>
        <v>0</v>
      </c>
      <c r="AA723">
        <f>IF($D723="",0,IF($F723&lt;2,0,IF($E723="Win",('Guide &amp; Settings'!$C$42/(($F723-1)*COUNTIFS($A$4:$A$1510,$A723,$E$4:$E$1510,"Win")))*SUMIFS($Z$4:$Z$1510,$A$4:$A$1510,$A723,$E$4:$E$1510,"Loss"),-('Guide &amp; Settings'!$C$42/($F723-1))*$Z723)))</f>
        <v>0</v>
      </c>
      <c r="AB723" s="126">
        <f t="shared" si="236"/>
        <v>0</v>
      </c>
      <c r="AC723" s="126" t="str">
        <f>IF($D723="","",IF($AD723=0,0,IF(COUNTIFS($D$4:$D723,$D723,$B$4:$B723,$B723)&gt;1,0,IF($B723&lt;'Guide &amp; Settings'!$C$50,0,IF(($B723-$AD723)/7-'Guide &amp; Settings'!$C$48&gt;=0,(INT(($B723-$AD723)/7-'Guide &amp; Settings'!$C$48)+1)*'Guide &amp; Settings'!$C$49,0)))))</f>
        <v/>
      </c>
      <c r="AD723" s="142">
        <f t="shared" si="237"/>
        <v>0</v>
      </c>
      <c r="AE723">
        <f t="shared" si="238"/>
        <v>0</v>
      </c>
      <c r="AF723">
        <f t="shared" si="239"/>
        <v>0</v>
      </c>
    </row>
    <row r="724" spans="1:32" x14ac:dyDescent="0.2">
      <c r="A724" s="117"/>
      <c r="B724" s="118"/>
      <c r="C724" s="119"/>
      <c r="D724" s="119"/>
      <c r="E724" s="117"/>
      <c r="F724" s="120">
        <f t="shared" si="220"/>
        <v>0</v>
      </c>
      <c r="G724" s="121" t="str">
        <f t="shared" si="221"/>
        <v/>
      </c>
      <c r="H724" s="122">
        <f>IF($D724="",0,IFERROR(LOOKUP(2,1/(($D$3:D723=$D724)*($A$3:A723&lt;$A724)),$N$3:N723),'Guide &amp; Settings'!$C$41))</f>
        <v>0</v>
      </c>
      <c r="I724" s="123">
        <f t="shared" si="222"/>
        <v>0</v>
      </c>
      <c r="J724" s="124">
        <f>IF($D724="",0,IF($F724&lt;2,0,IF($E724="Win",('Guide &amp; Settings'!$C$42/(($F724-1)*COUNTIFS($A$4:$A$1510,$A724,$E$4:$E$1510,"Win")))*SUMIFS($X$4:$X$1510,$A$4:$A$1510,$A724,$E$4:$E$1510,"Loss"),-('Guide &amp; Settings'!$C$42/($F724-1))*$X724)))</f>
        <v>0</v>
      </c>
      <c r="K724" s="124">
        <f>IF($D724="",0,'Guide &amp; Settings'!$C$43*(IF($E724="Win",1,0)-$I724))</f>
        <v>0</v>
      </c>
      <c r="L724" s="125">
        <f>IF($D724="",0,'Guide &amp; Settings'!$C$44*IF($F724&gt;=3,$F724,0))</f>
        <v>0</v>
      </c>
      <c r="M724" s="124">
        <f t="shared" si="223"/>
        <v>0</v>
      </c>
      <c r="N724" s="122">
        <f t="shared" si="224"/>
        <v>0</v>
      </c>
      <c r="O724" s="121" t="str">
        <f t="shared" si="225"/>
        <v/>
      </c>
      <c r="P724">
        <f t="shared" si="226"/>
        <v>0</v>
      </c>
      <c r="Q724">
        <f t="shared" si="227"/>
        <v>0</v>
      </c>
      <c r="R724">
        <f t="shared" si="228"/>
        <v>0</v>
      </c>
      <c r="S724">
        <f t="shared" si="229"/>
        <v>0</v>
      </c>
      <c r="T724" s="89">
        <f t="shared" si="230"/>
        <v>0</v>
      </c>
      <c r="U724" s="126">
        <f>IF($D724="",0,IFERROR(LOOKUP(2,1/(($D$3:D723=$D724)*($C$3:C723=$C724)*($A$3:A723&lt;$A724)),$AB$3:AB723),1000))</f>
        <v>0</v>
      </c>
      <c r="V724" s="126">
        <f t="shared" si="231"/>
        <v>0</v>
      </c>
      <c r="W724">
        <f t="shared" si="232"/>
        <v>0</v>
      </c>
      <c r="X724">
        <f t="shared" si="233"/>
        <v>0</v>
      </c>
      <c r="Y724">
        <f t="shared" si="234"/>
        <v>0</v>
      </c>
      <c r="Z724">
        <f t="shared" si="235"/>
        <v>0</v>
      </c>
      <c r="AA724">
        <f>IF($D724="",0,IF($F724&lt;2,0,IF($E724="Win",('Guide &amp; Settings'!$C$42/(($F724-1)*COUNTIFS($A$4:$A$1510,$A724,$E$4:$E$1510,"Win")))*SUMIFS($Z$4:$Z$1510,$A$4:$A$1510,$A724,$E$4:$E$1510,"Loss"),-('Guide &amp; Settings'!$C$42/($F724-1))*$Z724)))</f>
        <v>0</v>
      </c>
      <c r="AB724" s="126">
        <f t="shared" si="236"/>
        <v>0</v>
      </c>
      <c r="AC724" s="126" t="str">
        <f>IF($D724="","",IF($AD724=0,0,IF(COUNTIFS($D$4:$D724,$D724,$B$4:$B724,$B724)&gt;1,0,IF($B724&lt;'Guide &amp; Settings'!$C$50,0,IF(($B724-$AD724)/7-'Guide &amp; Settings'!$C$48&gt;=0,(INT(($B724-$AD724)/7-'Guide &amp; Settings'!$C$48)+1)*'Guide &amp; Settings'!$C$49,0)))))</f>
        <v/>
      </c>
      <c r="AD724" s="142">
        <f t="shared" si="237"/>
        <v>0</v>
      </c>
      <c r="AE724">
        <f t="shared" si="238"/>
        <v>0</v>
      </c>
      <c r="AF724">
        <f t="shared" si="239"/>
        <v>0</v>
      </c>
    </row>
    <row r="725" spans="1:32" x14ac:dyDescent="0.2">
      <c r="A725" s="117"/>
      <c r="B725" s="118"/>
      <c r="C725" s="119"/>
      <c r="D725" s="119"/>
      <c r="E725" s="117"/>
      <c r="F725" s="120">
        <f t="shared" si="220"/>
        <v>0</v>
      </c>
      <c r="G725" s="121" t="str">
        <f t="shared" si="221"/>
        <v/>
      </c>
      <c r="H725" s="122">
        <f>IF($D725="",0,IFERROR(LOOKUP(2,1/(($D$3:D724=$D725)*($A$3:A724&lt;$A725)),$N$3:N724),'Guide &amp; Settings'!$C$41))</f>
        <v>0</v>
      </c>
      <c r="I725" s="123">
        <f t="shared" si="222"/>
        <v>0</v>
      </c>
      <c r="J725" s="124">
        <f>IF($D725="",0,IF($F725&lt;2,0,IF($E725="Win",('Guide &amp; Settings'!$C$42/(($F725-1)*COUNTIFS($A$4:$A$1510,$A725,$E$4:$E$1510,"Win")))*SUMIFS($X$4:$X$1510,$A$4:$A$1510,$A725,$E$4:$E$1510,"Loss"),-('Guide &amp; Settings'!$C$42/($F725-1))*$X725)))</f>
        <v>0</v>
      </c>
      <c r="K725" s="124">
        <f>IF($D725="",0,'Guide &amp; Settings'!$C$43*(IF($E725="Win",1,0)-$I725))</f>
        <v>0</v>
      </c>
      <c r="L725" s="125">
        <f>IF($D725="",0,'Guide &amp; Settings'!$C$44*IF($F725&gt;=3,$F725,0))</f>
        <v>0</v>
      </c>
      <c r="M725" s="124">
        <f t="shared" si="223"/>
        <v>0</v>
      </c>
      <c r="N725" s="122">
        <f t="shared" si="224"/>
        <v>0</v>
      </c>
      <c r="O725" s="121" t="str">
        <f t="shared" si="225"/>
        <v/>
      </c>
      <c r="P725">
        <f t="shared" si="226"/>
        <v>0</v>
      </c>
      <c r="Q725">
        <f t="shared" si="227"/>
        <v>0</v>
      </c>
      <c r="R725">
        <f t="shared" si="228"/>
        <v>0</v>
      </c>
      <c r="S725">
        <f t="shared" si="229"/>
        <v>0</v>
      </c>
      <c r="T725" s="89">
        <f t="shared" si="230"/>
        <v>0</v>
      </c>
      <c r="U725" s="126">
        <f>IF($D725="",0,IFERROR(LOOKUP(2,1/(($D$3:D724=$D725)*($C$3:C724=$C725)*($A$3:A724&lt;$A725)),$AB$3:AB724),1000))</f>
        <v>0</v>
      </c>
      <c r="V725" s="126">
        <f t="shared" si="231"/>
        <v>0</v>
      </c>
      <c r="W725">
        <f t="shared" si="232"/>
        <v>0</v>
      </c>
      <c r="X725">
        <f t="shared" si="233"/>
        <v>0</v>
      </c>
      <c r="Y725">
        <f t="shared" si="234"/>
        <v>0</v>
      </c>
      <c r="Z725">
        <f t="shared" si="235"/>
        <v>0</v>
      </c>
      <c r="AA725">
        <f>IF($D725="",0,IF($F725&lt;2,0,IF($E725="Win",('Guide &amp; Settings'!$C$42/(($F725-1)*COUNTIFS($A$4:$A$1510,$A725,$E$4:$E$1510,"Win")))*SUMIFS($Z$4:$Z$1510,$A$4:$A$1510,$A725,$E$4:$E$1510,"Loss"),-('Guide &amp; Settings'!$C$42/($F725-1))*$Z725)))</f>
        <v>0</v>
      </c>
      <c r="AB725" s="126">
        <f t="shared" si="236"/>
        <v>0</v>
      </c>
      <c r="AC725" s="126" t="str">
        <f>IF($D725="","",IF($AD725=0,0,IF(COUNTIFS($D$4:$D725,$D725,$B$4:$B725,$B725)&gt;1,0,IF($B725&lt;'Guide &amp; Settings'!$C$50,0,IF(($B725-$AD725)/7-'Guide &amp; Settings'!$C$48&gt;=0,(INT(($B725-$AD725)/7-'Guide &amp; Settings'!$C$48)+1)*'Guide &amp; Settings'!$C$49,0)))))</f>
        <v/>
      </c>
      <c r="AD725" s="142">
        <f t="shared" si="237"/>
        <v>0</v>
      </c>
      <c r="AE725">
        <f t="shared" si="238"/>
        <v>0</v>
      </c>
      <c r="AF725">
        <f t="shared" si="239"/>
        <v>0</v>
      </c>
    </row>
    <row r="726" spans="1:32" x14ac:dyDescent="0.2">
      <c r="A726" s="117"/>
      <c r="B726" s="118"/>
      <c r="C726" s="119"/>
      <c r="D726" s="119"/>
      <c r="E726" s="117"/>
      <c r="F726" s="120">
        <f t="shared" si="220"/>
        <v>0</v>
      </c>
      <c r="G726" s="121" t="str">
        <f t="shared" si="221"/>
        <v/>
      </c>
      <c r="H726" s="122">
        <f>IF($D726="",0,IFERROR(LOOKUP(2,1/(($D$3:D725=$D726)*($A$3:A725&lt;$A726)),$N$3:N725),'Guide &amp; Settings'!$C$41))</f>
        <v>0</v>
      </c>
      <c r="I726" s="123">
        <f t="shared" si="222"/>
        <v>0</v>
      </c>
      <c r="J726" s="124">
        <f>IF($D726="",0,IF($F726&lt;2,0,IF($E726="Win",('Guide &amp; Settings'!$C$42/(($F726-1)*COUNTIFS($A$4:$A$1510,$A726,$E$4:$E$1510,"Win")))*SUMIFS($X$4:$X$1510,$A$4:$A$1510,$A726,$E$4:$E$1510,"Loss"),-('Guide &amp; Settings'!$C$42/($F726-1))*$X726)))</f>
        <v>0</v>
      </c>
      <c r="K726" s="124">
        <f>IF($D726="",0,'Guide &amp; Settings'!$C$43*(IF($E726="Win",1,0)-$I726))</f>
        <v>0</v>
      </c>
      <c r="L726" s="125">
        <f>IF($D726="",0,'Guide &amp; Settings'!$C$44*IF($F726&gt;=3,$F726,0))</f>
        <v>0</v>
      </c>
      <c r="M726" s="124">
        <f t="shared" si="223"/>
        <v>0</v>
      </c>
      <c r="N726" s="122">
        <f t="shared" si="224"/>
        <v>0</v>
      </c>
      <c r="O726" s="121" t="str">
        <f t="shared" si="225"/>
        <v/>
      </c>
      <c r="P726">
        <f t="shared" si="226"/>
        <v>0</v>
      </c>
      <c r="Q726">
        <f t="shared" si="227"/>
        <v>0</v>
      </c>
      <c r="R726">
        <f t="shared" si="228"/>
        <v>0</v>
      </c>
      <c r="S726">
        <f t="shared" si="229"/>
        <v>0</v>
      </c>
      <c r="T726" s="89">
        <f t="shared" si="230"/>
        <v>0</v>
      </c>
      <c r="U726" s="126">
        <f>IF($D726="",0,IFERROR(LOOKUP(2,1/(($D$3:D725=$D726)*($C$3:C725=$C726)*($A$3:A725&lt;$A726)),$AB$3:AB725),1000))</f>
        <v>0</v>
      </c>
      <c r="V726" s="126">
        <f t="shared" si="231"/>
        <v>0</v>
      </c>
      <c r="W726">
        <f t="shared" si="232"/>
        <v>0</v>
      </c>
      <c r="X726">
        <f t="shared" si="233"/>
        <v>0</v>
      </c>
      <c r="Y726">
        <f t="shared" si="234"/>
        <v>0</v>
      </c>
      <c r="Z726">
        <f t="shared" si="235"/>
        <v>0</v>
      </c>
      <c r="AA726">
        <f>IF($D726="",0,IF($F726&lt;2,0,IF($E726="Win",('Guide &amp; Settings'!$C$42/(($F726-1)*COUNTIFS($A$4:$A$1510,$A726,$E$4:$E$1510,"Win")))*SUMIFS($Z$4:$Z$1510,$A$4:$A$1510,$A726,$E$4:$E$1510,"Loss"),-('Guide &amp; Settings'!$C$42/($F726-1))*$Z726)))</f>
        <v>0</v>
      </c>
      <c r="AB726" s="126">
        <f t="shared" si="236"/>
        <v>0</v>
      </c>
      <c r="AC726" s="126" t="str">
        <f>IF($D726="","",IF($AD726=0,0,IF(COUNTIFS($D$4:$D726,$D726,$B$4:$B726,$B726)&gt;1,0,IF($B726&lt;'Guide &amp; Settings'!$C$50,0,IF(($B726-$AD726)/7-'Guide &amp; Settings'!$C$48&gt;=0,(INT(($B726-$AD726)/7-'Guide &amp; Settings'!$C$48)+1)*'Guide &amp; Settings'!$C$49,0)))))</f>
        <v/>
      </c>
      <c r="AD726" s="142">
        <f t="shared" si="237"/>
        <v>0</v>
      </c>
      <c r="AE726">
        <f t="shared" si="238"/>
        <v>0</v>
      </c>
      <c r="AF726">
        <f t="shared" si="239"/>
        <v>0</v>
      </c>
    </row>
    <row r="727" spans="1:32" x14ac:dyDescent="0.2">
      <c r="A727" s="117"/>
      <c r="B727" s="118"/>
      <c r="C727" s="119"/>
      <c r="D727" s="119"/>
      <c r="E727" s="117"/>
      <c r="F727" s="120">
        <f t="shared" si="220"/>
        <v>0</v>
      </c>
      <c r="G727" s="121" t="str">
        <f t="shared" si="221"/>
        <v/>
      </c>
      <c r="H727" s="122">
        <f>IF($D727="",0,IFERROR(LOOKUP(2,1/(($D$3:D726=$D727)*($A$3:A726&lt;$A727)),$N$3:N726),'Guide &amp; Settings'!$C$41))</f>
        <v>0</v>
      </c>
      <c r="I727" s="123">
        <f t="shared" si="222"/>
        <v>0</v>
      </c>
      <c r="J727" s="124">
        <f>IF($D727="",0,IF($F727&lt;2,0,IF($E727="Win",('Guide &amp; Settings'!$C$42/(($F727-1)*COUNTIFS($A$4:$A$1510,$A727,$E$4:$E$1510,"Win")))*SUMIFS($X$4:$X$1510,$A$4:$A$1510,$A727,$E$4:$E$1510,"Loss"),-('Guide &amp; Settings'!$C$42/($F727-1))*$X727)))</f>
        <v>0</v>
      </c>
      <c r="K727" s="124">
        <f>IF($D727="",0,'Guide &amp; Settings'!$C$43*(IF($E727="Win",1,0)-$I727))</f>
        <v>0</v>
      </c>
      <c r="L727" s="125">
        <f>IF($D727="",0,'Guide &amp; Settings'!$C$44*IF($F727&gt;=3,$F727,0))</f>
        <v>0</v>
      </c>
      <c r="M727" s="124">
        <f t="shared" si="223"/>
        <v>0</v>
      </c>
      <c r="N727" s="122">
        <f t="shared" si="224"/>
        <v>0</v>
      </c>
      <c r="O727" s="121" t="str">
        <f t="shared" si="225"/>
        <v/>
      </c>
      <c r="P727">
        <f t="shared" si="226"/>
        <v>0</v>
      </c>
      <c r="Q727">
        <f t="shared" si="227"/>
        <v>0</v>
      </c>
      <c r="R727">
        <f t="shared" si="228"/>
        <v>0</v>
      </c>
      <c r="S727">
        <f t="shared" si="229"/>
        <v>0</v>
      </c>
      <c r="T727" s="89">
        <f t="shared" si="230"/>
        <v>0</v>
      </c>
      <c r="U727" s="126">
        <f>IF($D727="",0,IFERROR(LOOKUP(2,1/(($D$3:D726=$D727)*($C$3:C726=$C727)*($A$3:A726&lt;$A727)),$AB$3:AB726),1000))</f>
        <v>0</v>
      </c>
      <c r="V727" s="126">
        <f t="shared" si="231"/>
        <v>0</v>
      </c>
      <c r="W727">
        <f t="shared" si="232"/>
        <v>0</v>
      </c>
      <c r="X727">
        <f t="shared" si="233"/>
        <v>0</v>
      </c>
      <c r="Y727">
        <f t="shared" si="234"/>
        <v>0</v>
      </c>
      <c r="Z727">
        <f t="shared" si="235"/>
        <v>0</v>
      </c>
      <c r="AA727">
        <f>IF($D727="",0,IF($F727&lt;2,0,IF($E727="Win",('Guide &amp; Settings'!$C$42/(($F727-1)*COUNTIFS($A$4:$A$1510,$A727,$E$4:$E$1510,"Win")))*SUMIFS($Z$4:$Z$1510,$A$4:$A$1510,$A727,$E$4:$E$1510,"Loss"),-('Guide &amp; Settings'!$C$42/($F727-1))*$Z727)))</f>
        <v>0</v>
      </c>
      <c r="AB727" s="126">
        <f t="shared" si="236"/>
        <v>0</v>
      </c>
      <c r="AC727" s="126" t="str">
        <f>IF($D727="","",IF($AD727=0,0,IF(COUNTIFS($D$4:$D727,$D727,$B$4:$B727,$B727)&gt;1,0,IF($B727&lt;'Guide &amp; Settings'!$C$50,0,IF(($B727-$AD727)/7-'Guide &amp; Settings'!$C$48&gt;=0,(INT(($B727-$AD727)/7-'Guide &amp; Settings'!$C$48)+1)*'Guide &amp; Settings'!$C$49,0)))))</f>
        <v/>
      </c>
      <c r="AD727" s="142">
        <f t="shared" si="237"/>
        <v>0</v>
      </c>
      <c r="AE727">
        <f t="shared" si="238"/>
        <v>0</v>
      </c>
      <c r="AF727">
        <f t="shared" si="239"/>
        <v>0</v>
      </c>
    </row>
    <row r="728" spans="1:32" x14ac:dyDescent="0.2">
      <c r="A728" s="117"/>
      <c r="B728" s="118"/>
      <c r="C728" s="119"/>
      <c r="D728" s="119"/>
      <c r="E728" s="117"/>
      <c r="F728" s="120">
        <f t="shared" si="220"/>
        <v>0</v>
      </c>
      <c r="G728" s="121" t="str">
        <f t="shared" si="221"/>
        <v/>
      </c>
      <c r="H728" s="122">
        <f>IF($D728="",0,IFERROR(LOOKUP(2,1/(($D$3:D727=$D728)*($A$3:A727&lt;$A728)),$N$3:N727),'Guide &amp; Settings'!$C$41))</f>
        <v>0</v>
      </c>
      <c r="I728" s="123">
        <f t="shared" si="222"/>
        <v>0</v>
      </c>
      <c r="J728" s="124">
        <f>IF($D728="",0,IF($F728&lt;2,0,IF($E728="Win",('Guide &amp; Settings'!$C$42/(($F728-1)*COUNTIFS($A$4:$A$1510,$A728,$E$4:$E$1510,"Win")))*SUMIFS($X$4:$X$1510,$A$4:$A$1510,$A728,$E$4:$E$1510,"Loss"),-('Guide &amp; Settings'!$C$42/($F728-1))*$X728)))</f>
        <v>0</v>
      </c>
      <c r="K728" s="124">
        <f>IF($D728="",0,'Guide &amp; Settings'!$C$43*(IF($E728="Win",1,0)-$I728))</f>
        <v>0</v>
      </c>
      <c r="L728" s="125">
        <f>IF($D728="",0,'Guide &amp; Settings'!$C$44*IF($F728&gt;=3,$F728,0))</f>
        <v>0</v>
      </c>
      <c r="M728" s="124">
        <f t="shared" si="223"/>
        <v>0</v>
      </c>
      <c r="N728" s="122">
        <f t="shared" si="224"/>
        <v>0</v>
      </c>
      <c r="O728" s="121" t="str">
        <f t="shared" si="225"/>
        <v/>
      </c>
      <c r="P728">
        <f t="shared" si="226"/>
        <v>0</v>
      </c>
      <c r="Q728">
        <f t="shared" si="227"/>
        <v>0</v>
      </c>
      <c r="R728">
        <f t="shared" si="228"/>
        <v>0</v>
      </c>
      <c r="S728">
        <f t="shared" si="229"/>
        <v>0</v>
      </c>
      <c r="T728" s="89">
        <f t="shared" si="230"/>
        <v>0</v>
      </c>
      <c r="U728" s="126">
        <f>IF($D728="",0,IFERROR(LOOKUP(2,1/(($D$3:D727=$D728)*($C$3:C727=$C728)*($A$3:A727&lt;$A728)),$AB$3:AB727),1000))</f>
        <v>0</v>
      </c>
      <c r="V728" s="126">
        <f t="shared" si="231"/>
        <v>0</v>
      </c>
      <c r="W728">
        <f t="shared" si="232"/>
        <v>0</v>
      </c>
      <c r="X728">
        <f t="shared" si="233"/>
        <v>0</v>
      </c>
      <c r="Y728">
        <f t="shared" si="234"/>
        <v>0</v>
      </c>
      <c r="Z728">
        <f t="shared" si="235"/>
        <v>0</v>
      </c>
      <c r="AA728">
        <f>IF($D728="",0,IF($F728&lt;2,0,IF($E728="Win",('Guide &amp; Settings'!$C$42/(($F728-1)*COUNTIFS($A$4:$A$1510,$A728,$E$4:$E$1510,"Win")))*SUMIFS($Z$4:$Z$1510,$A$4:$A$1510,$A728,$E$4:$E$1510,"Loss"),-('Guide &amp; Settings'!$C$42/($F728-1))*$Z728)))</f>
        <v>0</v>
      </c>
      <c r="AB728" s="126">
        <f t="shared" si="236"/>
        <v>0</v>
      </c>
      <c r="AC728" s="126" t="str">
        <f>IF($D728="","",IF($AD728=0,0,IF(COUNTIFS($D$4:$D728,$D728,$B$4:$B728,$B728)&gt;1,0,IF($B728&lt;'Guide &amp; Settings'!$C$50,0,IF(($B728-$AD728)/7-'Guide &amp; Settings'!$C$48&gt;=0,(INT(($B728-$AD728)/7-'Guide &amp; Settings'!$C$48)+1)*'Guide &amp; Settings'!$C$49,0)))))</f>
        <v/>
      </c>
      <c r="AD728" s="142">
        <f t="shared" si="237"/>
        <v>0</v>
      </c>
      <c r="AE728">
        <f t="shared" si="238"/>
        <v>0</v>
      </c>
      <c r="AF728">
        <f t="shared" si="239"/>
        <v>0</v>
      </c>
    </row>
    <row r="729" spans="1:32" x14ac:dyDescent="0.2">
      <c r="A729" s="117"/>
      <c r="B729" s="118"/>
      <c r="C729" s="119"/>
      <c r="D729" s="119"/>
      <c r="E729" s="117"/>
      <c r="F729" s="120">
        <f t="shared" si="220"/>
        <v>0</v>
      </c>
      <c r="G729" s="121" t="str">
        <f t="shared" si="221"/>
        <v/>
      </c>
      <c r="H729" s="122">
        <f>IF($D729="",0,IFERROR(LOOKUP(2,1/(($D$3:D728=$D729)*($A$3:A728&lt;$A729)),$N$3:N728),'Guide &amp; Settings'!$C$41))</f>
        <v>0</v>
      </c>
      <c r="I729" s="123">
        <f t="shared" si="222"/>
        <v>0</v>
      </c>
      <c r="J729" s="124">
        <f>IF($D729="",0,IF($F729&lt;2,0,IF($E729="Win",('Guide &amp; Settings'!$C$42/(($F729-1)*COUNTIFS($A$4:$A$1510,$A729,$E$4:$E$1510,"Win")))*SUMIFS($X$4:$X$1510,$A$4:$A$1510,$A729,$E$4:$E$1510,"Loss"),-('Guide &amp; Settings'!$C$42/($F729-1))*$X729)))</f>
        <v>0</v>
      </c>
      <c r="K729" s="124">
        <f>IF($D729="",0,'Guide &amp; Settings'!$C$43*(IF($E729="Win",1,0)-$I729))</f>
        <v>0</v>
      </c>
      <c r="L729" s="125">
        <f>IF($D729="",0,'Guide &amp; Settings'!$C$44*IF($F729&gt;=3,$F729,0))</f>
        <v>0</v>
      </c>
      <c r="M729" s="124">
        <f t="shared" si="223"/>
        <v>0</v>
      </c>
      <c r="N729" s="122">
        <f t="shared" si="224"/>
        <v>0</v>
      </c>
      <c r="O729" s="121" t="str">
        <f t="shared" si="225"/>
        <v/>
      </c>
      <c r="P729">
        <f t="shared" si="226"/>
        <v>0</v>
      </c>
      <c r="Q729">
        <f t="shared" si="227"/>
        <v>0</v>
      </c>
      <c r="R729">
        <f t="shared" si="228"/>
        <v>0</v>
      </c>
      <c r="S729">
        <f t="shared" si="229"/>
        <v>0</v>
      </c>
      <c r="T729" s="89">
        <f t="shared" si="230"/>
        <v>0</v>
      </c>
      <c r="U729" s="126">
        <f>IF($D729="",0,IFERROR(LOOKUP(2,1/(($D$3:D728=$D729)*($C$3:C728=$C729)*($A$3:A728&lt;$A729)),$AB$3:AB728),1000))</f>
        <v>0</v>
      </c>
      <c r="V729" s="126">
        <f t="shared" si="231"/>
        <v>0</v>
      </c>
      <c r="W729">
        <f t="shared" si="232"/>
        <v>0</v>
      </c>
      <c r="X729">
        <f t="shared" si="233"/>
        <v>0</v>
      </c>
      <c r="Y729">
        <f t="shared" si="234"/>
        <v>0</v>
      </c>
      <c r="Z729">
        <f t="shared" si="235"/>
        <v>0</v>
      </c>
      <c r="AA729">
        <f>IF($D729="",0,IF($F729&lt;2,0,IF($E729="Win",('Guide &amp; Settings'!$C$42/(($F729-1)*COUNTIFS($A$4:$A$1510,$A729,$E$4:$E$1510,"Win")))*SUMIFS($Z$4:$Z$1510,$A$4:$A$1510,$A729,$E$4:$E$1510,"Loss"),-('Guide &amp; Settings'!$C$42/($F729-1))*$Z729)))</f>
        <v>0</v>
      </c>
      <c r="AB729" s="126">
        <f t="shared" si="236"/>
        <v>0</v>
      </c>
      <c r="AC729" s="126" t="str">
        <f>IF($D729="","",IF($AD729=0,0,IF(COUNTIFS($D$4:$D729,$D729,$B$4:$B729,$B729)&gt;1,0,IF($B729&lt;'Guide &amp; Settings'!$C$50,0,IF(($B729-$AD729)/7-'Guide &amp; Settings'!$C$48&gt;=0,(INT(($B729-$AD729)/7-'Guide &amp; Settings'!$C$48)+1)*'Guide &amp; Settings'!$C$49,0)))))</f>
        <v/>
      </c>
      <c r="AD729" s="142">
        <f t="shared" si="237"/>
        <v>0</v>
      </c>
      <c r="AE729">
        <f t="shared" si="238"/>
        <v>0</v>
      </c>
      <c r="AF729">
        <f t="shared" si="239"/>
        <v>0</v>
      </c>
    </row>
    <row r="730" spans="1:32" x14ac:dyDescent="0.2">
      <c r="A730" s="117"/>
      <c r="B730" s="118"/>
      <c r="C730" s="119"/>
      <c r="D730" s="119"/>
      <c r="E730" s="117"/>
      <c r="F730" s="120">
        <f t="shared" si="220"/>
        <v>0</v>
      </c>
      <c r="G730" s="121" t="str">
        <f t="shared" si="221"/>
        <v/>
      </c>
      <c r="H730" s="122">
        <f>IF($D730="",0,IFERROR(LOOKUP(2,1/(($D$3:D729=$D730)*($A$3:A729&lt;$A730)),$N$3:N729),'Guide &amp; Settings'!$C$41))</f>
        <v>0</v>
      </c>
      <c r="I730" s="123">
        <f t="shared" si="222"/>
        <v>0</v>
      </c>
      <c r="J730" s="124">
        <f>IF($D730="",0,IF($F730&lt;2,0,IF($E730="Win",('Guide &amp; Settings'!$C$42/(($F730-1)*COUNTIFS($A$4:$A$1510,$A730,$E$4:$E$1510,"Win")))*SUMIFS($X$4:$X$1510,$A$4:$A$1510,$A730,$E$4:$E$1510,"Loss"),-('Guide &amp; Settings'!$C$42/($F730-1))*$X730)))</f>
        <v>0</v>
      </c>
      <c r="K730" s="124">
        <f>IF($D730="",0,'Guide &amp; Settings'!$C$43*(IF($E730="Win",1,0)-$I730))</f>
        <v>0</v>
      </c>
      <c r="L730" s="125">
        <f>IF($D730="",0,'Guide &amp; Settings'!$C$44*IF($F730&gt;=3,$F730,0))</f>
        <v>0</v>
      </c>
      <c r="M730" s="124">
        <f t="shared" si="223"/>
        <v>0</v>
      </c>
      <c r="N730" s="122">
        <f t="shared" si="224"/>
        <v>0</v>
      </c>
      <c r="O730" s="121" t="str">
        <f t="shared" si="225"/>
        <v/>
      </c>
      <c r="P730">
        <f t="shared" si="226"/>
        <v>0</v>
      </c>
      <c r="Q730">
        <f t="shared" si="227"/>
        <v>0</v>
      </c>
      <c r="R730">
        <f t="shared" si="228"/>
        <v>0</v>
      </c>
      <c r="S730">
        <f t="shared" si="229"/>
        <v>0</v>
      </c>
      <c r="T730" s="89">
        <f t="shared" si="230"/>
        <v>0</v>
      </c>
      <c r="U730" s="126">
        <f>IF($D730="",0,IFERROR(LOOKUP(2,1/(($D$3:D729=$D730)*($C$3:C729=$C730)*($A$3:A729&lt;$A730)),$AB$3:AB729),1000))</f>
        <v>0</v>
      </c>
      <c r="V730" s="126">
        <f t="shared" si="231"/>
        <v>0</v>
      </c>
      <c r="W730">
        <f t="shared" si="232"/>
        <v>0</v>
      </c>
      <c r="X730">
        <f t="shared" si="233"/>
        <v>0</v>
      </c>
      <c r="Y730">
        <f t="shared" si="234"/>
        <v>0</v>
      </c>
      <c r="Z730">
        <f t="shared" si="235"/>
        <v>0</v>
      </c>
      <c r="AA730">
        <f>IF($D730="",0,IF($F730&lt;2,0,IF($E730="Win",('Guide &amp; Settings'!$C$42/(($F730-1)*COUNTIFS($A$4:$A$1510,$A730,$E$4:$E$1510,"Win")))*SUMIFS($Z$4:$Z$1510,$A$4:$A$1510,$A730,$E$4:$E$1510,"Loss"),-('Guide &amp; Settings'!$C$42/($F730-1))*$Z730)))</f>
        <v>0</v>
      </c>
      <c r="AB730" s="126">
        <f t="shared" si="236"/>
        <v>0</v>
      </c>
      <c r="AC730" s="126" t="str">
        <f>IF($D730="","",IF($AD730=0,0,IF(COUNTIFS($D$4:$D730,$D730,$B$4:$B730,$B730)&gt;1,0,IF($B730&lt;'Guide &amp; Settings'!$C$50,0,IF(($B730-$AD730)/7-'Guide &amp; Settings'!$C$48&gt;=0,(INT(($B730-$AD730)/7-'Guide &amp; Settings'!$C$48)+1)*'Guide &amp; Settings'!$C$49,0)))))</f>
        <v/>
      </c>
      <c r="AD730" s="142">
        <f t="shared" si="237"/>
        <v>0</v>
      </c>
      <c r="AE730">
        <f t="shared" si="238"/>
        <v>0</v>
      </c>
      <c r="AF730">
        <f t="shared" si="239"/>
        <v>0</v>
      </c>
    </row>
    <row r="731" spans="1:32" x14ac:dyDescent="0.2">
      <c r="A731" s="117"/>
      <c r="B731" s="118"/>
      <c r="C731" s="119"/>
      <c r="D731" s="119"/>
      <c r="E731" s="117"/>
      <c r="F731" s="120">
        <f t="shared" si="220"/>
        <v>0</v>
      </c>
      <c r="G731" s="121" t="str">
        <f t="shared" si="221"/>
        <v/>
      </c>
      <c r="H731" s="122">
        <f>IF($D731="",0,IFERROR(LOOKUP(2,1/(($D$3:D730=$D731)*($A$3:A730&lt;$A731)),$N$3:N730),'Guide &amp; Settings'!$C$41))</f>
        <v>0</v>
      </c>
      <c r="I731" s="123">
        <f t="shared" si="222"/>
        <v>0</v>
      </c>
      <c r="J731" s="124">
        <f>IF($D731="",0,IF($F731&lt;2,0,IF($E731="Win",('Guide &amp; Settings'!$C$42/(($F731-1)*COUNTIFS($A$4:$A$1510,$A731,$E$4:$E$1510,"Win")))*SUMIFS($X$4:$X$1510,$A$4:$A$1510,$A731,$E$4:$E$1510,"Loss"),-('Guide &amp; Settings'!$C$42/($F731-1))*$X731)))</f>
        <v>0</v>
      </c>
      <c r="K731" s="124">
        <f>IF($D731="",0,'Guide &amp; Settings'!$C$43*(IF($E731="Win",1,0)-$I731))</f>
        <v>0</v>
      </c>
      <c r="L731" s="125">
        <f>IF($D731="",0,'Guide &amp; Settings'!$C$44*IF($F731&gt;=3,$F731,0))</f>
        <v>0</v>
      </c>
      <c r="M731" s="124">
        <f t="shared" si="223"/>
        <v>0</v>
      </c>
      <c r="N731" s="122">
        <f t="shared" si="224"/>
        <v>0</v>
      </c>
      <c r="O731" s="121" t="str">
        <f t="shared" si="225"/>
        <v/>
      </c>
      <c r="P731">
        <f t="shared" si="226"/>
        <v>0</v>
      </c>
      <c r="Q731">
        <f t="shared" si="227"/>
        <v>0</v>
      </c>
      <c r="R731">
        <f t="shared" si="228"/>
        <v>0</v>
      </c>
      <c r="S731">
        <f t="shared" si="229"/>
        <v>0</v>
      </c>
      <c r="T731" s="89">
        <f t="shared" si="230"/>
        <v>0</v>
      </c>
      <c r="U731" s="126">
        <f>IF($D731="",0,IFERROR(LOOKUP(2,1/(($D$3:D730=$D731)*($C$3:C730=$C731)*($A$3:A730&lt;$A731)),$AB$3:AB730),1000))</f>
        <v>0</v>
      </c>
      <c r="V731" s="126">
        <f t="shared" si="231"/>
        <v>0</v>
      </c>
      <c r="W731">
        <f t="shared" si="232"/>
        <v>0</v>
      </c>
      <c r="X731">
        <f t="shared" si="233"/>
        <v>0</v>
      </c>
      <c r="Y731">
        <f t="shared" si="234"/>
        <v>0</v>
      </c>
      <c r="Z731">
        <f t="shared" si="235"/>
        <v>0</v>
      </c>
      <c r="AA731">
        <f>IF($D731="",0,IF($F731&lt;2,0,IF($E731="Win",('Guide &amp; Settings'!$C$42/(($F731-1)*COUNTIFS($A$4:$A$1510,$A731,$E$4:$E$1510,"Win")))*SUMIFS($Z$4:$Z$1510,$A$4:$A$1510,$A731,$E$4:$E$1510,"Loss"),-('Guide &amp; Settings'!$C$42/($F731-1))*$Z731)))</f>
        <v>0</v>
      </c>
      <c r="AB731" s="126">
        <f t="shared" si="236"/>
        <v>0</v>
      </c>
      <c r="AC731" s="126" t="str">
        <f>IF($D731="","",IF($AD731=0,0,IF(COUNTIFS($D$4:$D731,$D731,$B$4:$B731,$B731)&gt;1,0,IF($B731&lt;'Guide &amp; Settings'!$C$50,0,IF(($B731-$AD731)/7-'Guide &amp; Settings'!$C$48&gt;=0,(INT(($B731-$AD731)/7-'Guide &amp; Settings'!$C$48)+1)*'Guide &amp; Settings'!$C$49,0)))))</f>
        <v/>
      </c>
      <c r="AD731" s="142">
        <f t="shared" si="237"/>
        <v>0</v>
      </c>
      <c r="AE731">
        <f t="shared" si="238"/>
        <v>0</v>
      </c>
      <c r="AF731">
        <f t="shared" si="239"/>
        <v>0</v>
      </c>
    </row>
    <row r="732" spans="1:32" x14ac:dyDescent="0.2">
      <c r="A732" s="117"/>
      <c r="B732" s="118"/>
      <c r="C732" s="119"/>
      <c r="D732" s="119"/>
      <c r="E732" s="117"/>
      <c r="F732" s="120">
        <f t="shared" si="220"/>
        <v>0</v>
      </c>
      <c r="G732" s="121" t="str">
        <f t="shared" si="221"/>
        <v/>
      </c>
      <c r="H732" s="122">
        <f>IF($D732="",0,IFERROR(LOOKUP(2,1/(($D$3:D731=$D732)*($A$3:A731&lt;$A732)),$N$3:N731),'Guide &amp; Settings'!$C$41))</f>
        <v>0</v>
      </c>
      <c r="I732" s="123">
        <f t="shared" si="222"/>
        <v>0</v>
      </c>
      <c r="J732" s="124">
        <f>IF($D732="",0,IF($F732&lt;2,0,IF($E732="Win",('Guide &amp; Settings'!$C$42/(($F732-1)*COUNTIFS($A$4:$A$1510,$A732,$E$4:$E$1510,"Win")))*SUMIFS($X$4:$X$1510,$A$4:$A$1510,$A732,$E$4:$E$1510,"Loss"),-('Guide &amp; Settings'!$C$42/($F732-1))*$X732)))</f>
        <v>0</v>
      </c>
      <c r="K732" s="124">
        <f>IF($D732="",0,'Guide &amp; Settings'!$C$43*(IF($E732="Win",1,0)-$I732))</f>
        <v>0</v>
      </c>
      <c r="L732" s="125">
        <f>IF($D732="",0,'Guide &amp; Settings'!$C$44*IF($F732&gt;=3,$F732,0))</f>
        <v>0</v>
      </c>
      <c r="M732" s="124">
        <f t="shared" si="223"/>
        <v>0</v>
      </c>
      <c r="N732" s="122">
        <f t="shared" si="224"/>
        <v>0</v>
      </c>
      <c r="O732" s="121" t="str">
        <f t="shared" si="225"/>
        <v/>
      </c>
      <c r="P732">
        <f t="shared" si="226"/>
        <v>0</v>
      </c>
      <c r="Q732">
        <f t="shared" si="227"/>
        <v>0</v>
      </c>
      <c r="R732">
        <f t="shared" si="228"/>
        <v>0</v>
      </c>
      <c r="S732">
        <f t="shared" si="229"/>
        <v>0</v>
      </c>
      <c r="T732" s="89">
        <f t="shared" si="230"/>
        <v>0</v>
      </c>
      <c r="U732" s="126">
        <f>IF($D732="",0,IFERROR(LOOKUP(2,1/(($D$3:D731=$D732)*($C$3:C731=$C732)*($A$3:A731&lt;$A732)),$AB$3:AB731),1000))</f>
        <v>0</v>
      </c>
      <c r="V732" s="126">
        <f t="shared" si="231"/>
        <v>0</v>
      </c>
      <c r="W732">
        <f t="shared" si="232"/>
        <v>0</v>
      </c>
      <c r="X732">
        <f t="shared" si="233"/>
        <v>0</v>
      </c>
      <c r="Y732">
        <f t="shared" si="234"/>
        <v>0</v>
      </c>
      <c r="Z732">
        <f t="shared" si="235"/>
        <v>0</v>
      </c>
      <c r="AA732">
        <f>IF($D732="",0,IF($F732&lt;2,0,IF($E732="Win",('Guide &amp; Settings'!$C$42/(($F732-1)*COUNTIFS($A$4:$A$1510,$A732,$E$4:$E$1510,"Win")))*SUMIFS($Z$4:$Z$1510,$A$4:$A$1510,$A732,$E$4:$E$1510,"Loss"),-('Guide &amp; Settings'!$C$42/($F732-1))*$Z732)))</f>
        <v>0</v>
      </c>
      <c r="AB732" s="126">
        <f t="shared" si="236"/>
        <v>0</v>
      </c>
      <c r="AC732" s="126" t="str">
        <f>IF($D732="","",IF($AD732=0,0,IF(COUNTIFS($D$4:$D732,$D732,$B$4:$B732,$B732)&gt;1,0,IF($B732&lt;'Guide &amp; Settings'!$C$50,0,IF(($B732-$AD732)/7-'Guide &amp; Settings'!$C$48&gt;=0,(INT(($B732-$AD732)/7-'Guide &amp; Settings'!$C$48)+1)*'Guide &amp; Settings'!$C$49,0)))))</f>
        <v/>
      </c>
      <c r="AD732" s="142">
        <f t="shared" si="237"/>
        <v>0</v>
      </c>
      <c r="AE732">
        <f t="shared" si="238"/>
        <v>0</v>
      </c>
      <c r="AF732">
        <f t="shared" si="239"/>
        <v>0</v>
      </c>
    </row>
    <row r="733" spans="1:32" x14ac:dyDescent="0.2">
      <c r="A733" s="117"/>
      <c r="B733" s="118"/>
      <c r="C733" s="119"/>
      <c r="D733" s="119"/>
      <c r="E733" s="117"/>
      <c r="F733" s="120">
        <f t="shared" si="220"/>
        <v>0</v>
      </c>
      <c r="G733" s="121" t="str">
        <f t="shared" si="221"/>
        <v/>
      </c>
      <c r="H733" s="122">
        <f>IF($D733="",0,IFERROR(LOOKUP(2,1/(($D$3:D732=$D733)*($A$3:A732&lt;$A733)),$N$3:N732),'Guide &amp; Settings'!$C$41))</f>
        <v>0</v>
      </c>
      <c r="I733" s="123">
        <f t="shared" si="222"/>
        <v>0</v>
      </c>
      <c r="J733" s="124">
        <f>IF($D733="",0,IF($F733&lt;2,0,IF($E733="Win",('Guide &amp; Settings'!$C$42/(($F733-1)*COUNTIFS($A$4:$A$1510,$A733,$E$4:$E$1510,"Win")))*SUMIFS($X$4:$X$1510,$A$4:$A$1510,$A733,$E$4:$E$1510,"Loss"),-('Guide &amp; Settings'!$C$42/($F733-1))*$X733)))</f>
        <v>0</v>
      </c>
      <c r="K733" s="124">
        <f>IF($D733="",0,'Guide &amp; Settings'!$C$43*(IF($E733="Win",1,0)-$I733))</f>
        <v>0</v>
      </c>
      <c r="L733" s="125">
        <f>IF($D733="",0,'Guide &amp; Settings'!$C$44*IF($F733&gt;=3,$F733,0))</f>
        <v>0</v>
      </c>
      <c r="M733" s="124">
        <f t="shared" si="223"/>
        <v>0</v>
      </c>
      <c r="N733" s="122">
        <f t="shared" si="224"/>
        <v>0</v>
      </c>
      <c r="O733" s="121" t="str">
        <f t="shared" si="225"/>
        <v/>
      </c>
      <c r="P733">
        <f t="shared" si="226"/>
        <v>0</v>
      </c>
      <c r="Q733">
        <f t="shared" si="227"/>
        <v>0</v>
      </c>
      <c r="R733">
        <f t="shared" si="228"/>
        <v>0</v>
      </c>
      <c r="S733">
        <f t="shared" si="229"/>
        <v>0</v>
      </c>
      <c r="T733" s="89">
        <f t="shared" si="230"/>
        <v>0</v>
      </c>
      <c r="U733" s="126">
        <f>IF($D733="",0,IFERROR(LOOKUP(2,1/(($D$3:D732=$D733)*($C$3:C732=$C733)*($A$3:A732&lt;$A733)),$AB$3:AB732),1000))</f>
        <v>0</v>
      </c>
      <c r="V733" s="126">
        <f t="shared" si="231"/>
        <v>0</v>
      </c>
      <c r="W733">
        <f t="shared" si="232"/>
        <v>0</v>
      </c>
      <c r="X733">
        <f t="shared" si="233"/>
        <v>0</v>
      </c>
      <c r="Y733">
        <f t="shared" si="234"/>
        <v>0</v>
      </c>
      <c r="Z733">
        <f t="shared" si="235"/>
        <v>0</v>
      </c>
      <c r="AA733">
        <f>IF($D733="",0,IF($F733&lt;2,0,IF($E733="Win",('Guide &amp; Settings'!$C$42/(($F733-1)*COUNTIFS($A$4:$A$1510,$A733,$E$4:$E$1510,"Win")))*SUMIFS($Z$4:$Z$1510,$A$4:$A$1510,$A733,$E$4:$E$1510,"Loss"),-('Guide &amp; Settings'!$C$42/($F733-1))*$Z733)))</f>
        <v>0</v>
      </c>
      <c r="AB733" s="126">
        <f t="shared" si="236"/>
        <v>0</v>
      </c>
      <c r="AC733" s="126" t="str">
        <f>IF($D733="","",IF($AD733=0,0,IF(COUNTIFS($D$4:$D733,$D733,$B$4:$B733,$B733)&gt;1,0,IF($B733&lt;'Guide &amp; Settings'!$C$50,0,IF(($B733-$AD733)/7-'Guide &amp; Settings'!$C$48&gt;=0,(INT(($B733-$AD733)/7-'Guide &amp; Settings'!$C$48)+1)*'Guide &amp; Settings'!$C$49,0)))))</f>
        <v/>
      </c>
      <c r="AD733" s="142">
        <f t="shared" si="237"/>
        <v>0</v>
      </c>
      <c r="AE733">
        <f t="shared" si="238"/>
        <v>0</v>
      </c>
      <c r="AF733">
        <f t="shared" si="239"/>
        <v>0</v>
      </c>
    </row>
    <row r="734" spans="1:32" x14ac:dyDescent="0.2">
      <c r="A734" s="117"/>
      <c r="B734" s="118"/>
      <c r="C734" s="119"/>
      <c r="D734" s="119"/>
      <c r="E734" s="117"/>
      <c r="F734" s="120">
        <f t="shared" si="220"/>
        <v>0</v>
      </c>
      <c r="G734" s="121" t="str">
        <f t="shared" si="221"/>
        <v/>
      </c>
      <c r="H734" s="122">
        <f>IF($D734="",0,IFERROR(LOOKUP(2,1/(($D$3:D733=$D734)*($A$3:A733&lt;$A734)),$N$3:N733),'Guide &amp; Settings'!$C$41))</f>
        <v>0</v>
      </c>
      <c r="I734" s="123">
        <f t="shared" si="222"/>
        <v>0</v>
      </c>
      <c r="J734" s="124">
        <f>IF($D734="",0,IF($F734&lt;2,0,IF($E734="Win",('Guide &amp; Settings'!$C$42/(($F734-1)*COUNTIFS($A$4:$A$1510,$A734,$E$4:$E$1510,"Win")))*SUMIFS($X$4:$X$1510,$A$4:$A$1510,$A734,$E$4:$E$1510,"Loss"),-('Guide &amp; Settings'!$C$42/($F734-1))*$X734)))</f>
        <v>0</v>
      </c>
      <c r="K734" s="124">
        <f>IF($D734="",0,'Guide &amp; Settings'!$C$43*(IF($E734="Win",1,0)-$I734))</f>
        <v>0</v>
      </c>
      <c r="L734" s="125">
        <f>IF($D734="",0,'Guide &amp; Settings'!$C$44*IF($F734&gt;=3,$F734,0))</f>
        <v>0</v>
      </c>
      <c r="M734" s="124">
        <f t="shared" si="223"/>
        <v>0</v>
      </c>
      <c r="N734" s="122">
        <f t="shared" si="224"/>
        <v>0</v>
      </c>
      <c r="O734" s="121" t="str">
        <f t="shared" si="225"/>
        <v/>
      </c>
      <c r="P734">
        <f t="shared" si="226"/>
        <v>0</v>
      </c>
      <c r="Q734">
        <f t="shared" si="227"/>
        <v>0</v>
      </c>
      <c r="R734">
        <f t="shared" si="228"/>
        <v>0</v>
      </c>
      <c r="S734">
        <f t="shared" si="229"/>
        <v>0</v>
      </c>
      <c r="T734" s="89">
        <f t="shared" si="230"/>
        <v>0</v>
      </c>
      <c r="U734" s="126">
        <f>IF($D734="",0,IFERROR(LOOKUP(2,1/(($D$3:D733=$D734)*($C$3:C733=$C734)*($A$3:A733&lt;$A734)),$AB$3:AB733),1000))</f>
        <v>0</v>
      </c>
      <c r="V734" s="126">
        <f t="shared" si="231"/>
        <v>0</v>
      </c>
      <c r="W734">
        <f t="shared" si="232"/>
        <v>0</v>
      </c>
      <c r="X734">
        <f t="shared" si="233"/>
        <v>0</v>
      </c>
      <c r="Y734">
        <f t="shared" si="234"/>
        <v>0</v>
      </c>
      <c r="Z734">
        <f t="shared" si="235"/>
        <v>0</v>
      </c>
      <c r="AA734">
        <f>IF($D734="",0,IF($F734&lt;2,0,IF($E734="Win",('Guide &amp; Settings'!$C$42/(($F734-1)*COUNTIFS($A$4:$A$1510,$A734,$E$4:$E$1510,"Win")))*SUMIFS($Z$4:$Z$1510,$A$4:$A$1510,$A734,$E$4:$E$1510,"Loss"),-('Guide &amp; Settings'!$C$42/($F734-1))*$Z734)))</f>
        <v>0</v>
      </c>
      <c r="AB734" s="126">
        <f t="shared" si="236"/>
        <v>0</v>
      </c>
      <c r="AC734" s="126" t="str">
        <f>IF($D734="","",IF($AD734=0,0,IF(COUNTIFS($D$4:$D734,$D734,$B$4:$B734,$B734)&gt;1,0,IF($B734&lt;'Guide &amp; Settings'!$C$50,0,IF(($B734-$AD734)/7-'Guide &amp; Settings'!$C$48&gt;=0,(INT(($B734-$AD734)/7-'Guide &amp; Settings'!$C$48)+1)*'Guide &amp; Settings'!$C$49,0)))))</f>
        <v/>
      </c>
      <c r="AD734" s="142">
        <f t="shared" si="237"/>
        <v>0</v>
      </c>
      <c r="AE734">
        <f t="shared" si="238"/>
        <v>0</v>
      </c>
      <c r="AF734">
        <f t="shared" si="239"/>
        <v>0</v>
      </c>
    </row>
    <row r="735" spans="1:32" x14ac:dyDescent="0.2">
      <c r="A735" s="117"/>
      <c r="B735" s="118"/>
      <c r="C735" s="119"/>
      <c r="D735" s="119"/>
      <c r="E735" s="117"/>
      <c r="F735" s="120">
        <f t="shared" si="220"/>
        <v>0</v>
      </c>
      <c r="G735" s="121" t="str">
        <f t="shared" si="221"/>
        <v/>
      </c>
      <c r="H735" s="122">
        <f>IF($D735="",0,IFERROR(LOOKUP(2,1/(($D$3:D734=$D735)*($A$3:A734&lt;$A735)),$N$3:N734),'Guide &amp; Settings'!$C$41))</f>
        <v>0</v>
      </c>
      <c r="I735" s="123">
        <f t="shared" si="222"/>
        <v>0</v>
      </c>
      <c r="J735" s="124">
        <f>IF($D735="",0,IF($F735&lt;2,0,IF($E735="Win",('Guide &amp; Settings'!$C$42/(($F735-1)*COUNTIFS($A$4:$A$1510,$A735,$E$4:$E$1510,"Win")))*SUMIFS($X$4:$X$1510,$A$4:$A$1510,$A735,$E$4:$E$1510,"Loss"),-('Guide &amp; Settings'!$C$42/($F735-1))*$X735)))</f>
        <v>0</v>
      </c>
      <c r="K735" s="124">
        <f>IF($D735="",0,'Guide &amp; Settings'!$C$43*(IF($E735="Win",1,0)-$I735))</f>
        <v>0</v>
      </c>
      <c r="L735" s="125">
        <f>IF($D735="",0,'Guide &amp; Settings'!$C$44*IF($F735&gt;=3,$F735,0))</f>
        <v>0</v>
      </c>
      <c r="M735" s="124">
        <f t="shared" si="223"/>
        <v>0</v>
      </c>
      <c r="N735" s="122">
        <f t="shared" si="224"/>
        <v>0</v>
      </c>
      <c r="O735" s="121" t="str">
        <f t="shared" si="225"/>
        <v/>
      </c>
      <c r="P735">
        <f t="shared" si="226"/>
        <v>0</v>
      </c>
      <c r="Q735">
        <f t="shared" si="227"/>
        <v>0</v>
      </c>
      <c r="R735">
        <f t="shared" si="228"/>
        <v>0</v>
      </c>
      <c r="S735">
        <f t="shared" si="229"/>
        <v>0</v>
      </c>
      <c r="T735" s="89">
        <f t="shared" si="230"/>
        <v>0</v>
      </c>
      <c r="U735" s="126">
        <f>IF($D735="",0,IFERROR(LOOKUP(2,1/(($D$3:D734=$D735)*($C$3:C734=$C735)*($A$3:A734&lt;$A735)),$AB$3:AB734),1000))</f>
        <v>0</v>
      </c>
      <c r="V735" s="126">
        <f t="shared" si="231"/>
        <v>0</v>
      </c>
      <c r="W735">
        <f t="shared" si="232"/>
        <v>0</v>
      </c>
      <c r="X735">
        <f t="shared" si="233"/>
        <v>0</v>
      </c>
      <c r="Y735">
        <f t="shared" si="234"/>
        <v>0</v>
      </c>
      <c r="Z735">
        <f t="shared" si="235"/>
        <v>0</v>
      </c>
      <c r="AA735">
        <f>IF($D735="",0,IF($F735&lt;2,0,IF($E735="Win",('Guide &amp; Settings'!$C$42/(($F735-1)*COUNTIFS($A$4:$A$1510,$A735,$E$4:$E$1510,"Win")))*SUMIFS($Z$4:$Z$1510,$A$4:$A$1510,$A735,$E$4:$E$1510,"Loss"),-('Guide &amp; Settings'!$C$42/($F735-1))*$Z735)))</f>
        <v>0</v>
      </c>
      <c r="AB735" s="126">
        <f t="shared" si="236"/>
        <v>0</v>
      </c>
      <c r="AC735" s="126" t="str">
        <f>IF($D735="","",IF($AD735=0,0,IF(COUNTIFS($D$4:$D735,$D735,$B$4:$B735,$B735)&gt;1,0,IF($B735&lt;'Guide &amp; Settings'!$C$50,0,IF(($B735-$AD735)/7-'Guide &amp; Settings'!$C$48&gt;=0,(INT(($B735-$AD735)/7-'Guide &amp; Settings'!$C$48)+1)*'Guide &amp; Settings'!$C$49,0)))))</f>
        <v/>
      </c>
      <c r="AD735" s="142">
        <f t="shared" si="237"/>
        <v>0</v>
      </c>
      <c r="AE735">
        <f t="shared" si="238"/>
        <v>0</v>
      </c>
      <c r="AF735">
        <f t="shared" si="239"/>
        <v>0</v>
      </c>
    </row>
    <row r="736" spans="1:32" x14ac:dyDescent="0.2">
      <c r="A736" s="117"/>
      <c r="B736" s="118"/>
      <c r="C736" s="119"/>
      <c r="D736" s="119"/>
      <c r="E736" s="117"/>
      <c r="F736" s="120">
        <f t="shared" si="220"/>
        <v>0</v>
      </c>
      <c r="G736" s="121" t="str">
        <f t="shared" si="221"/>
        <v/>
      </c>
      <c r="H736" s="122">
        <f>IF($D736="",0,IFERROR(LOOKUP(2,1/(($D$3:D735=$D736)*($A$3:A735&lt;$A736)),$N$3:N735),'Guide &amp; Settings'!$C$41))</f>
        <v>0</v>
      </c>
      <c r="I736" s="123">
        <f t="shared" si="222"/>
        <v>0</v>
      </c>
      <c r="J736" s="124">
        <f>IF($D736="",0,IF($F736&lt;2,0,IF($E736="Win",('Guide &amp; Settings'!$C$42/(($F736-1)*COUNTIFS($A$4:$A$1510,$A736,$E$4:$E$1510,"Win")))*SUMIFS($X$4:$X$1510,$A$4:$A$1510,$A736,$E$4:$E$1510,"Loss"),-('Guide &amp; Settings'!$C$42/($F736-1))*$X736)))</f>
        <v>0</v>
      </c>
      <c r="K736" s="124">
        <f>IF($D736="",0,'Guide &amp; Settings'!$C$43*(IF($E736="Win",1,0)-$I736))</f>
        <v>0</v>
      </c>
      <c r="L736" s="125">
        <f>IF($D736="",0,'Guide &amp; Settings'!$C$44*IF($F736&gt;=3,$F736,0))</f>
        <v>0</v>
      </c>
      <c r="M736" s="124">
        <f t="shared" si="223"/>
        <v>0</v>
      </c>
      <c r="N736" s="122">
        <f t="shared" si="224"/>
        <v>0</v>
      </c>
      <c r="O736" s="121" t="str">
        <f t="shared" si="225"/>
        <v/>
      </c>
      <c r="P736">
        <f t="shared" si="226"/>
        <v>0</v>
      </c>
      <c r="Q736">
        <f t="shared" si="227"/>
        <v>0</v>
      </c>
      <c r="R736">
        <f t="shared" si="228"/>
        <v>0</v>
      </c>
      <c r="S736">
        <f t="shared" si="229"/>
        <v>0</v>
      </c>
      <c r="T736" s="89">
        <f t="shared" si="230"/>
        <v>0</v>
      </c>
      <c r="U736" s="126">
        <f>IF($D736="",0,IFERROR(LOOKUP(2,1/(($D$3:D735=$D736)*($C$3:C735=$C736)*($A$3:A735&lt;$A736)),$AB$3:AB735),1000))</f>
        <v>0</v>
      </c>
      <c r="V736" s="126">
        <f t="shared" si="231"/>
        <v>0</v>
      </c>
      <c r="W736">
        <f t="shared" si="232"/>
        <v>0</v>
      </c>
      <c r="X736">
        <f t="shared" si="233"/>
        <v>0</v>
      </c>
      <c r="Y736">
        <f t="shared" si="234"/>
        <v>0</v>
      </c>
      <c r="Z736">
        <f t="shared" si="235"/>
        <v>0</v>
      </c>
      <c r="AA736">
        <f>IF($D736="",0,IF($F736&lt;2,0,IF($E736="Win",('Guide &amp; Settings'!$C$42/(($F736-1)*COUNTIFS($A$4:$A$1510,$A736,$E$4:$E$1510,"Win")))*SUMIFS($Z$4:$Z$1510,$A$4:$A$1510,$A736,$E$4:$E$1510,"Loss"),-('Guide &amp; Settings'!$C$42/($F736-1))*$Z736)))</f>
        <v>0</v>
      </c>
      <c r="AB736" s="126">
        <f t="shared" si="236"/>
        <v>0</v>
      </c>
      <c r="AC736" s="126" t="str">
        <f>IF($D736="","",IF($AD736=0,0,IF(COUNTIFS($D$4:$D736,$D736,$B$4:$B736,$B736)&gt;1,0,IF($B736&lt;'Guide &amp; Settings'!$C$50,0,IF(($B736-$AD736)/7-'Guide &amp; Settings'!$C$48&gt;=0,(INT(($B736-$AD736)/7-'Guide &amp; Settings'!$C$48)+1)*'Guide &amp; Settings'!$C$49,0)))))</f>
        <v/>
      </c>
      <c r="AD736" s="142">
        <f t="shared" si="237"/>
        <v>0</v>
      </c>
      <c r="AE736">
        <f t="shared" si="238"/>
        <v>0</v>
      </c>
      <c r="AF736">
        <f t="shared" si="239"/>
        <v>0</v>
      </c>
    </row>
    <row r="737" spans="1:32" x14ac:dyDescent="0.2">
      <c r="A737" s="117"/>
      <c r="B737" s="118"/>
      <c r="C737" s="119"/>
      <c r="D737" s="119"/>
      <c r="E737" s="117"/>
      <c r="F737" s="120">
        <f t="shared" si="220"/>
        <v>0</v>
      </c>
      <c r="G737" s="121" t="str">
        <f t="shared" si="221"/>
        <v/>
      </c>
      <c r="H737" s="122">
        <f>IF($D737="",0,IFERROR(LOOKUP(2,1/(($D$3:D736=$D737)*($A$3:A736&lt;$A737)),$N$3:N736),'Guide &amp; Settings'!$C$41))</f>
        <v>0</v>
      </c>
      <c r="I737" s="123">
        <f t="shared" si="222"/>
        <v>0</v>
      </c>
      <c r="J737" s="124">
        <f>IF($D737="",0,IF($F737&lt;2,0,IF($E737="Win",('Guide &amp; Settings'!$C$42/(($F737-1)*COUNTIFS($A$4:$A$1510,$A737,$E$4:$E$1510,"Win")))*SUMIFS($X$4:$X$1510,$A$4:$A$1510,$A737,$E$4:$E$1510,"Loss"),-('Guide &amp; Settings'!$C$42/($F737-1))*$X737)))</f>
        <v>0</v>
      </c>
      <c r="K737" s="124">
        <f>IF($D737="",0,'Guide &amp; Settings'!$C$43*(IF($E737="Win",1,0)-$I737))</f>
        <v>0</v>
      </c>
      <c r="L737" s="125">
        <f>IF($D737="",0,'Guide &amp; Settings'!$C$44*IF($F737&gt;=3,$F737,0))</f>
        <v>0</v>
      </c>
      <c r="M737" s="124">
        <f t="shared" si="223"/>
        <v>0</v>
      </c>
      <c r="N737" s="122">
        <f t="shared" si="224"/>
        <v>0</v>
      </c>
      <c r="O737" s="121" t="str">
        <f t="shared" si="225"/>
        <v/>
      </c>
      <c r="P737">
        <f t="shared" si="226"/>
        <v>0</v>
      </c>
      <c r="Q737">
        <f t="shared" si="227"/>
        <v>0</v>
      </c>
      <c r="R737">
        <f t="shared" si="228"/>
        <v>0</v>
      </c>
      <c r="S737">
        <f t="shared" si="229"/>
        <v>0</v>
      </c>
      <c r="T737" s="89">
        <f t="shared" si="230"/>
        <v>0</v>
      </c>
      <c r="U737" s="126">
        <f>IF($D737="",0,IFERROR(LOOKUP(2,1/(($D$3:D736=$D737)*($C$3:C736=$C737)*($A$3:A736&lt;$A737)),$AB$3:AB736),1000))</f>
        <v>0</v>
      </c>
      <c r="V737" s="126">
        <f t="shared" si="231"/>
        <v>0</v>
      </c>
      <c r="W737">
        <f t="shared" si="232"/>
        <v>0</v>
      </c>
      <c r="X737">
        <f t="shared" si="233"/>
        <v>0</v>
      </c>
      <c r="Y737">
        <f t="shared" si="234"/>
        <v>0</v>
      </c>
      <c r="Z737">
        <f t="shared" si="235"/>
        <v>0</v>
      </c>
      <c r="AA737">
        <f>IF($D737="",0,IF($F737&lt;2,0,IF($E737="Win",('Guide &amp; Settings'!$C$42/(($F737-1)*COUNTIFS($A$4:$A$1510,$A737,$E$4:$E$1510,"Win")))*SUMIFS($Z$4:$Z$1510,$A$4:$A$1510,$A737,$E$4:$E$1510,"Loss"),-('Guide &amp; Settings'!$C$42/($F737-1))*$Z737)))</f>
        <v>0</v>
      </c>
      <c r="AB737" s="126">
        <f t="shared" si="236"/>
        <v>0</v>
      </c>
      <c r="AC737" s="126" t="str">
        <f>IF($D737="","",IF($AD737=0,0,IF(COUNTIFS($D$4:$D737,$D737,$B$4:$B737,$B737)&gt;1,0,IF($B737&lt;'Guide &amp; Settings'!$C$50,0,IF(($B737-$AD737)/7-'Guide &amp; Settings'!$C$48&gt;=0,(INT(($B737-$AD737)/7-'Guide &amp; Settings'!$C$48)+1)*'Guide &amp; Settings'!$C$49,0)))))</f>
        <v/>
      </c>
      <c r="AD737" s="142">
        <f t="shared" si="237"/>
        <v>0</v>
      </c>
      <c r="AE737">
        <f t="shared" si="238"/>
        <v>0</v>
      </c>
      <c r="AF737">
        <f t="shared" si="239"/>
        <v>0</v>
      </c>
    </row>
    <row r="738" spans="1:32" x14ac:dyDescent="0.2">
      <c r="A738" s="117"/>
      <c r="B738" s="118"/>
      <c r="C738" s="119"/>
      <c r="D738" s="119"/>
      <c r="E738" s="117"/>
      <c r="F738" s="120">
        <f t="shared" si="220"/>
        <v>0</v>
      </c>
      <c r="G738" s="121" t="str">
        <f t="shared" si="221"/>
        <v/>
      </c>
      <c r="H738" s="122">
        <f>IF($D738="",0,IFERROR(LOOKUP(2,1/(($D$3:D737=$D738)*($A$3:A737&lt;$A738)),$N$3:N737),'Guide &amp; Settings'!$C$41))</f>
        <v>0</v>
      </c>
      <c r="I738" s="123">
        <f t="shared" si="222"/>
        <v>0</v>
      </c>
      <c r="J738" s="124">
        <f>IF($D738="",0,IF($F738&lt;2,0,IF($E738="Win",('Guide &amp; Settings'!$C$42/(($F738-1)*COUNTIFS($A$4:$A$1510,$A738,$E$4:$E$1510,"Win")))*SUMIFS($X$4:$X$1510,$A$4:$A$1510,$A738,$E$4:$E$1510,"Loss"),-('Guide &amp; Settings'!$C$42/($F738-1))*$X738)))</f>
        <v>0</v>
      </c>
      <c r="K738" s="124">
        <f>IF($D738="",0,'Guide &amp; Settings'!$C$43*(IF($E738="Win",1,0)-$I738))</f>
        <v>0</v>
      </c>
      <c r="L738" s="125">
        <f>IF($D738="",0,'Guide &amp; Settings'!$C$44*IF($F738&gt;=3,$F738,0))</f>
        <v>0</v>
      </c>
      <c r="M738" s="124">
        <f t="shared" si="223"/>
        <v>0</v>
      </c>
      <c r="N738" s="122">
        <f t="shared" si="224"/>
        <v>0</v>
      </c>
      <c r="O738" s="121" t="str">
        <f t="shared" si="225"/>
        <v/>
      </c>
      <c r="P738">
        <f t="shared" si="226"/>
        <v>0</v>
      </c>
      <c r="Q738">
        <f t="shared" si="227"/>
        <v>0</v>
      </c>
      <c r="R738">
        <f t="shared" si="228"/>
        <v>0</v>
      </c>
      <c r="S738">
        <f t="shared" si="229"/>
        <v>0</v>
      </c>
      <c r="T738" s="89">
        <f t="shared" si="230"/>
        <v>0</v>
      </c>
      <c r="U738" s="126">
        <f>IF($D738="",0,IFERROR(LOOKUP(2,1/(($D$3:D737=$D738)*($C$3:C737=$C738)*($A$3:A737&lt;$A738)),$AB$3:AB737),1000))</f>
        <v>0</v>
      </c>
      <c r="V738" s="126">
        <f t="shared" si="231"/>
        <v>0</v>
      </c>
      <c r="W738">
        <f t="shared" si="232"/>
        <v>0</v>
      </c>
      <c r="X738">
        <f t="shared" si="233"/>
        <v>0</v>
      </c>
      <c r="Y738">
        <f t="shared" si="234"/>
        <v>0</v>
      </c>
      <c r="Z738">
        <f t="shared" si="235"/>
        <v>0</v>
      </c>
      <c r="AA738">
        <f>IF($D738="",0,IF($F738&lt;2,0,IF($E738="Win",('Guide &amp; Settings'!$C$42/(($F738-1)*COUNTIFS($A$4:$A$1510,$A738,$E$4:$E$1510,"Win")))*SUMIFS($Z$4:$Z$1510,$A$4:$A$1510,$A738,$E$4:$E$1510,"Loss"),-('Guide &amp; Settings'!$C$42/($F738-1))*$Z738)))</f>
        <v>0</v>
      </c>
      <c r="AB738" s="126">
        <f t="shared" si="236"/>
        <v>0</v>
      </c>
      <c r="AC738" s="126" t="str">
        <f>IF($D738="","",IF($AD738=0,0,IF(COUNTIFS($D$4:$D738,$D738,$B$4:$B738,$B738)&gt;1,0,IF($B738&lt;'Guide &amp; Settings'!$C$50,0,IF(($B738-$AD738)/7-'Guide &amp; Settings'!$C$48&gt;=0,(INT(($B738-$AD738)/7-'Guide &amp; Settings'!$C$48)+1)*'Guide &amp; Settings'!$C$49,0)))))</f>
        <v/>
      </c>
      <c r="AD738" s="142">
        <f t="shared" si="237"/>
        <v>0</v>
      </c>
      <c r="AE738">
        <f t="shared" si="238"/>
        <v>0</v>
      </c>
      <c r="AF738">
        <f t="shared" si="239"/>
        <v>0</v>
      </c>
    </row>
    <row r="739" spans="1:32" x14ac:dyDescent="0.2">
      <c r="A739" s="117"/>
      <c r="B739" s="118"/>
      <c r="C739" s="119"/>
      <c r="D739" s="119"/>
      <c r="E739" s="117"/>
      <c r="F739" s="120">
        <f t="shared" si="220"/>
        <v>0</v>
      </c>
      <c r="G739" s="121" t="str">
        <f t="shared" si="221"/>
        <v/>
      </c>
      <c r="H739" s="122">
        <f>IF($D739="",0,IFERROR(LOOKUP(2,1/(($D$3:D738=$D739)*($A$3:A738&lt;$A739)),$N$3:N738),'Guide &amp; Settings'!$C$41))</f>
        <v>0</v>
      </c>
      <c r="I739" s="123">
        <f t="shared" si="222"/>
        <v>0</v>
      </c>
      <c r="J739" s="124">
        <f>IF($D739="",0,IF($F739&lt;2,0,IF($E739="Win",('Guide &amp; Settings'!$C$42/(($F739-1)*COUNTIFS($A$4:$A$1510,$A739,$E$4:$E$1510,"Win")))*SUMIFS($X$4:$X$1510,$A$4:$A$1510,$A739,$E$4:$E$1510,"Loss"),-('Guide &amp; Settings'!$C$42/($F739-1))*$X739)))</f>
        <v>0</v>
      </c>
      <c r="K739" s="124">
        <f>IF($D739="",0,'Guide &amp; Settings'!$C$43*(IF($E739="Win",1,0)-$I739))</f>
        <v>0</v>
      </c>
      <c r="L739" s="125">
        <f>IF($D739="",0,'Guide &amp; Settings'!$C$44*IF($F739&gt;=3,$F739,0))</f>
        <v>0</v>
      </c>
      <c r="M739" s="124">
        <f t="shared" si="223"/>
        <v>0</v>
      </c>
      <c r="N739" s="122">
        <f t="shared" si="224"/>
        <v>0</v>
      </c>
      <c r="O739" s="121" t="str">
        <f t="shared" si="225"/>
        <v/>
      </c>
      <c r="P739">
        <f t="shared" si="226"/>
        <v>0</v>
      </c>
      <c r="Q739">
        <f t="shared" si="227"/>
        <v>0</v>
      </c>
      <c r="R739">
        <f t="shared" si="228"/>
        <v>0</v>
      </c>
      <c r="S739">
        <f t="shared" si="229"/>
        <v>0</v>
      </c>
      <c r="T739" s="89">
        <f t="shared" si="230"/>
        <v>0</v>
      </c>
      <c r="U739" s="126">
        <f>IF($D739="",0,IFERROR(LOOKUP(2,1/(($D$3:D738=$D739)*($C$3:C738=$C739)*($A$3:A738&lt;$A739)),$AB$3:AB738),1000))</f>
        <v>0</v>
      </c>
      <c r="V739" s="126">
        <f t="shared" si="231"/>
        <v>0</v>
      </c>
      <c r="W739">
        <f t="shared" si="232"/>
        <v>0</v>
      </c>
      <c r="X739">
        <f t="shared" si="233"/>
        <v>0</v>
      </c>
      <c r="Y739">
        <f t="shared" si="234"/>
        <v>0</v>
      </c>
      <c r="Z739">
        <f t="shared" si="235"/>
        <v>0</v>
      </c>
      <c r="AA739">
        <f>IF($D739="",0,IF($F739&lt;2,0,IF($E739="Win",('Guide &amp; Settings'!$C$42/(($F739-1)*COUNTIFS($A$4:$A$1510,$A739,$E$4:$E$1510,"Win")))*SUMIFS($Z$4:$Z$1510,$A$4:$A$1510,$A739,$E$4:$E$1510,"Loss"),-('Guide &amp; Settings'!$C$42/($F739-1))*$Z739)))</f>
        <v>0</v>
      </c>
      <c r="AB739" s="126">
        <f t="shared" si="236"/>
        <v>0</v>
      </c>
      <c r="AC739" s="126" t="str">
        <f>IF($D739="","",IF($AD739=0,0,IF(COUNTIFS($D$4:$D739,$D739,$B$4:$B739,$B739)&gt;1,0,IF($B739&lt;'Guide &amp; Settings'!$C$50,0,IF(($B739-$AD739)/7-'Guide &amp; Settings'!$C$48&gt;=0,(INT(($B739-$AD739)/7-'Guide &amp; Settings'!$C$48)+1)*'Guide &amp; Settings'!$C$49,0)))))</f>
        <v/>
      </c>
      <c r="AD739" s="142">
        <f t="shared" si="237"/>
        <v>0</v>
      </c>
      <c r="AE739">
        <f t="shared" si="238"/>
        <v>0</v>
      </c>
      <c r="AF739">
        <f t="shared" si="239"/>
        <v>0</v>
      </c>
    </row>
    <row r="740" spans="1:32" x14ac:dyDescent="0.2">
      <c r="A740" s="117"/>
      <c r="B740" s="118"/>
      <c r="C740" s="119"/>
      <c r="D740" s="119"/>
      <c r="E740" s="117"/>
      <c r="F740" s="120">
        <f t="shared" si="220"/>
        <v>0</v>
      </c>
      <c r="G740" s="121" t="str">
        <f t="shared" si="221"/>
        <v/>
      </c>
      <c r="H740" s="122">
        <f>IF($D740="",0,IFERROR(LOOKUP(2,1/(($D$3:D739=$D740)*($A$3:A739&lt;$A740)),$N$3:N739),'Guide &amp; Settings'!$C$41))</f>
        <v>0</v>
      </c>
      <c r="I740" s="123">
        <f t="shared" si="222"/>
        <v>0</v>
      </c>
      <c r="J740" s="124">
        <f>IF($D740="",0,IF($F740&lt;2,0,IF($E740="Win",('Guide &amp; Settings'!$C$42/(($F740-1)*COUNTIFS($A$4:$A$1510,$A740,$E$4:$E$1510,"Win")))*SUMIFS($X$4:$X$1510,$A$4:$A$1510,$A740,$E$4:$E$1510,"Loss"),-('Guide &amp; Settings'!$C$42/($F740-1))*$X740)))</f>
        <v>0</v>
      </c>
      <c r="K740" s="124">
        <f>IF($D740="",0,'Guide &amp; Settings'!$C$43*(IF($E740="Win",1,0)-$I740))</f>
        <v>0</v>
      </c>
      <c r="L740" s="125">
        <f>IF($D740="",0,'Guide &amp; Settings'!$C$44*IF($F740&gt;=3,$F740,0))</f>
        <v>0</v>
      </c>
      <c r="M740" s="124">
        <f t="shared" si="223"/>
        <v>0</v>
      </c>
      <c r="N740" s="122">
        <f t="shared" si="224"/>
        <v>0</v>
      </c>
      <c r="O740" s="121" t="str">
        <f t="shared" si="225"/>
        <v/>
      </c>
      <c r="P740">
        <f t="shared" si="226"/>
        <v>0</v>
      </c>
      <c r="Q740">
        <f t="shared" si="227"/>
        <v>0</v>
      </c>
      <c r="R740">
        <f t="shared" si="228"/>
        <v>0</v>
      </c>
      <c r="S740">
        <f t="shared" si="229"/>
        <v>0</v>
      </c>
      <c r="T740" s="89">
        <f t="shared" si="230"/>
        <v>0</v>
      </c>
      <c r="U740" s="126">
        <f>IF($D740="",0,IFERROR(LOOKUP(2,1/(($D$3:D739=$D740)*($C$3:C739=$C740)*($A$3:A739&lt;$A740)),$AB$3:AB739),1000))</f>
        <v>0</v>
      </c>
      <c r="V740" s="126">
        <f t="shared" si="231"/>
        <v>0</v>
      </c>
      <c r="W740">
        <f t="shared" si="232"/>
        <v>0</v>
      </c>
      <c r="X740">
        <f t="shared" si="233"/>
        <v>0</v>
      </c>
      <c r="Y740">
        <f t="shared" si="234"/>
        <v>0</v>
      </c>
      <c r="Z740">
        <f t="shared" si="235"/>
        <v>0</v>
      </c>
      <c r="AA740">
        <f>IF($D740="",0,IF($F740&lt;2,0,IF($E740="Win",('Guide &amp; Settings'!$C$42/(($F740-1)*COUNTIFS($A$4:$A$1510,$A740,$E$4:$E$1510,"Win")))*SUMIFS($Z$4:$Z$1510,$A$4:$A$1510,$A740,$E$4:$E$1510,"Loss"),-('Guide &amp; Settings'!$C$42/($F740-1))*$Z740)))</f>
        <v>0</v>
      </c>
      <c r="AB740" s="126">
        <f t="shared" si="236"/>
        <v>0</v>
      </c>
      <c r="AC740" s="126" t="str">
        <f>IF($D740="","",IF($AD740=0,0,IF(COUNTIFS($D$4:$D740,$D740,$B$4:$B740,$B740)&gt;1,0,IF($B740&lt;'Guide &amp; Settings'!$C$50,0,IF(($B740-$AD740)/7-'Guide &amp; Settings'!$C$48&gt;=0,(INT(($B740-$AD740)/7-'Guide &amp; Settings'!$C$48)+1)*'Guide &amp; Settings'!$C$49,0)))))</f>
        <v/>
      </c>
      <c r="AD740" s="142">
        <f t="shared" si="237"/>
        <v>0</v>
      </c>
      <c r="AE740">
        <f t="shared" si="238"/>
        <v>0</v>
      </c>
      <c r="AF740">
        <f t="shared" si="239"/>
        <v>0</v>
      </c>
    </row>
    <row r="741" spans="1:32" x14ac:dyDescent="0.2">
      <c r="A741" s="117"/>
      <c r="B741" s="118"/>
      <c r="C741" s="119"/>
      <c r="D741" s="119"/>
      <c r="E741" s="117"/>
      <c r="F741" s="120">
        <f t="shared" si="220"/>
        <v>0</v>
      </c>
      <c r="G741" s="121" t="str">
        <f t="shared" si="221"/>
        <v/>
      </c>
      <c r="H741" s="122">
        <f>IF($D741="",0,IFERROR(LOOKUP(2,1/(($D$3:D740=$D741)*($A$3:A740&lt;$A741)),$N$3:N740),'Guide &amp; Settings'!$C$41))</f>
        <v>0</v>
      </c>
      <c r="I741" s="123">
        <f t="shared" si="222"/>
        <v>0</v>
      </c>
      <c r="J741" s="124">
        <f>IF($D741="",0,IF($F741&lt;2,0,IF($E741="Win",('Guide &amp; Settings'!$C$42/(($F741-1)*COUNTIFS($A$4:$A$1510,$A741,$E$4:$E$1510,"Win")))*SUMIFS($X$4:$X$1510,$A$4:$A$1510,$A741,$E$4:$E$1510,"Loss"),-('Guide &amp; Settings'!$C$42/($F741-1))*$X741)))</f>
        <v>0</v>
      </c>
      <c r="K741" s="124">
        <f>IF($D741="",0,'Guide &amp; Settings'!$C$43*(IF($E741="Win",1,0)-$I741))</f>
        <v>0</v>
      </c>
      <c r="L741" s="125">
        <f>IF($D741="",0,'Guide &amp; Settings'!$C$44*IF($F741&gt;=3,$F741,0))</f>
        <v>0</v>
      </c>
      <c r="M741" s="124">
        <f t="shared" si="223"/>
        <v>0</v>
      </c>
      <c r="N741" s="122">
        <f t="shared" si="224"/>
        <v>0</v>
      </c>
      <c r="O741" s="121" t="str">
        <f t="shared" si="225"/>
        <v/>
      </c>
      <c r="P741">
        <f t="shared" si="226"/>
        <v>0</v>
      </c>
      <c r="Q741">
        <f t="shared" si="227"/>
        <v>0</v>
      </c>
      <c r="R741">
        <f t="shared" si="228"/>
        <v>0</v>
      </c>
      <c r="S741">
        <f t="shared" si="229"/>
        <v>0</v>
      </c>
      <c r="T741" s="89">
        <f t="shared" si="230"/>
        <v>0</v>
      </c>
      <c r="U741" s="126">
        <f>IF($D741="",0,IFERROR(LOOKUP(2,1/(($D$3:D740=$D741)*($C$3:C740=$C741)*($A$3:A740&lt;$A741)),$AB$3:AB740),1000))</f>
        <v>0</v>
      </c>
      <c r="V741" s="126">
        <f t="shared" si="231"/>
        <v>0</v>
      </c>
      <c r="W741">
        <f t="shared" si="232"/>
        <v>0</v>
      </c>
      <c r="X741">
        <f t="shared" si="233"/>
        <v>0</v>
      </c>
      <c r="Y741">
        <f t="shared" si="234"/>
        <v>0</v>
      </c>
      <c r="Z741">
        <f t="shared" si="235"/>
        <v>0</v>
      </c>
      <c r="AA741">
        <f>IF($D741="",0,IF($F741&lt;2,0,IF($E741="Win",('Guide &amp; Settings'!$C$42/(($F741-1)*COUNTIFS($A$4:$A$1510,$A741,$E$4:$E$1510,"Win")))*SUMIFS($Z$4:$Z$1510,$A$4:$A$1510,$A741,$E$4:$E$1510,"Loss"),-('Guide &amp; Settings'!$C$42/($F741-1))*$Z741)))</f>
        <v>0</v>
      </c>
      <c r="AB741" s="126">
        <f t="shared" si="236"/>
        <v>0</v>
      </c>
      <c r="AC741" s="126" t="str">
        <f>IF($D741="","",IF($AD741=0,0,IF(COUNTIFS($D$4:$D741,$D741,$B$4:$B741,$B741)&gt;1,0,IF($B741&lt;'Guide &amp; Settings'!$C$50,0,IF(($B741-$AD741)/7-'Guide &amp; Settings'!$C$48&gt;=0,(INT(($B741-$AD741)/7-'Guide &amp; Settings'!$C$48)+1)*'Guide &amp; Settings'!$C$49,0)))))</f>
        <v/>
      </c>
      <c r="AD741" s="142">
        <f t="shared" si="237"/>
        <v>0</v>
      </c>
      <c r="AE741">
        <f t="shared" si="238"/>
        <v>0</v>
      </c>
      <c r="AF741">
        <f t="shared" si="239"/>
        <v>0</v>
      </c>
    </row>
    <row r="742" spans="1:32" x14ac:dyDescent="0.2">
      <c r="A742" s="117"/>
      <c r="B742" s="118"/>
      <c r="C742" s="119"/>
      <c r="D742" s="119"/>
      <c r="E742" s="117"/>
      <c r="F742" s="120">
        <f t="shared" si="220"/>
        <v>0</v>
      </c>
      <c r="G742" s="121" t="str">
        <f t="shared" si="221"/>
        <v/>
      </c>
      <c r="H742" s="122">
        <f>IF($D742="",0,IFERROR(LOOKUP(2,1/(($D$3:D741=$D742)*($A$3:A741&lt;$A742)),$N$3:N741),'Guide &amp; Settings'!$C$41))</f>
        <v>0</v>
      </c>
      <c r="I742" s="123">
        <f t="shared" si="222"/>
        <v>0</v>
      </c>
      <c r="J742" s="124">
        <f>IF($D742="",0,IF($F742&lt;2,0,IF($E742="Win",('Guide &amp; Settings'!$C$42/(($F742-1)*COUNTIFS($A$4:$A$1510,$A742,$E$4:$E$1510,"Win")))*SUMIFS($X$4:$X$1510,$A$4:$A$1510,$A742,$E$4:$E$1510,"Loss"),-('Guide &amp; Settings'!$C$42/($F742-1))*$X742)))</f>
        <v>0</v>
      </c>
      <c r="K742" s="124">
        <f>IF($D742="",0,'Guide &amp; Settings'!$C$43*(IF($E742="Win",1,0)-$I742))</f>
        <v>0</v>
      </c>
      <c r="L742" s="125">
        <f>IF($D742="",0,'Guide &amp; Settings'!$C$44*IF($F742&gt;=3,$F742,0))</f>
        <v>0</v>
      </c>
      <c r="M742" s="124">
        <f t="shared" si="223"/>
        <v>0</v>
      </c>
      <c r="N742" s="122">
        <f t="shared" si="224"/>
        <v>0</v>
      </c>
      <c r="O742" s="121" t="str">
        <f t="shared" si="225"/>
        <v/>
      </c>
      <c r="P742">
        <f t="shared" si="226"/>
        <v>0</v>
      </c>
      <c r="Q742">
        <f t="shared" si="227"/>
        <v>0</v>
      </c>
      <c r="R742">
        <f t="shared" si="228"/>
        <v>0</v>
      </c>
      <c r="S742">
        <f t="shared" si="229"/>
        <v>0</v>
      </c>
      <c r="T742" s="89">
        <f t="shared" si="230"/>
        <v>0</v>
      </c>
      <c r="U742" s="126">
        <f>IF($D742="",0,IFERROR(LOOKUP(2,1/(($D$3:D741=$D742)*($C$3:C741=$C742)*($A$3:A741&lt;$A742)),$AB$3:AB741),1000))</f>
        <v>0</v>
      </c>
      <c r="V742" s="126">
        <f t="shared" si="231"/>
        <v>0</v>
      </c>
      <c r="W742">
        <f t="shared" si="232"/>
        <v>0</v>
      </c>
      <c r="X742">
        <f t="shared" si="233"/>
        <v>0</v>
      </c>
      <c r="Y742">
        <f t="shared" si="234"/>
        <v>0</v>
      </c>
      <c r="Z742">
        <f t="shared" si="235"/>
        <v>0</v>
      </c>
      <c r="AA742">
        <f>IF($D742="",0,IF($F742&lt;2,0,IF($E742="Win",('Guide &amp; Settings'!$C$42/(($F742-1)*COUNTIFS($A$4:$A$1510,$A742,$E$4:$E$1510,"Win")))*SUMIFS($Z$4:$Z$1510,$A$4:$A$1510,$A742,$E$4:$E$1510,"Loss"),-('Guide &amp; Settings'!$C$42/($F742-1))*$Z742)))</f>
        <v>0</v>
      </c>
      <c r="AB742" s="126">
        <f t="shared" si="236"/>
        <v>0</v>
      </c>
      <c r="AC742" s="126" t="str">
        <f>IF($D742="","",IF($AD742=0,0,IF(COUNTIFS($D$4:$D742,$D742,$B$4:$B742,$B742)&gt;1,0,IF($B742&lt;'Guide &amp; Settings'!$C$50,0,IF(($B742-$AD742)/7-'Guide &amp; Settings'!$C$48&gt;=0,(INT(($B742-$AD742)/7-'Guide &amp; Settings'!$C$48)+1)*'Guide &amp; Settings'!$C$49,0)))))</f>
        <v/>
      </c>
      <c r="AD742" s="142">
        <f t="shared" si="237"/>
        <v>0</v>
      </c>
      <c r="AE742">
        <f t="shared" si="238"/>
        <v>0</v>
      </c>
      <c r="AF742">
        <f t="shared" si="239"/>
        <v>0</v>
      </c>
    </row>
    <row r="743" spans="1:32" x14ac:dyDescent="0.2">
      <c r="A743" s="117"/>
      <c r="B743" s="118"/>
      <c r="C743" s="119"/>
      <c r="D743" s="119"/>
      <c r="E743" s="117"/>
      <c r="F743" s="120">
        <f t="shared" si="220"/>
        <v>0</v>
      </c>
      <c r="G743" s="121" t="str">
        <f t="shared" si="221"/>
        <v/>
      </c>
      <c r="H743" s="122">
        <f>IF($D743="",0,IFERROR(LOOKUP(2,1/(($D$3:D742=$D743)*($A$3:A742&lt;$A743)),$N$3:N742),'Guide &amp; Settings'!$C$41))</f>
        <v>0</v>
      </c>
      <c r="I743" s="123">
        <f t="shared" si="222"/>
        <v>0</v>
      </c>
      <c r="J743" s="124">
        <f>IF($D743="",0,IF($F743&lt;2,0,IF($E743="Win",('Guide &amp; Settings'!$C$42/(($F743-1)*COUNTIFS($A$4:$A$1510,$A743,$E$4:$E$1510,"Win")))*SUMIFS($X$4:$X$1510,$A$4:$A$1510,$A743,$E$4:$E$1510,"Loss"),-('Guide &amp; Settings'!$C$42/($F743-1))*$X743)))</f>
        <v>0</v>
      </c>
      <c r="K743" s="124">
        <f>IF($D743="",0,'Guide &amp; Settings'!$C$43*(IF($E743="Win",1,0)-$I743))</f>
        <v>0</v>
      </c>
      <c r="L743" s="125">
        <f>IF($D743="",0,'Guide &amp; Settings'!$C$44*IF($F743&gt;=3,$F743,0))</f>
        <v>0</v>
      </c>
      <c r="M743" s="124">
        <f t="shared" si="223"/>
        <v>0</v>
      </c>
      <c r="N743" s="122">
        <f t="shared" si="224"/>
        <v>0</v>
      </c>
      <c r="O743" s="121" t="str">
        <f t="shared" si="225"/>
        <v/>
      </c>
      <c r="P743">
        <f t="shared" si="226"/>
        <v>0</v>
      </c>
      <c r="Q743">
        <f t="shared" si="227"/>
        <v>0</v>
      </c>
      <c r="R743">
        <f t="shared" si="228"/>
        <v>0</v>
      </c>
      <c r="S743">
        <f t="shared" si="229"/>
        <v>0</v>
      </c>
      <c r="T743" s="89">
        <f t="shared" si="230"/>
        <v>0</v>
      </c>
      <c r="U743" s="126">
        <f>IF($D743="",0,IFERROR(LOOKUP(2,1/(($D$3:D742=$D743)*($C$3:C742=$C743)*($A$3:A742&lt;$A743)),$AB$3:AB742),1000))</f>
        <v>0</v>
      </c>
      <c r="V743" s="126">
        <f t="shared" si="231"/>
        <v>0</v>
      </c>
      <c r="W743">
        <f t="shared" si="232"/>
        <v>0</v>
      </c>
      <c r="X743">
        <f t="shared" si="233"/>
        <v>0</v>
      </c>
      <c r="Y743">
        <f t="shared" si="234"/>
        <v>0</v>
      </c>
      <c r="Z743">
        <f t="shared" si="235"/>
        <v>0</v>
      </c>
      <c r="AA743">
        <f>IF($D743="",0,IF($F743&lt;2,0,IF($E743="Win",('Guide &amp; Settings'!$C$42/(($F743-1)*COUNTIFS($A$4:$A$1510,$A743,$E$4:$E$1510,"Win")))*SUMIFS($Z$4:$Z$1510,$A$4:$A$1510,$A743,$E$4:$E$1510,"Loss"),-('Guide &amp; Settings'!$C$42/($F743-1))*$Z743)))</f>
        <v>0</v>
      </c>
      <c r="AB743" s="126">
        <f t="shared" si="236"/>
        <v>0</v>
      </c>
      <c r="AC743" s="126" t="str">
        <f>IF($D743="","",IF($AD743=0,0,IF(COUNTIFS($D$4:$D743,$D743,$B$4:$B743,$B743)&gt;1,0,IF($B743&lt;'Guide &amp; Settings'!$C$50,0,IF(($B743-$AD743)/7-'Guide &amp; Settings'!$C$48&gt;=0,(INT(($B743-$AD743)/7-'Guide &amp; Settings'!$C$48)+1)*'Guide &amp; Settings'!$C$49,0)))))</f>
        <v/>
      </c>
      <c r="AD743" s="142">
        <f t="shared" si="237"/>
        <v>0</v>
      </c>
      <c r="AE743">
        <f t="shared" si="238"/>
        <v>0</v>
      </c>
      <c r="AF743">
        <f t="shared" si="239"/>
        <v>0</v>
      </c>
    </row>
    <row r="744" spans="1:32" x14ac:dyDescent="0.2">
      <c r="A744" s="117"/>
      <c r="B744" s="118"/>
      <c r="C744" s="119"/>
      <c r="D744" s="119"/>
      <c r="E744" s="117"/>
      <c r="F744" s="120">
        <f t="shared" si="220"/>
        <v>0</v>
      </c>
      <c r="G744" s="121" t="str">
        <f t="shared" si="221"/>
        <v/>
      </c>
      <c r="H744" s="122">
        <f>IF($D744="",0,IFERROR(LOOKUP(2,1/(($D$3:D743=$D744)*($A$3:A743&lt;$A744)),$N$3:N743),'Guide &amp; Settings'!$C$41))</f>
        <v>0</v>
      </c>
      <c r="I744" s="123">
        <f t="shared" si="222"/>
        <v>0</v>
      </c>
      <c r="J744" s="124">
        <f>IF($D744="",0,IF($F744&lt;2,0,IF($E744="Win",('Guide &amp; Settings'!$C$42/(($F744-1)*COUNTIFS($A$4:$A$1510,$A744,$E$4:$E$1510,"Win")))*SUMIFS($X$4:$X$1510,$A$4:$A$1510,$A744,$E$4:$E$1510,"Loss"),-('Guide &amp; Settings'!$C$42/($F744-1))*$X744)))</f>
        <v>0</v>
      </c>
      <c r="K744" s="124">
        <f>IF($D744="",0,'Guide &amp; Settings'!$C$43*(IF($E744="Win",1,0)-$I744))</f>
        <v>0</v>
      </c>
      <c r="L744" s="125">
        <f>IF($D744="",0,'Guide &amp; Settings'!$C$44*IF($F744&gt;=3,$F744,0))</f>
        <v>0</v>
      </c>
      <c r="M744" s="124">
        <f t="shared" si="223"/>
        <v>0</v>
      </c>
      <c r="N744" s="122">
        <f t="shared" si="224"/>
        <v>0</v>
      </c>
      <c r="O744" s="121" t="str">
        <f t="shared" si="225"/>
        <v/>
      </c>
      <c r="P744">
        <f t="shared" si="226"/>
        <v>0</v>
      </c>
      <c r="Q744">
        <f t="shared" si="227"/>
        <v>0</v>
      </c>
      <c r="R744">
        <f t="shared" si="228"/>
        <v>0</v>
      </c>
      <c r="S744">
        <f t="shared" si="229"/>
        <v>0</v>
      </c>
      <c r="T744" s="89">
        <f t="shared" si="230"/>
        <v>0</v>
      </c>
      <c r="U744" s="126">
        <f>IF($D744="",0,IFERROR(LOOKUP(2,1/(($D$3:D743=$D744)*($C$3:C743=$C744)*($A$3:A743&lt;$A744)),$AB$3:AB743),1000))</f>
        <v>0</v>
      </c>
      <c r="V744" s="126">
        <f t="shared" si="231"/>
        <v>0</v>
      </c>
      <c r="W744">
        <f t="shared" si="232"/>
        <v>0</v>
      </c>
      <c r="X744">
        <f t="shared" si="233"/>
        <v>0</v>
      </c>
      <c r="Y744">
        <f t="shared" si="234"/>
        <v>0</v>
      </c>
      <c r="Z744">
        <f t="shared" si="235"/>
        <v>0</v>
      </c>
      <c r="AA744">
        <f>IF($D744="",0,IF($F744&lt;2,0,IF($E744="Win",('Guide &amp; Settings'!$C$42/(($F744-1)*COUNTIFS($A$4:$A$1510,$A744,$E$4:$E$1510,"Win")))*SUMIFS($Z$4:$Z$1510,$A$4:$A$1510,$A744,$E$4:$E$1510,"Loss"),-('Guide &amp; Settings'!$C$42/($F744-1))*$Z744)))</f>
        <v>0</v>
      </c>
      <c r="AB744" s="126">
        <f t="shared" si="236"/>
        <v>0</v>
      </c>
      <c r="AC744" s="126" t="str">
        <f>IF($D744="","",IF($AD744=0,0,IF(COUNTIFS($D$4:$D744,$D744,$B$4:$B744,$B744)&gt;1,0,IF($B744&lt;'Guide &amp; Settings'!$C$50,0,IF(($B744-$AD744)/7-'Guide &amp; Settings'!$C$48&gt;=0,(INT(($B744-$AD744)/7-'Guide &amp; Settings'!$C$48)+1)*'Guide &amp; Settings'!$C$49,0)))))</f>
        <v/>
      </c>
      <c r="AD744" s="142">
        <f t="shared" si="237"/>
        <v>0</v>
      </c>
      <c r="AE744">
        <f t="shared" si="238"/>
        <v>0</v>
      </c>
      <c r="AF744">
        <f t="shared" si="239"/>
        <v>0</v>
      </c>
    </row>
    <row r="745" spans="1:32" x14ac:dyDescent="0.2">
      <c r="A745" s="117"/>
      <c r="B745" s="118"/>
      <c r="C745" s="119"/>
      <c r="D745" s="119"/>
      <c r="E745" s="117"/>
      <c r="F745" s="120">
        <f t="shared" si="220"/>
        <v>0</v>
      </c>
      <c r="G745" s="121" t="str">
        <f t="shared" si="221"/>
        <v/>
      </c>
      <c r="H745" s="122">
        <f>IF($D745="",0,IFERROR(LOOKUP(2,1/(($D$3:D744=$D745)*($A$3:A744&lt;$A745)),$N$3:N744),'Guide &amp; Settings'!$C$41))</f>
        <v>0</v>
      </c>
      <c r="I745" s="123">
        <f t="shared" si="222"/>
        <v>0</v>
      </c>
      <c r="J745" s="124">
        <f>IF($D745="",0,IF($F745&lt;2,0,IF($E745="Win",('Guide &amp; Settings'!$C$42/(($F745-1)*COUNTIFS($A$4:$A$1510,$A745,$E$4:$E$1510,"Win")))*SUMIFS($X$4:$X$1510,$A$4:$A$1510,$A745,$E$4:$E$1510,"Loss"),-('Guide &amp; Settings'!$C$42/($F745-1))*$X745)))</f>
        <v>0</v>
      </c>
      <c r="K745" s="124">
        <f>IF($D745="",0,'Guide &amp; Settings'!$C$43*(IF($E745="Win",1,0)-$I745))</f>
        <v>0</v>
      </c>
      <c r="L745" s="125">
        <f>IF($D745="",0,'Guide &amp; Settings'!$C$44*IF($F745&gt;=3,$F745,0))</f>
        <v>0</v>
      </c>
      <c r="M745" s="124">
        <f t="shared" si="223"/>
        <v>0</v>
      </c>
      <c r="N745" s="122">
        <f t="shared" si="224"/>
        <v>0</v>
      </c>
      <c r="O745" s="121" t="str">
        <f t="shared" si="225"/>
        <v/>
      </c>
      <c r="P745">
        <f t="shared" si="226"/>
        <v>0</v>
      </c>
      <c r="Q745">
        <f t="shared" si="227"/>
        <v>0</v>
      </c>
      <c r="R745">
        <f t="shared" si="228"/>
        <v>0</v>
      </c>
      <c r="S745">
        <f t="shared" si="229"/>
        <v>0</v>
      </c>
      <c r="T745" s="89">
        <f t="shared" si="230"/>
        <v>0</v>
      </c>
      <c r="U745" s="126">
        <f>IF($D745="",0,IFERROR(LOOKUP(2,1/(($D$3:D744=$D745)*($C$3:C744=$C745)*($A$3:A744&lt;$A745)),$AB$3:AB744),1000))</f>
        <v>0</v>
      </c>
      <c r="V745" s="126">
        <f t="shared" si="231"/>
        <v>0</v>
      </c>
      <c r="W745">
        <f t="shared" si="232"/>
        <v>0</v>
      </c>
      <c r="X745">
        <f t="shared" si="233"/>
        <v>0</v>
      </c>
      <c r="Y745">
        <f t="shared" si="234"/>
        <v>0</v>
      </c>
      <c r="Z745">
        <f t="shared" si="235"/>
        <v>0</v>
      </c>
      <c r="AA745">
        <f>IF($D745="",0,IF($F745&lt;2,0,IF($E745="Win",('Guide &amp; Settings'!$C$42/(($F745-1)*COUNTIFS($A$4:$A$1510,$A745,$E$4:$E$1510,"Win")))*SUMIFS($Z$4:$Z$1510,$A$4:$A$1510,$A745,$E$4:$E$1510,"Loss"),-('Guide &amp; Settings'!$C$42/($F745-1))*$Z745)))</f>
        <v>0</v>
      </c>
      <c r="AB745" s="126">
        <f t="shared" si="236"/>
        <v>0</v>
      </c>
      <c r="AC745" s="126" t="str">
        <f>IF($D745="","",IF($AD745=0,0,IF(COUNTIFS($D$4:$D745,$D745,$B$4:$B745,$B745)&gt;1,0,IF($B745&lt;'Guide &amp; Settings'!$C$50,0,IF(($B745-$AD745)/7-'Guide &amp; Settings'!$C$48&gt;=0,(INT(($B745-$AD745)/7-'Guide &amp; Settings'!$C$48)+1)*'Guide &amp; Settings'!$C$49,0)))))</f>
        <v/>
      </c>
      <c r="AD745" s="142">
        <f t="shared" si="237"/>
        <v>0</v>
      </c>
      <c r="AE745">
        <f t="shared" si="238"/>
        <v>0</v>
      </c>
      <c r="AF745">
        <f t="shared" si="239"/>
        <v>0</v>
      </c>
    </row>
    <row r="746" spans="1:32" x14ac:dyDescent="0.2">
      <c r="A746" s="117"/>
      <c r="B746" s="118"/>
      <c r="C746" s="119"/>
      <c r="D746" s="119"/>
      <c r="E746" s="117"/>
      <c r="F746" s="120">
        <f t="shared" si="220"/>
        <v>0</v>
      </c>
      <c r="G746" s="121" t="str">
        <f t="shared" si="221"/>
        <v/>
      </c>
      <c r="H746" s="122">
        <f>IF($D746="",0,IFERROR(LOOKUP(2,1/(($D$3:D745=$D746)*($A$3:A745&lt;$A746)),$N$3:N745),'Guide &amp; Settings'!$C$41))</f>
        <v>0</v>
      </c>
      <c r="I746" s="123">
        <f t="shared" si="222"/>
        <v>0</v>
      </c>
      <c r="J746" s="124">
        <f>IF($D746="",0,IF($F746&lt;2,0,IF($E746="Win",('Guide &amp; Settings'!$C$42/(($F746-1)*COUNTIFS($A$4:$A$1510,$A746,$E$4:$E$1510,"Win")))*SUMIFS($X$4:$X$1510,$A$4:$A$1510,$A746,$E$4:$E$1510,"Loss"),-('Guide &amp; Settings'!$C$42/($F746-1))*$X746)))</f>
        <v>0</v>
      </c>
      <c r="K746" s="124">
        <f>IF($D746="",0,'Guide &amp; Settings'!$C$43*(IF($E746="Win",1,0)-$I746))</f>
        <v>0</v>
      </c>
      <c r="L746" s="125">
        <f>IF($D746="",0,'Guide &amp; Settings'!$C$44*IF($F746&gt;=3,$F746,0))</f>
        <v>0</v>
      </c>
      <c r="M746" s="124">
        <f t="shared" si="223"/>
        <v>0</v>
      </c>
      <c r="N746" s="122">
        <f t="shared" si="224"/>
        <v>0</v>
      </c>
      <c r="O746" s="121" t="str">
        <f t="shared" si="225"/>
        <v/>
      </c>
      <c r="P746">
        <f t="shared" si="226"/>
        <v>0</v>
      </c>
      <c r="Q746">
        <f t="shared" si="227"/>
        <v>0</v>
      </c>
      <c r="R746">
        <f t="shared" si="228"/>
        <v>0</v>
      </c>
      <c r="S746">
        <f t="shared" si="229"/>
        <v>0</v>
      </c>
      <c r="T746" s="89">
        <f t="shared" si="230"/>
        <v>0</v>
      </c>
      <c r="U746" s="126">
        <f>IF($D746="",0,IFERROR(LOOKUP(2,1/(($D$3:D745=$D746)*($C$3:C745=$C746)*($A$3:A745&lt;$A746)),$AB$3:AB745),1000))</f>
        <v>0</v>
      </c>
      <c r="V746" s="126">
        <f t="shared" si="231"/>
        <v>0</v>
      </c>
      <c r="W746">
        <f t="shared" si="232"/>
        <v>0</v>
      </c>
      <c r="X746">
        <f t="shared" si="233"/>
        <v>0</v>
      </c>
      <c r="Y746">
        <f t="shared" si="234"/>
        <v>0</v>
      </c>
      <c r="Z746">
        <f t="shared" si="235"/>
        <v>0</v>
      </c>
      <c r="AA746">
        <f>IF($D746="",0,IF($F746&lt;2,0,IF($E746="Win",('Guide &amp; Settings'!$C$42/(($F746-1)*COUNTIFS($A$4:$A$1510,$A746,$E$4:$E$1510,"Win")))*SUMIFS($Z$4:$Z$1510,$A$4:$A$1510,$A746,$E$4:$E$1510,"Loss"),-('Guide &amp; Settings'!$C$42/($F746-1))*$Z746)))</f>
        <v>0</v>
      </c>
      <c r="AB746" s="126">
        <f t="shared" si="236"/>
        <v>0</v>
      </c>
      <c r="AC746" s="126" t="str">
        <f>IF($D746="","",IF($AD746=0,0,IF(COUNTIFS($D$4:$D746,$D746,$B$4:$B746,$B746)&gt;1,0,IF($B746&lt;'Guide &amp; Settings'!$C$50,0,IF(($B746-$AD746)/7-'Guide &amp; Settings'!$C$48&gt;=0,(INT(($B746-$AD746)/7-'Guide &amp; Settings'!$C$48)+1)*'Guide &amp; Settings'!$C$49,0)))))</f>
        <v/>
      </c>
      <c r="AD746" s="142">
        <f t="shared" si="237"/>
        <v>0</v>
      </c>
      <c r="AE746">
        <f t="shared" si="238"/>
        <v>0</v>
      </c>
      <c r="AF746">
        <f t="shared" si="239"/>
        <v>0</v>
      </c>
    </row>
    <row r="747" spans="1:32" x14ac:dyDescent="0.2">
      <c r="A747" s="117"/>
      <c r="B747" s="118"/>
      <c r="C747" s="119"/>
      <c r="D747" s="119"/>
      <c r="E747" s="117"/>
      <c r="F747" s="120">
        <f t="shared" si="220"/>
        <v>0</v>
      </c>
      <c r="G747" s="121" t="str">
        <f t="shared" si="221"/>
        <v/>
      </c>
      <c r="H747" s="122">
        <f>IF($D747="",0,IFERROR(LOOKUP(2,1/(($D$3:D746=$D747)*($A$3:A746&lt;$A747)),$N$3:N746),'Guide &amp; Settings'!$C$41))</f>
        <v>0</v>
      </c>
      <c r="I747" s="123">
        <f t="shared" si="222"/>
        <v>0</v>
      </c>
      <c r="J747" s="124">
        <f>IF($D747="",0,IF($F747&lt;2,0,IF($E747="Win",('Guide &amp; Settings'!$C$42/(($F747-1)*COUNTIFS($A$4:$A$1510,$A747,$E$4:$E$1510,"Win")))*SUMIFS($X$4:$X$1510,$A$4:$A$1510,$A747,$E$4:$E$1510,"Loss"),-('Guide &amp; Settings'!$C$42/($F747-1))*$X747)))</f>
        <v>0</v>
      </c>
      <c r="K747" s="124">
        <f>IF($D747="",0,'Guide &amp; Settings'!$C$43*(IF($E747="Win",1,0)-$I747))</f>
        <v>0</v>
      </c>
      <c r="L747" s="125">
        <f>IF($D747="",0,'Guide &amp; Settings'!$C$44*IF($F747&gt;=3,$F747,0))</f>
        <v>0</v>
      </c>
      <c r="M747" s="124">
        <f t="shared" si="223"/>
        <v>0</v>
      </c>
      <c r="N747" s="122">
        <f t="shared" si="224"/>
        <v>0</v>
      </c>
      <c r="O747" s="121" t="str">
        <f t="shared" si="225"/>
        <v/>
      </c>
      <c r="P747">
        <f t="shared" si="226"/>
        <v>0</v>
      </c>
      <c r="Q747">
        <f t="shared" si="227"/>
        <v>0</v>
      </c>
      <c r="R747">
        <f t="shared" si="228"/>
        <v>0</v>
      </c>
      <c r="S747">
        <f t="shared" si="229"/>
        <v>0</v>
      </c>
      <c r="T747" s="89">
        <f t="shared" si="230"/>
        <v>0</v>
      </c>
      <c r="U747" s="126">
        <f>IF($D747="",0,IFERROR(LOOKUP(2,1/(($D$3:D746=$D747)*($C$3:C746=$C747)*($A$3:A746&lt;$A747)),$AB$3:AB746),1000))</f>
        <v>0</v>
      </c>
      <c r="V747" s="126">
        <f t="shared" si="231"/>
        <v>0</v>
      </c>
      <c r="W747">
        <f t="shared" si="232"/>
        <v>0</v>
      </c>
      <c r="X747">
        <f t="shared" si="233"/>
        <v>0</v>
      </c>
      <c r="Y747">
        <f t="shared" si="234"/>
        <v>0</v>
      </c>
      <c r="Z747">
        <f t="shared" si="235"/>
        <v>0</v>
      </c>
      <c r="AA747">
        <f>IF($D747="",0,IF($F747&lt;2,0,IF($E747="Win",('Guide &amp; Settings'!$C$42/(($F747-1)*COUNTIFS($A$4:$A$1510,$A747,$E$4:$E$1510,"Win")))*SUMIFS($Z$4:$Z$1510,$A$4:$A$1510,$A747,$E$4:$E$1510,"Loss"),-('Guide &amp; Settings'!$C$42/($F747-1))*$Z747)))</f>
        <v>0</v>
      </c>
      <c r="AB747" s="126">
        <f t="shared" si="236"/>
        <v>0</v>
      </c>
      <c r="AC747" s="126" t="str">
        <f>IF($D747="","",IF($AD747=0,0,IF(COUNTIFS($D$4:$D747,$D747,$B$4:$B747,$B747)&gt;1,0,IF($B747&lt;'Guide &amp; Settings'!$C$50,0,IF(($B747-$AD747)/7-'Guide &amp; Settings'!$C$48&gt;=0,(INT(($B747-$AD747)/7-'Guide &amp; Settings'!$C$48)+1)*'Guide &amp; Settings'!$C$49,0)))))</f>
        <v/>
      </c>
      <c r="AD747" s="142">
        <f t="shared" si="237"/>
        <v>0</v>
      </c>
      <c r="AE747">
        <f t="shared" si="238"/>
        <v>0</v>
      </c>
      <c r="AF747">
        <f t="shared" si="239"/>
        <v>0</v>
      </c>
    </row>
    <row r="748" spans="1:32" x14ac:dyDescent="0.2">
      <c r="A748" s="117"/>
      <c r="B748" s="118"/>
      <c r="C748" s="119"/>
      <c r="D748" s="119"/>
      <c r="E748" s="117"/>
      <c r="F748" s="120">
        <f t="shared" si="220"/>
        <v>0</v>
      </c>
      <c r="G748" s="121" t="str">
        <f t="shared" si="221"/>
        <v/>
      </c>
      <c r="H748" s="122">
        <f>IF($D748="",0,IFERROR(LOOKUP(2,1/(($D$3:D747=$D748)*($A$3:A747&lt;$A748)),$N$3:N747),'Guide &amp; Settings'!$C$41))</f>
        <v>0</v>
      </c>
      <c r="I748" s="123">
        <f t="shared" si="222"/>
        <v>0</v>
      </c>
      <c r="J748" s="124">
        <f>IF($D748="",0,IF($F748&lt;2,0,IF($E748="Win",('Guide &amp; Settings'!$C$42/(($F748-1)*COUNTIFS($A$4:$A$1510,$A748,$E$4:$E$1510,"Win")))*SUMIFS($X$4:$X$1510,$A$4:$A$1510,$A748,$E$4:$E$1510,"Loss"),-('Guide &amp; Settings'!$C$42/($F748-1))*$X748)))</f>
        <v>0</v>
      </c>
      <c r="K748" s="124">
        <f>IF($D748="",0,'Guide &amp; Settings'!$C$43*(IF($E748="Win",1,0)-$I748))</f>
        <v>0</v>
      </c>
      <c r="L748" s="125">
        <f>IF($D748="",0,'Guide &amp; Settings'!$C$44*IF($F748&gt;=3,$F748,0))</f>
        <v>0</v>
      </c>
      <c r="M748" s="124">
        <f t="shared" si="223"/>
        <v>0</v>
      </c>
      <c r="N748" s="122">
        <f t="shared" si="224"/>
        <v>0</v>
      </c>
      <c r="O748" s="121" t="str">
        <f t="shared" si="225"/>
        <v/>
      </c>
      <c r="P748">
        <f t="shared" si="226"/>
        <v>0</v>
      </c>
      <c r="Q748">
        <f t="shared" si="227"/>
        <v>0</v>
      </c>
      <c r="R748">
        <f t="shared" si="228"/>
        <v>0</v>
      </c>
      <c r="S748">
        <f t="shared" si="229"/>
        <v>0</v>
      </c>
      <c r="T748" s="89">
        <f t="shared" si="230"/>
        <v>0</v>
      </c>
      <c r="U748" s="126">
        <f>IF($D748="",0,IFERROR(LOOKUP(2,1/(($D$3:D747=$D748)*($C$3:C747=$C748)*($A$3:A747&lt;$A748)),$AB$3:AB747),1000))</f>
        <v>0</v>
      </c>
      <c r="V748" s="126">
        <f t="shared" si="231"/>
        <v>0</v>
      </c>
      <c r="W748">
        <f t="shared" si="232"/>
        <v>0</v>
      </c>
      <c r="X748">
        <f t="shared" si="233"/>
        <v>0</v>
      </c>
      <c r="Y748">
        <f t="shared" si="234"/>
        <v>0</v>
      </c>
      <c r="Z748">
        <f t="shared" si="235"/>
        <v>0</v>
      </c>
      <c r="AA748">
        <f>IF($D748="",0,IF($F748&lt;2,0,IF($E748="Win",('Guide &amp; Settings'!$C$42/(($F748-1)*COUNTIFS($A$4:$A$1510,$A748,$E$4:$E$1510,"Win")))*SUMIFS($Z$4:$Z$1510,$A$4:$A$1510,$A748,$E$4:$E$1510,"Loss"),-('Guide &amp; Settings'!$C$42/($F748-1))*$Z748)))</f>
        <v>0</v>
      </c>
      <c r="AB748" s="126">
        <f t="shared" si="236"/>
        <v>0</v>
      </c>
      <c r="AC748" s="126" t="str">
        <f>IF($D748="","",IF($AD748=0,0,IF(COUNTIFS($D$4:$D748,$D748,$B$4:$B748,$B748)&gt;1,0,IF($B748&lt;'Guide &amp; Settings'!$C$50,0,IF(($B748-$AD748)/7-'Guide &amp; Settings'!$C$48&gt;=0,(INT(($B748-$AD748)/7-'Guide &amp; Settings'!$C$48)+1)*'Guide &amp; Settings'!$C$49,0)))))</f>
        <v/>
      </c>
      <c r="AD748" s="142">
        <f t="shared" si="237"/>
        <v>0</v>
      </c>
      <c r="AE748">
        <f t="shared" si="238"/>
        <v>0</v>
      </c>
      <c r="AF748">
        <f t="shared" si="239"/>
        <v>0</v>
      </c>
    </row>
    <row r="749" spans="1:32" x14ac:dyDescent="0.2">
      <c r="A749" s="117"/>
      <c r="B749" s="118"/>
      <c r="C749" s="119"/>
      <c r="D749" s="119"/>
      <c r="E749" s="117"/>
      <c r="F749" s="120">
        <f t="shared" si="220"/>
        <v>0</v>
      </c>
      <c r="G749" s="121" t="str">
        <f t="shared" si="221"/>
        <v/>
      </c>
      <c r="H749" s="122">
        <f>IF($D749="",0,IFERROR(LOOKUP(2,1/(($D$3:D748=$D749)*($A$3:A748&lt;$A749)),$N$3:N748),'Guide &amp; Settings'!$C$41))</f>
        <v>0</v>
      </c>
      <c r="I749" s="123">
        <f t="shared" si="222"/>
        <v>0</v>
      </c>
      <c r="J749" s="124">
        <f>IF($D749="",0,IF($F749&lt;2,0,IF($E749="Win",('Guide &amp; Settings'!$C$42/(($F749-1)*COUNTIFS($A$4:$A$1510,$A749,$E$4:$E$1510,"Win")))*SUMIFS($X$4:$X$1510,$A$4:$A$1510,$A749,$E$4:$E$1510,"Loss"),-('Guide &amp; Settings'!$C$42/($F749-1))*$X749)))</f>
        <v>0</v>
      </c>
      <c r="K749" s="124">
        <f>IF($D749="",0,'Guide &amp; Settings'!$C$43*(IF($E749="Win",1,0)-$I749))</f>
        <v>0</v>
      </c>
      <c r="L749" s="125">
        <f>IF($D749="",0,'Guide &amp; Settings'!$C$44*IF($F749&gt;=3,$F749,0))</f>
        <v>0</v>
      </c>
      <c r="M749" s="124">
        <f t="shared" si="223"/>
        <v>0</v>
      </c>
      <c r="N749" s="122">
        <f t="shared" si="224"/>
        <v>0</v>
      </c>
      <c r="O749" s="121" t="str">
        <f t="shared" si="225"/>
        <v/>
      </c>
      <c r="P749">
        <f t="shared" si="226"/>
        <v>0</v>
      </c>
      <c r="Q749">
        <f t="shared" si="227"/>
        <v>0</v>
      </c>
      <c r="R749">
        <f t="shared" si="228"/>
        <v>0</v>
      </c>
      <c r="S749">
        <f t="shared" si="229"/>
        <v>0</v>
      </c>
      <c r="T749" s="89">
        <f t="shared" si="230"/>
        <v>0</v>
      </c>
      <c r="U749" s="126">
        <f>IF($D749="",0,IFERROR(LOOKUP(2,1/(($D$3:D748=$D749)*($C$3:C748=$C749)*($A$3:A748&lt;$A749)),$AB$3:AB748),1000))</f>
        <v>0</v>
      </c>
      <c r="V749" s="126">
        <f t="shared" si="231"/>
        <v>0</v>
      </c>
      <c r="W749">
        <f t="shared" si="232"/>
        <v>0</v>
      </c>
      <c r="X749">
        <f t="shared" si="233"/>
        <v>0</v>
      </c>
      <c r="Y749">
        <f t="shared" si="234"/>
        <v>0</v>
      </c>
      <c r="Z749">
        <f t="shared" si="235"/>
        <v>0</v>
      </c>
      <c r="AA749">
        <f>IF($D749="",0,IF($F749&lt;2,0,IF($E749="Win",('Guide &amp; Settings'!$C$42/(($F749-1)*COUNTIFS($A$4:$A$1510,$A749,$E$4:$E$1510,"Win")))*SUMIFS($Z$4:$Z$1510,$A$4:$A$1510,$A749,$E$4:$E$1510,"Loss"),-('Guide &amp; Settings'!$C$42/($F749-1))*$Z749)))</f>
        <v>0</v>
      </c>
      <c r="AB749" s="126">
        <f t="shared" si="236"/>
        <v>0</v>
      </c>
      <c r="AC749" s="126" t="str">
        <f>IF($D749="","",IF($AD749=0,0,IF(COUNTIFS($D$4:$D749,$D749,$B$4:$B749,$B749)&gt;1,0,IF($B749&lt;'Guide &amp; Settings'!$C$50,0,IF(($B749-$AD749)/7-'Guide &amp; Settings'!$C$48&gt;=0,(INT(($B749-$AD749)/7-'Guide &amp; Settings'!$C$48)+1)*'Guide &amp; Settings'!$C$49,0)))))</f>
        <v/>
      </c>
      <c r="AD749" s="142">
        <f t="shared" si="237"/>
        <v>0</v>
      </c>
      <c r="AE749">
        <f t="shared" si="238"/>
        <v>0</v>
      </c>
      <c r="AF749">
        <f t="shared" si="239"/>
        <v>0</v>
      </c>
    </row>
    <row r="750" spans="1:32" x14ac:dyDescent="0.2">
      <c r="A750" s="117"/>
      <c r="B750" s="118"/>
      <c r="C750" s="119"/>
      <c r="D750" s="119"/>
      <c r="E750" s="117"/>
      <c r="F750" s="120">
        <f t="shared" si="220"/>
        <v>0</v>
      </c>
      <c r="G750" s="121" t="str">
        <f t="shared" si="221"/>
        <v/>
      </c>
      <c r="H750" s="122">
        <f>IF($D750="",0,IFERROR(LOOKUP(2,1/(($D$3:D749=$D750)*($A$3:A749&lt;$A750)),$N$3:N749),'Guide &amp; Settings'!$C$41))</f>
        <v>0</v>
      </c>
      <c r="I750" s="123">
        <f t="shared" si="222"/>
        <v>0</v>
      </c>
      <c r="J750" s="124">
        <f>IF($D750="",0,IF($F750&lt;2,0,IF($E750="Win",('Guide &amp; Settings'!$C$42/(($F750-1)*COUNTIFS($A$4:$A$1510,$A750,$E$4:$E$1510,"Win")))*SUMIFS($X$4:$X$1510,$A$4:$A$1510,$A750,$E$4:$E$1510,"Loss"),-('Guide &amp; Settings'!$C$42/($F750-1))*$X750)))</f>
        <v>0</v>
      </c>
      <c r="K750" s="124">
        <f>IF($D750="",0,'Guide &amp; Settings'!$C$43*(IF($E750="Win",1,0)-$I750))</f>
        <v>0</v>
      </c>
      <c r="L750" s="125">
        <f>IF($D750="",0,'Guide &amp; Settings'!$C$44*IF($F750&gt;=3,$F750,0))</f>
        <v>0</v>
      </c>
      <c r="M750" s="124">
        <f t="shared" si="223"/>
        <v>0</v>
      </c>
      <c r="N750" s="122">
        <f t="shared" si="224"/>
        <v>0</v>
      </c>
      <c r="O750" s="121" t="str">
        <f t="shared" si="225"/>
        <v/>
      </c>
      <c r="P750">
        <f t="shared" si="226"/>
        <v>0</v>
      </c>
      <c r="Q750">
        <f t="shared" si="227"/>
        <v>0</v>
      </c>
      <c r="R750">
        <f t="shared" si="228"/>
        <v>0</v>
      </c>
      <c r="S750">
        <f t="shared" si="229"/>
        <v>0</v>
      </c>
      <c r="T750" s="89">
        <f t="shared" si="230"/>
        <v>0</v>
      </c>
      <c r="U750" s="126">
        <f>IF($D750="",0,IFERROR(LOOKUP(2,1/(($D$3:D749=$D750)*($C$3:C749=$C750)*($A$3:A749&lt;$A750)),$AB$3:AB749),1000))</f>
        <v>0</v>
      </c>
      <c r="V750" s="126">
        <f t="shared" si="231"/>
        <v>0</v>
      </c>
      <c r="W750">
        <f t="shared" si="232"/>
        <v>0</v>
      </c>
      <c r="X750">
        <f t="shared" si="233"/>
        <v>0</v>
      </c>
      <c r="Y750">
        <f t="shared" si="234"/>
        <v>0</v>
      </c>
      <c r="Z750">
        <f t="shared" si="235"/>
        <v>0</v>
      </c>
      <c r="AA750">
        <f>IF($D750="",0,IF($F750&lt;2,0,IF($E750="Win",('Guide &amp; Settings'!$C$42/(($F750-1)*COUNTIFS($A$4:$A$1510,$A750,$E$4:$E$1510,"Win")))*SUMIFS($Z$4:$Z$1510,$A$4:$A$1510,$A750,$E$4:$E$1510,"Loss"),-('Guide &amp; Settings'!$C$42/($F750-1))*$Z750)))</f>
        <v>0</v>
      </c>
      <c r="AB750" s="126">
        <f t="shared" si="236"/>
        <v>0</v>
      </c>
      <c r="AC750" s="126" t="str">
        <f>IF($D750="","",IF($AD750=0,0,IF(COUNTIFS($D$4:$D750,$D750,$B$4:$B750,$B750)&gt;1,0,IF($B750&lt;'Guide &amp; Settings'!$C$50,0,IF(($B750-$AD750)/7-'Guide &amp; Settings'!$C$48&gt;=0,(INT(($B750-$AD750)/7-'Guide &amp; Settings'!$C$48)+1)*'Guide &amp; Settings'!$C$49,0)))))</f>
        <v/>
      </c>
      <c r="AD750" s="142">
        <f t="shared" si="237"/>
        <v>0</v>
      </c>
      <c r="AE750">
        <f t="shared" si="238"/>
        <v>0</v>
      </c>
      <c r="AF750">
        <f t="shared" si="239"/>
        <v>0</v>
      </c>
    </row>
    <row r="751" spans="1:32" x14ac:dyDescent="0.2">
      <c r="A751" s="117"/>
      <c r="B751" s="118"/>
      <c r="C751" s="119"/>
      <c r="D751" s="119"/>
      <c r="E751" s="117"/>
      <c r="F751" s="120">
        <f t="shared" si="220"/>
        <v>0</v>
      </c>
      <c r="G751" s="121" t="str">
        <f t="shared" si="221"/>
        <v/>
      </c>
      <c r="H751" s="122">
        <f>IF($D751="",0,IFERROR(LOOKUP(2,1/(($D$3:D750=$D751)*($A$3:A750&lt;$A751)),$N$3:N750),'Guide &amp; Settings'!$C$41))</f>
        <v>0</v>
      </c>
      <c r="I751" s="123">
        <f t="shared" si="222"/>
        <v>0</v>
      </c>
      <c r="J751" s="124">
        <f>IF($D751="",0,IF($F751&lt;2,0,IF($E751="Win",('Guide &amp; Settings'!$C$42/(($F751-1)*COUNTIFS($A$4:$A$1510,$A751,$E$4:$E$1510,"Win")))*SUMIFS($X$4:$X$1510,$A$4:$A$1510,$A751,$E$4:$E$1510,"Loss"),-('Guide &amp; Settings'!$C$42/($F751-1))*$X751)))</f>
        <v>0</v>
      </c>
      <c r="K751" s="124">
        <f>IF($D751="",0,'Guide &amp; Settings'!$C$43*(IF($E751="Win",1,0)-$I751))</f>
        <v>0</v>
      </c>
      <c r="L751" s="125">
        <f>IF($D751="",0,'Guide &amp; Settings'!$C$44*IF($F751&gt;=3,$F751,0))</f>
        <v>0</v>
      </c>
      <c r="M751" s="124">
        <f t="shared" si="223"/>
        <v>0</v>
      </c>
      <c r="N751" s="122">
        <f t="shared" si="224"/>
        <v>0</v>
      </c>
      <c r="O751" s="121" t="str">
        <f t="shared" si="225"/>
        <v/>
      </c>
      <c r="P751">
        <f t="shared" si="226"/>
        <v>0</v>
      </c>
      <c r="Q751">
        <f t="shared" si="227"/>
        <v>0</v>
      </c>
      <c r="R751">
        <f t="shared" si="228"/>
        <v>0</v>
      </c>
      <c r="S751">
        <f t="shared" si="229"/>
        <v>0</v>
      </c>
      <c r="T751" s="89">
        <f t="shared" si="230"/>
        <v>0</v>
      </c>
      <c r="U751" s="126">
        <f>IF($D751="",0,IFERROR(LOOKUP(2,1/(($D$3:D750=$D751)*($C$3:C750=$C751)*($A$3:A750&lt;$A751)),$AB$3:AB750),1000))</f>
        <v>0</v>
      </c>
      <c r="V751" s="126">
        <f t="shared" si="231"/>
        <v>0</v>
      </c>
      <c r="W751">
        <f t="shared" si="232"/>
        <v>0</v>
      </c>
      <c r="X751">
        <f t="shared" si="233"/>
        <v>0</v>
      </c>
      <c r="Y751">
        <f t="shared" si="234"/>
        <v>0</v>
      </c>
      <c r="Z751">
        <f t="shared" si="235"/>
        <v>0</v>
      </c>
      <c r="AA751">
        <f>IF($D751="",0,IF($F751&lt;2,0,IF($E751="Win",('Guide &amp; Settings'!$C$42/(($F751-1)*COUNTIFS($A$4:$A$1510,$A751,$E$4:$E$1510,"Win")))*SUMIFS($Z$4:$Z$1510,$A$4:$A$1510,$A751,$E$4:$E$1510,"Loss"),-('Guide &amp; Settings'!$C$42/($F751-1))*$Z751)))</f>
        <v>0</v>
      </c>
      <c r="AB751" s="126">
        <f t="shared" si="236"/>
        <v>0</v>
      </c>
      <c r="AC751" s="126" t="str">
        <f>IF($D751="","",IF($AD751=0,0,IF(COUNTIFS($D$4:$D751,$D751,$B$4:$B751,$B751)&gt;1,0,IF($B751&lt;'Guide &amp; Settings'!$C$50,0,IF(($B751-$AD751)/7-'Guide &amp; Settings'!$C$48&gt;=0,(INT(($B751-$AD751)/7-'Guide &amp; Settings'!$C$48)+1)*'Guide &amp; Settings'!$C$49,0)))))</f>
        <v/>
      </c>
      <c r="AD751" s="142">
        <f t="shared" si="237"/>
        <v>0</v>
      </c>
      <c r="AE751">
        <f t="shared" si="238"/>
        <v>0</v>
      </c>
      <c r="AF751">
        <f t="shared" si="239"/>
        <v>0</v>
      </c>
    </row>
    <row r="752" spans="1:32" x14ac:dyDescent="0.2">
      <c r="A752" s="117"/>
      <c r="B752" s="118"/>
      <c r="C752" s="119"/>
      <c r="D752" s="119"/>
      <c r="E752" s="117"/>
      <c r="F752" s="120">
        <f t="shared" si="220"/>
        <v>0</v>
      </c>
      <c r="G752" s="121" t="str">
        <f t="shared" si="221"/>
        <v/>
      </c>
      <c r="H752" s="122">
        <f>IF($D752="",0,IFERROR(LOOKUP(2,1/(($D$3:D751=$D752)*($A$3:A751&lt;$A752)),$N$3:N751),'Guide &amp; Settings'!$C$41))</f>
        <v>0</v>
      </c>
      <c r="I752" s="123">
        <f t="shared" si="222"/>
        <v>0</v>
      </c>
      <c r="J752" s="124">
        <f>IF($D752="",0,IF($F752&lt;2,0,IF($E752="Win",('Guide &amp; Settings'!$C$42/(($F752-1)*COUNTIFS($A$4:$A$1510,$A752,$E$4:$E$1510,"Win")))*SUMIFS($X$4:$X$1510,$A$4:$A$1510,$A752,$E$4:$E$1510,"Loss"),-('Guide &amp; Settings'!$C$42/($F752-1))*$X752)))</f>
        <v>0</v>
      </c>
      <c r="K752" s="124">
        <f>IF($D752="",0,'Guide &amp; Settings'!$C$43*(IF($E752="Win",1,0)-$I752))</f>
        <v>0</v>
      </c>
      <c r="L752" s="125">
        <f>IF($D752="",0,'Guide &amp; Settings'!$C$44*IF($F752&gt;=3,$F752,0))</f>
        <v>0</v>
      </c>
      <c r="M752" s="124">
        <f t="shared" si="223"/>
        <v>0</v>
      </c>
      <c r="N752" s="122">
        <f t="shared" si="224"/>
        <v>0</v>
      </c>
      <c r="O752" s="121" t="str">
        <f t="shared" si="225"/>
        <v/>
      </c>
      <c r="P752">
        <f t="shared" si="226"/>
        <v>0</v>
      </c>
      <c r="Q752">
        <f t="shared" si="227"/>
        <v>0</v>
      </c>
      <c r="R752">
        <f t="shared" si="228"/>
        <v>0</v>
      </c>
      <c r="S752">
        <f t="shared" si="229"/>
        <v>0</v>
      </c>
      <c r="T752" s="89">
        <f t="shared" si="230"/>
        <v>0</v>
      </c>
      <c r="U752" s="126">
        <f>IF($D752="",0,IFERROR(LOOKUP(2,1/(($D$3:D751=$D752)*($C$3:C751=$C752)*($A$3:A751&lt;$A752)),$AB$3:AB751),1000))</f>
        <v>0</v>
      </c>
      <c r="V752" s="126">
        <f t="shared" si="231"/>
        <v>0</v>
      </c>
      <c r="W752">
        <f t="shared" si="232"/>
        <v>0</v>
      </c>
      <c r="X752">
        <f t="shared" si="233"/>
        <v>0</v>
      </c>
      <c r="Y752">
        <f t="shared" si="234"/>
        <v>0</v>
      </c>
      <c r="Z752">
        <f t="shared" si="235"/>
        <v>0</v>
      </c>
      <c r="AA752">
        <f>IF($D752="",0,IF($F752&lt;2,0,IF($E752="Win",('Guide &amp; Settings'!$C$42/(($F752-1)*COUNTIFS($A$4:$A$1510,$A752,$E$4:$E$1510,"Win")))*SUMIFS($Z$4:$Z$1510,$A$4:$A$1510,$A752,$E$4:$E$1510,"Loss"),-('Guide &amp; Settings'!$C$42/($F752-1))*$Z752)))</f>
        <v>0</v>
      </c>
      <c r="AB752" s="126">
        <f t="shared" si="236"/>
        <v>0</v>
      </c>
      <c r="AC752" s="126" t="str">
        <f>IF($D752="","",IF($AD752=0,0,IF(COUNTIFS($D$4:$D752,$D752,$B$4:$B752,$B752)&gt;1,0,IF($B752&lt;'Guide &amp; Settings'!$C$50,0,IF(($B752-$AD752)/7-'Guide &amp; Settings'!$C$48&gt;=0,(INT(($B752-$AD752)/7-'Guide &amp; Settings'!$C$48)+1)*'Guide &amp; Settings'!$C$49,0)))))</f>
        <v/>
      </c>
      <c r="AD752" s="142">
        <f t="shared" si="237"/>
        <v>0</v>
      </c>
      <c r="AE752">
        <f t="shared" si="238"/>
        <v>0</v>
      </c>
      <c r="AF752">
        <f t="shared" si="239"/>
        <v>0</v>
      </c>
    </row>
    <row r="753" spans="1:32" x14ac:dyDescent="0.2">
      <c r="A753" s="117"/>
      <c r="B753" s="118"/>
      <c r="C753" s="119"/>
      <c r="D753" s="119"/>
      <c r="E753" s="117"/>
      <c r="F753" s="120">
        <f t="shared" si="220"/>
        <v>0</v>
      </c>
      <c r="G753" s="121" t="str">
        <f t="shared" si="221"/>
        <v/>
      </c>
      <c r="H753" s="122">
        <f>IF($D753="",0,IFERROR(LOOKUP(2,1/(($D$3:D752=$D753)*($A$3:A752&lt;$A753)),$N$3:N752),'Guide &amp; Settings'!$C$41))</f>
        <v>0</v>
      </c>
      <c r="I753" s="123">
        <f t="shared" si="222"/>
        <v>0</v>
      </c>
      <c r="J753" s="124">
        <f>IF($D753="",0,IF($F753&lt;2,0,IF($E753="Win",('Guide &amp; Settings'!$C$42/(($F753-1)*COUNTIFS($A$4:$A$1510,$A753,$E$4:$E$1510,"Win")))*SUMIFS($X$4:$X$1510,$A$4:$A$1510,$A753,$E$4:$E$1510,"Loss"),-('Guide &amp; Settings'!$C$42/($F753-1))*$X753)))</f>
        <v>0</v>
      </c>
      <c r="K753" s="124">
        <f>IF($D753="",0,'Guide &amp; Settings'!$C$43*(IF($E753="Win",1,0)-$I753))</f>
        <v>0</v>
      </c>
      <c r="L753" s="125">
        <f>IF($D753="",0,'Guide &amp; Settings'!$C$44*IF($F753&gt;=3,$F753,0))</f>
        <v>0</v>
      </c>
      <c r="M753" s="124">
        <f t="shared" si="223"/>
        <v>0</v>
      </c>
      <c r="N753" s="122">
        <f t="shared" si="224"/>
        <v>0</v>
      </c>
      <c r="O753" s="121" t="str">
        <f t="shared" si="225"/>
        <v/>
      </c>
      <c r="P753">
        <f t="shared" si="226"/>
        <v>0</v>
      </c>
      <c r="Q753">
        <f t="shared" si="227"/>
        <v>0</v>
      </c>
      <c r="R753">
        <f t="shared" si="228"/>
        <v>0</v>
      </c>
      <c r="S753">
        <f t="shared" si="229"/>
        <v>0</v>
      </c>
      <c r="T753" s="89">
        <f t="shared" si="230"/>
        <v>0</v>
      </c>
      <c r="U753" s="126">
        <f>IF($D753="",0,IFERROR(LOOKUP(2,1/(($D$3:D752=$D753)*($C$3:C752=$C753)*($A$3:A752&lt;$A753)),$AB$3:AB752),1000))</f>
        <v>0</v>
      </c>
      <c r="V753" s="126">
        <f t="shared" si="231"/>
        <v>0</v>
      </c>
      <c r="W753">
        <f t="shared" si="232"/>
        <v>0</v>
      </c>
      <c r="X753">
        <f t="shared" si="233"/>
        <v>0</v>
      </c>
      <c r="Y753">
        <f t="shared" si="234"/>
        <v>0</v>
      </c>
      <c r="Z753">
        <f t="shared" si="235"/>
        <v>0</v>
      </c>
      <c r="AA753">
        <f>IF($D753="",0,IF($F753&lt;2,0,IF($E753="Win",('Guide &amp; Settings'!$C$42/(($F753-1)*COUNTIFS($A$4:$A$1510,$A753,$E$4:$E$1510,"Win")))*SUMIFS($Z$4:$Z$1510,$A$4:$A$1510,$A753,$E$4:$E$1510,"Loss"),-('Guide &amp; Settings'!$C$42/($F753-1))*$Z753)))</f>
        <v>0</v>
      </c>
      <c r="AB753" s="126">
        <f t="shared" si="236"/>
        <v>0</v>
      </c>
      <c r="AC753" s="126" t="str">
        <f>IF($D753="","",IF($AD753=0,0,IF(COUNTIFS($D$4:$D753,$D753,$B$4:$B753,$B753)&gt;1,0,IF($B753&lt;'Guide &amp; Settings'!$C$50,0,IF(($B753-$AD753)/7-'Guide &amp; Settings'!$C$48&gt;=0,(INT(($B753-$AD753)/7-'Guide &amp; Settings'!$C$48)+1)*'Guide &amp; Settings'!$C$49,0)))))</f>
        <v/>
      </c>
      <c r="AD753" s="142">
        <f t="shared" si="237"/>
        <v>0</v>
      </c>
      <c r="AE753">
        <f t="shared" si="238"/>
        <v>0</v>
      </c>
      <c r="AF753">
        <f t="shared" si="239"/>
        <v>0</v>
      </c>
    </row>
    <row r="754" spans="1:32" x14ac:dyDescent="0.2">
      <c r="A754" s="117"/>
      <c r="B754" s="118"/>
      <c r="C754" s="119"/>
      <c r="D754" s="119"/>
      <c r="E754" s="117"/>
      <c r="F754" s="120">
        <f t="shared" si="220"/>
        <v>0</v>
      </c>
      <c r="G754" s="121" t="str">
        <f t="shared" si="221"/>
        <v/>
      </c>
      <c r="H754" s="122">
        <f>IF($D754="",0,IFERROR(LOOKUP(2,1/(($D$3:D753=$D754)*($A$3:A753&lt;$A754)),$N$3:N753),'Guide &amp; Settings'!$C$41))</f>
        <v>0</v>
      </c>
      <c r="I754" s="123">
        <f t="shared" si="222"/>
        <v>0</v>
      </c>
      <c r="J754" s="124">
        <f>IF($D754="",0,IF($F754&lt;2,0,IF($E754="Win",('Guide &amp; Settings'!$C$42/(($F754-1)*COUNTIFS($A$4:$A$1510,$A754,$E$4:$E$1510,"Win")))*SUMIFS($X$4:$X$1510,$A$4:$A$1510,$A754,$E$4:$E$1510,"Loss"),-('Guide &amp; Settings'!$C$42/($F754-1))*$X754)))</f>
        <v>0</v>
      </c>
      <c r="K754" s="124">
        <f>IF($D754="",0,'Guide &amp; Settings'!$C$43*(IF($E754="Win",1,0)-$I754))</f>
        <v>0</v>
      </c>
      <c r="L754" s="125">
        <f>IF($D754="",0,'Guide &amp; Settings'!$C$44*IF($F754&gt;=3,$F754,0))</f>
        <v>0</v>
      </c>
      <c r="M754" s="124">
        <f t="shared" si="223"/>
        <v>0</v>
      </c>
      <c r="N754" s="122">
        <f t="shared" si="224"/>
        <v>0</v>
      </c>
      <c r="O754" s="121" t="str">
        <f t="shared" si="225"/>
        <v/>
      </c>
      <c r="P754">
        <f t="shared" si="226"/>
        <v>0</v>
      </c>
      <c r="Q754">
        <f t="shared" si="227"/>
        <v>0</v>
      </c>
      <c r="R754">
        <f t="shared" si="228"/>
        <v>0</v>
      </c>
      <c r="S754">
        <f t="shared" si="229"/>
        <v>0</v>
      </c>
      <c r="T754" s="89">
        <f t="shared" si="230"/>
        <v>0</v>
      </c>
      <c r="U754" s="126">
        <f>IF($D754="",0,IFERROR(LOOKUP(2,1/(($D$3:D753=$D754)*($C$3:C753=$C754)*($A$3:A753&lt;$A754)),$AB$3:AB753),1000))</f>
        <v>0</v>
      </c>
      <c r="V754" s="126">
        <f t="shared" si="231"/>
        <v>0</v>
      </c>
      <c r="W754">
        <f t="shared" si="232"/>
        <v>0</v>
      </c>
      <c r="X754">
        <f t="shared" si="233"/>
        <v>0</v>
      </c>
      <c r="Y754">
        <f t="shared" si="234"/>
        <v>0</v>
      </c>
      <c r="Z754">
        <f t="shared" si="235"/>
        <v>0</v>
      </c>
      <c r="AA754">
        <f>IF($D754="",0,IF($F754&lt;2,0,IF($E754="Win",('Guide &amp; Settings'!$C$42/(($F754-1)*COUNTIFS($A$4:$A$1510,$A754,$E$4:$E$1510,"Win")))*SUMIFS($Z$4:$Z$1510,$A$4:$A$1510,$A754,$E$4:$E$1510,"Loss"),-('Guide &amp; Settings'!$C$42/($F754-1))*$Z754)))</f>
        <v>0</v>
      </c>
      <c r="AB754" s="126">
        <f t="shared" si="236"/>
        <v>0</v>
      </c>
      <c r="AC754" s="126" t="str">
        <f>IF($D754="","",IF($AD754=0,0,IF(COUNTIFS($D$4:$D754,$D754,$B$4:$B754,$B754)&gt;1,0,IF($B754&lt;'Guide &amp; Settings'!$C$50,0,IF(($B754-$AD754)/7-'Guide &amp; Settings'!$C$48&gt;=0,(INT(($B754-$AD754)/7-'Guide &amp; Settings'!$C$48)+1)*'Guide &amp; Settings'!$C$49,0)))))</f>
        <v/>
      </c>
      <c r="AD754" s="142">
        <f t="shared" si="237"/>
        <v>0</v>
      </c>
      <c r="AE754">
        <f t="shared" si="238"/>
        <v>0</v>
      </c>
      <c r="AF754">
        <f t="shared" si="239"/>
        <v>0</v>
      </c>
    </row>
    <row r="755" spans="1:32" x14ac:dyDescent="0.2">
      <c r="A755" s="117"/>
      <c r="B755" s="118"/>
      <c r="C755" s="119"/>
      <c r="D755" s="119"/>
      <c r="E755" s="117"/>
      <c r="F755" s="120">
        <f t="shared" si="220"/>
        <v>0</v>
      </c>
      <c r="G755" s="121" t="str">
        <f t="shared" si="221"/>
        <v/>
      </c>
      <c r="H755" s="122">
        <f>IF($D755="",0,IFERROR(LOOKUP(2,1/(($D$3:D754=$D755)*($A$3:A754&lt;$A755)),$N$3:N754),'Guide &amp; Settings'!$C$41))</f>
        <v>0</v>
      </c>
      <c r="I755" s="123">
        <f t="shared" si="222"/>
        <v>0</v>
      </c>
      <c r="J755" s="124">
        <f>IF($D755="",0,IF($F755&lt;2,0,IF($E755="Win",('Guide &amp; Settings'!$C$42/(($F755-1)*COUNTIFS($A$4:$A$1510,$A755,$E$4:$E$1510,"Win")))*SUMIFS($X$4:$X$1510,$A$4:$A$1510,$A755,$E$4:$E$1510,"Loss"),-('Guide &amp; Settings'!$C$42/($F755-1))*$X755)))</f>
        <v>0</v>
      </c>
      <c r="K755" s="124">
        <f>IF($D755="",0,'Guide &amp; Settings'!$C$43*(IF($E755="Win",1,0)-$I755))</f>
        <v>0</v>
      </c>
      <c r="L755" s="125">
        <f>IF($D755="",0,'Guide &amp; Settings'!$C$44*IF($F755&gt;=3,$F755,0))</f>
        <v>0</v>
      </c>
      <c r="M755" s="124">
        <f t="shared" si="223"/>
        <v>0</v>
      </c>
      <c r="N755" s="122">
        <f t="shared" si="224"/>
        <v>0</v>
      </c>
      <c r="O755" s="121" t="str">
        <f t="shared" si="225"/>
        <v/>
      </c>
      <c r="P755">
        <f t="shared" si="226"/>
        <v>0</v>
      </c>
      <c r="Q755">
        <f t="shared" si="227"/>
        <v>0</v>
      </c>
      <c r="R755">
        <f t="shared" si="228"/>
        <v>0</v>
      </c>
      <c r="S755">
        <f t="shared" si="229"/>
        <v>0</v>
      </c>
      <c r="T755" s="89">
        <f t="shared" si="230"/>
        <v>0</v>
      </c>
      <c r="U755" s="126">
        <f>IF($D755="",0,IFERROR(LOOKUP(2,1/(($D$3:D754=$D755)*($C$3:C754=$C755)*($A$3:A754&lt;$A755)),$AB$3:AB754),1000))</f>
        <v>0</v>
      </c>
      <c r="V755" s="126">
        <f t="shared" si="231"/>
        <v>0</v>
      </c>
      <c r="W755">
        <f t="shared" si="232"/>
        <v>0</v>
      </c>
      <c r="X755">
        <f t="shared" si="233"/>
        <v>0</v>
      </c>
      <c r="Y755">
        <f t="shared" si="234"/>
        <v>0</v>
      </c>
      <c r="Z755">
        <f t="shared" si="235"/>
        <v>0</v>
      </c>
      <c r="AA755">
        <f>IF($D755="",0,IF($F755&lt;2,0,IF($E755="Win",('Guide &amp; Settings'!$C$42/(($F755-1)*COUNTIFS($A$4:$A$1510,$A755,$E$4:$E$1510,"Win")))*SUMIFS($Z$4:$Z$1510,$A$4:$A$1510,$A755,$E$4:$E$1510,"Loss"),-('Guide &amp; Settings'!$C$42/($F755-1))*$Z755)))</f>
        <v>0</v>
      </c>
      <c r="AB755" s="126">
        <f t="shared" si="236"/>
        <v>0</v>
      </c>
      <c r="AC755" s="126" t="str">
        <f>IF($D755="","",IF($AD755=0,0,IF(COUNTIFS($D$4:$D755,$D755,$B$4:$B755,$B755)&gt;1,0,IF($B755&lt;'Guide &amp; Settings'!$C$50,0,IF(($B755-$AD755)/7-'Guide &amp; Settings'!$C$48&gt;=0,(INT(($B755-$AD755)/7-'Guide &amp; Settings'!$C$48)+1)*'Guide &amp; Settings'!$C$49,0)))))</f>
        <v/>
      </c>
      <c r="AD755" s="142">
        <f t="shared" si="237"/>
        <v>0</v>
      </c>
      <c r="AE755">
        <f t="shared" si="238"/>
        <v>0</v>
      </c>
      <c r="AF755">
        <f t="shared" si="239"/>
        <v>0</v>
      </c>
    </row>
    <row r="756" spans="1:32" x14ac:dyDescent="0.2">
      <c r="A756" s="117"/>
      <c r="B756" s="118"/>
      <c r="C756" s="119"/>
      <c r="D756" s="119"/>
      <c r="E756" s="117"/>
      <c r="F756" s="120">
        <f t="shared" si="220"/>
        <v>0</v>
      </c>
      <c r="G756" s="121" t="str">
        <f t="shared" si="221"/>
        <v/>
      </c>
      <c r="H756" s="122">
        <f>IF($D756="",0,IFERROR(LOOKUP(2,1/(($D$3:D755=$D756)*($A$3:A755&lt;$A756)),$N$3:N755),'Guide &amp; Settings'!$C$41))</f>
        <v>0</v>
      </c>
      <c r="I756" s="123">
        <f t="shared" si="222"/>
        <v>0</v>
      </c>
      <c r="J756" s="124">
        <f>IF($D756="",0,IF($F756&lt;2,0,IF($E756="Win",('Guide &amp; Settings'!$C$42/(($F756-1)*COUNTIFS($A$4:$A$1510,$A756,$E$4:$E$1510,"Win")))*SUMIFS($X$4:$X$1510,$A$4:$A$1510,$A756,$E$4:$E$1510,"Loss"),-('Guide &amp; Settings'!$C$42/($F756-1))*$X756)))</f>
        <v>0</v>
      </c>
      <c r="K756" s="124">
        <f>IF($D756="",0,'Guide &amp; Settings'!$C$43*(IF($E756="Win",1,0)-$I756))</f>
        <v>0</v>
      </c>
      <c r="L756" s="125">
        <f>IF($D756="",0,'Guide &amp; Settings'!$C$44*IF($F756&gt;=3,$F756,0))</f>
        <v>0</v>
      </c>
      <c r="M756" s="124">
        <f t="shared" si="223"/>
        <v>0</v>
      </c>
      <c r="N756" s="122">
        <f t="shared" si="224"/>
        <v>0</v>
      </c>
      <c r="O756" s="121" t="str">
        <f t="shared" si="225"/>
        <v/>
      </c>
      <c r="P756">
        <f t="shared" si="226"/>
        <v>0</v>
      </c>
      <c r="Q756">
        <f t="shared" si="227"/>
        <v>0</v>
      </c>
      <c r="R756">
        <f t="shared" si="228"/>
        <v>0</v>
      </c>
      <c r="S756">
        <f t="shared" si="229"/>
        <v>0</v>
      </c>
      <c r="T756" s="89">
        <f t="shared" si="230"/>
        <v>0</v>
      </c>
      <c r="U756" s="126">
        <f>IF($D756="",0,IFERROR(LOOKUP(2,1/(($D$3:D755=$D756)*($C$3:C755=$C756)*($A$3:A755&lt;$A756)),$AB$3:AB755),1000))</f>
        <v>0</v>
      </c>
      <c r="V756" s="126">
        <f t="shared" si="231"/>
        <v>0</v>
      </c>
      <c r="W756">
        <f t="shared" si="232"/>
        <v>0</v>
      </c>
      <c r="X756">
        <f t="shared" si="233"/>
        <v>0</v>
      </c>
      <c r="Y756">
        <f t="shared" si="234"/>
        <v>0</v>
      </c>
      <c r="Z756">
        <f t="shared" si="235"/>
        <v>0</v>
      </c>
      <c r="AA756">
        <f>IF($D756="",0,IF($F756&lt;2,0,IF($E756="Win",('Guide &amp; Settings'!$C$42/(($F756-1)*COUNTIFS($A$4:$A$1510,$A756,$E$4:$E$1510,"Win")))*SUMIFS($Z$4:$Z$1510,$A$4:$A$1510,$A756,$E$4:$E$1510,"Loss"),-('Guide &amp; Settings'!$C$42/($F756-1))*$Z756)))</f>
        <v>0</v>
      </c>
      <c r="AB756" s="126">
        <f t="shared" si="236"/>
        <v>0</v>
      </c>
      <c r="AC756" s="126" t="str">
        <f>IF($D756="","",IF($AD756=0,0,IF(COUNTIFS($D$4:$D756,$D756,$B$4:$B756,$B756)&gt;1,0,IF($B756&lt;'Guide &amp; Settings'!$C$50,0,IF(($B756-$AD756)/7-'Guide &amp; Settings'!$C$48&gt;=0,(INT(($B756-$AD756)/7-'Guide &amp; Settings'!$C$48)+1)*'Guide &amp; Settings'!$C$49,0)))))</f>
        <v/>
      </c>
      <c r="AD756" s="142">
        <f t="shared" si="237"/>
        <v>0</v>
      </c>
      <c r="AE756">
        <f t="shared" si="238"/>
        <v>0</v>
      </c>
      <c r="AF756">
        <f t="shared" si="239"/>
        <v>0</v>
      </c>
    </row>
    <row r="757" spans="1:32" x14ac:dyDescent="0.2">
      <c r="A757" s="117"/>
      <c r="B757" s="118"/>
      <c r="C757" s="119"/>
      <c r="D757" s="119"/>
      <c r="E757" s="117"/>
      <c r="F757" s="120">
        <f t="shared" si="220"/>
        <v>0</v>
      </c>
      <c r="G757" s="121" t="str">
        <f t="shared" si="221"/>
        <v/>
      </c>
      <c r="H757" s="122">
        <f>IF($D757="",0,IFERROR(LOOKUP(2,1/(($D$3:D756=$D757)*($A$3:A756&lt;$A757)),$N$3:N756),'Guide &amp; Settings'!$C$41))</f>
        <v>0</v>
      </c>
      <c r="I757" s="123">
        <f t="shared" si="222"/>
        <v>0</v>
      </c>
      <c r="J757" s="124">
        <f>IF($D757="",0,IF($F757&lt;2,0,IF($E757="Win",('Guide &amp; Settings'!$C$42/(($F757-1)*COUNTIFS($A$4:$A$1510,$A757,$E$4:$E$1510,"Win")))*SUMIFS($X$4:$X$1510,$A$4:$A$1510,$A757,$E$4:$E$1510,"Loss"),-('Guide &amp; Settings'!$C$42/($F757-1))*$X757)))</f>
        <v>0</v>
      </c>
      <c r="K757" s="124">
        <f>IF($D757="",0,'Guide &amp; Settings'!$C$43*(IF($E757="Win",1,0)-$I757))</f>
        <v>0</v>
      </c>
      <c r="L757" s="125">
        <f>IF($D757="",0,'Guide &amp; Settings'!$C$44*IF($F757&gt;=3,$F757,0))</f>
        <v>0</v>
      </c>
      <c r="M757" s="124">
        <f t="shared" si="223"/>
        <v>0</v>
      </c>
      <c r="N757" s="122">
        <f t="shared" si="224"/>
        <v>0</v>
      </c>
      <c r="O757" s="121" t="str">
        <f t="shared" si="225"/>
        <v/>
      </c>
      <c r="P757">
        <f t="shared" si="226"/>
        <v>0</v>
      </c>
      <c r="Q757">
        <f t="shared" si="227"/>
        <v>0</v>
      </c>
      <c r="R757">
        <f t="shared" si="228"/>
        <v>0</v>
      </c>
      <c r="S757">
        <f t="shared" si="229"/>
        <v>0</v>
      </c>
      <c r="T757" s="89">
        <f t="shared" si="230"/>
        <v>0</v>
      </c>
      <c r="U757" s="126">
        <f>IF($D757="",0,IFERROR(LOOKUP(2,1/(($D$3:D756=$D757)*($C$3:C756=$C757)*($A$3:A756&lt;$A757)),$AB$3:AB756),1000))</f>
        <v>0</v>
      </c>
      <c r="V757" s="126">
        <f t="shared" si="231"/>
        <v>0</v>
      </c>
      <c r="W757">
        <f t="shared" si="232"/>
        <v>0</v>
      </c>
      <c r="X757">
        <f t="shared" si="233"/>
        <v>0</v>
      </c>
      <c r="Y757">
        <f t="shared" si="234"/>
        <v>0</v>
      </c>
      <c r="Z757">
        <f t="shared" si="235"/>
        <v>0</v>
      </c>
      <c r="AA757">
        <f>IF($D757="",0,IF($F757&lt;2,0,IF($E757="Win",('Guide &amp; Settings'!$C$42/(($F757-1)*COUNTIFS($A$4:$A$1510,$A757,$E$4:$E$1510,"Win")))*SUMIFS($Z$4:$Z$1510,$A$4:$A$1510,$A757,$E$4:$E$1510,"Loss"),-('Guide &amp; Settings'!$C$42/($F757-1))*$Z757)))</f>
        <v>0</v>
      </c>
      <c r="AB757" s="126">
        <f t="shared" si="236"/>
        <v>0</v>
      </c>
      <c r="AC757" s="126" t="str">
        <f>IF($D757="","",IF($AD757=0,0,IF(COUNTIFS($D$4:$D757,$D757,$B$4:$B757,$B757)&gt;1,0,IF($B757&lt;'Guide &amp; Settings'!$C$50,0,IF(($B757-$AD757)/7-'Guide &amp; Settings'!$C$48&gt;=0,(INT(($B757-$AD757)/7-'Guide &amp; Settings'!$C$48)+1)*'Guide &amp; Settings'!$C$49,0)))))</f>
        <v/>
      </c>
      <c r="AD757" s="142">
        <f t="shared" si="237"/>
        <v>0</v>
      </c>
      <c r="AE757">
        <f t="shared" si="238"/>
        <v>0</v>
      </c>
      <c r="AF757">
        <f t="shared" si="239"/>
        <v>0</v>
      </c>
    </row>
    <row r="758" spans="1:32" x14ac:dyDescent="0.2">
      <c r="A758" s="117"/>
      <c r="B758" s="118"/>
      <c r="C758" s="119"/>
      <c r="D758" s="119"/>
      <c r="E758" s="117"/>
      <c r="F758" s="120">
        <f t="shared" si="220"/>
        <v>0</v>
      </c>
      <c r="G758" s="121" t="str">
        <f t="shared" si="221"/>
        <v/>
      </c>
      <c r="H758" s="122">
        <f>IF($D758="",0,IFERROR(LOOKUP(2,1/(($D$3:D757=$D758)*($A$3:A757&lt;$A758)),$N$3:N757),'Guide &amp; Settings'!$C$41))</f>
        <v>0</v>
      </c>
      <c r="I758" s="123">
        <f t="shared" si="222"/>
        <v>0</v>
      </c>
      <c r="J758" s="124">
        <f>IF($D758="",0,IF($F758&lt;2,0,IF($E758="Win",('Guide &amp; Settings'!$C$42/(($F758-1)*COUNTIFS($A$4:$A$1510,$A758,$E$4:$E$1510,"Win")))*SUMIFS($X$4:$X$1510,$A$4:$A$1510,$A758,$E$4:$E$1510,"Loss"),-('Guide &amp; Settings'!$C$42/($F758-1))*$X758)))</f>
        <v>0</v>
      </c>
      <c r="K758" s="124">
        <f>IF($D758="",0,'Guide &amp; Settings'!$C$43*(IF($E758="Win",1,0)-$I758))</f>
        <v>0</v>
      </c>
      <c r="L758" s="125">
        <f>IF($D758="",0,'Guide &amp; Settings'!$C$44*IF($F758&gt;=3,$F758,0))</f>
        <v>0</v>
      </c>
      <c r="M758" s="124">
        <f t="shared" si="223"/>
        <v>0</v>
      </c>
      <c r="N758" s="122">
        <f t="shared" si="224"/>
        <v>0</v>
      </c>
      <c r="O758" s="121" t="str">
        <f t="shared" si="225"/>
        <v/>
      </c>
      <c r="P758">
        <f t="shared" si="226"/>
        <v>0</v>
      </c>
      <c r="Q758">
        <f t="shared" si="227"/>
        <v>0</v>
      </c>
      <c r="R758">
        <f t="shared" si="228"/>
        <v>0</v>
      </c>
      <c r="S758">
        <f t="shared" si="229"/>
        <v>0</v>
      </c>
      <c r="T758" s="89">
        <f t="shared" si="230"/>
        <v>0</v>
      </c>
      <c r="U758" s="126">
        <f>IF($D758="",0,IFERROR(LOOKUP(2,1/(($D$3:D757=$D758)*($C$3:C757=$C758)*($A$3:A757&lt;$A758)),$AB$3:AB757),1000))</f>
        <v>0</v>
      </c>
      <c r="V758" s="126">
        <f t="shared" si="231"/>
        <v>0</v>
      </c>
      <c r="W758">
        <f t="shared" si="232"/>
        <v>0</v>
      </c>
      <c r="X758">
        <f t="shared" si="233"/>
        <v>0</v>
      </c>
      <c r="Y758">
        <f t="shared" si="234"/>
        <v>0</v>
      </c>
      <c r="Z758">
        <f t="shared" si="235"/>
        <v>0</v>
      </c>
      <c r="AA758">
        <f>IF($D758="",0,IF($F758&lt;2,0,IF($E758="Win",('Guide &amp; Settings'!$C$42/(($F758-1)*COUNTIFS($A$4:$A$1510,$A758,$E$4:$E$1510,"Win")))*SUMIFS($Z$4:$Z$1510,$A$4:$A$1510,$A758,$E$4:$E$1510,"Loss"),-('Guide &amp; Settings'!$C$42/($F758-1))*$Z758)))</f>
        <v>0</v>
      </c>
      <c r="AB758" s="126">
        <f t="shared" si="236"/>
        <v>0</v>
      </c>
      <c r="AC758" s="126" t="str">
        <f>IF($D758="","",IF($AD758=0,0,IF(COUNTIFS($D$4:$D758,$D758,$B$4:$B758,$B758)&gt;1,0,IF($B758&lt;'Guide &amp; Settings'!$C$50,0,IF(($B758-$AD758)/7-'Guide &amp; Settings'!$C$48&gt;=0,(INT(($B758-$AD758)/7-'Guide &amp; Settings'!$C$48)+1)*'Guide &amp; Settings'!$C$49,0)))))</f>
        <v/>
      </c>
      <c r="AD758" s="142">
        <f t="shared" si="237"/>
        <v>0</v>
      </c>
      <c r="AE758">
        <f t="shared" si="238"/>
        <v>0</v>
      </c>
      <c r="AF758">
        <f t="shared" si="239"/>
        <v>0</v>
      </c>
    </row>
    <row r="759" spans="1:32" x14ac:dyDescent="0.2">
      <c r="A759" s="117"/>
      <c r="B759" s="118"/>
      <c r="C759" s="119"/>
      <c r="D759" s="119"/>
      <c r="E759" s="117"/>
      <c r="F759" s="120">
        <f t="shared" si="220"/>
        <v>0</v>
      </c>
      <c r="G759" s="121" t="str">
        <f t="shared" si="221"/>
        <v/>
      </c>
      <c r="H759" s="122">
        <f>IF($D759="",0,IFERROR(LOOKUP(2,1/(($D$3:D758=$D759)*($A$3:A758&lt;$A759)),$N$3:N758),'Guide &amp; Settings'!$C$41))</f>
        <v>0</v>
      </c>
      <c r="I759" s="123">
        <f t="shared" si="222"/>
        <v>0</v>
      </c>
      <c r="J759" s="124">
        <f>IF($D759="",0,IF($F759&lt;2,0,IF($E759="Win",('Guide &amp; Settings'!$C$42/(($F759-1)*COUNTIFS($A$4:$A$1510,$A759,$E$4:$E$1510,"Win")))*SUMIFS($X$4:$X$1510,$A$4:$A$1510,$A759,$E$4:$E$1510,"Loss"),-('Guide &amp; Settings'!$C$42/($F759-1))*$X759)))</f>
        <v>0</v>
      </c>
      <c r="K759" s="124">
        <f>IF($D759="",0,'Guide &amp; Settings'!$C$43*(IF($E759="Win",1,0)-$I759))</f>
        <v>0</v>
      </c>
      <c r="L759" s="125">
        <f>IF($D759="",0,'Guide &amp; Settings'!$C$44*IF($F759&gt;=3,$F759,0))</f>
        <v>0</v>
      </c>
      <c r="M759" s="124">
        <f t="shared" si="223"/>
        <v>0</v>
      </c>
      <c r="N759" s="122">
        <f t="shared" si="224"/>
        <v>0</v>
      </c>
      <c r="O759" s="121" t="str">
        <f t="shared" si="225"/>
        <v/>
      </c>
      <c r="P759">
        <f t="shared" si="226"/>
        <v>0</v>
      </c>
      <c r="Q759">
        <f t="shared" si="227"/>
        <v>0</v>
      </c>
      <c r="R759">
        <f t="shared" si="228"/>
        <v>0</v>
      </c>
      <c r="S759">
        <f t="shared" si="229"/>
        <v>0</v>
      </c>
      <c r="T759" s="89">
        <f t="shared" si="230"/>
        <v>0</v>
      </c>
      <c r="U759" s="126">
        <f>IF($D759="",0,IFERROR(LOOKUP(2,1/(($D$3:D758=$D759)*($C$3:C758=$C759)*($A$3:A758&lt;$A759)),$AB$3:AB758),1000))</f>
        <v>0</v>
      </c>
      <c r="V759" s="126">
        <f t="shared" si="231"/>
        <v>0</v>
      </c>
      <c r="W759">
        <f t="shared" si="232"/>
        <v>0</v>
      </c>
      <c r="X759">
        <f t="shared" si="233"/>
        <v>0</v>
      </c>
      <c r="Y759">
        <f t="shared" si="234"/>
        <v>0</v>
      </c>
      <c r="Z759">
        <f t="shared" si="235"/>
        <v>0</v>
      </c>
      <c r="AA759">
        <f>IF($D759="",0,IF($F759&lt;2,0,IF($E759="Win",('Guide &amp; Settings'!$C$42/(($F759-1)*COUNTIFS($A$4:$A$1510,$A759,$E$4:$E$1510,"Win")))*SUMIFS($Z$4:$Z$1510,$A$4:$A$1510,$A759,$E$4:$E$1510,"Loss"),-('Guide &amp; Settings'!$C$42/($F759-1))*$Z759)))</f>
        <v>0</v>
      </c>
      <c r="AB759" s="126">
        <f t="shared" si="236"/>
        <v>0</v>
      </c>
      <c r="AC759" s="126" t="str">
        <f>IF($D759="","",IF($AD759=0,0,IF(COUNTIFS($D$4:$D759,$D759,$B$4:$B759,$B759)&gt;1,0,IF($B759&lt;'Guide &amp; Settings'!$C$50,0,IF(($B759-$AD759)/7-'Guide &amp; Settings'!$C$48&gt;=0,(INT(($B759-$AD759)/7-'Guide &amp; Settings'!$C$48)+1)*'Guide &amp; Settings'!$C$49,0)))))</f>
        <v/>
      </c>
      <c r="AD759" s="142">
        <f t="shared" si="237"/>
        <v>0</v>
      </c>
      <c r="AE759">
        <f t="shared" si="238"/>
        <v>0</v>
      </c>
      <c r="AF759">
        <f t="shared" si="239"/>
        <v>0</v>
      </c>
    </row>
    <row r="760" spans="1:32" x14ac:dyDescent="0.2">
      <c r="A760" s="117"/>
      <c r="B760" s="118"/>
      <c r="C760" s="119"/>
      <c r="D760" s="119"/>
      <c r="E760" s="117"/>
      <c r="F760" s="120">
        <f t="shared" si="220"/>
        <v>0</v>
      </c>
      <c r="G760" s="121" t="str">
        <f t="shared" si="221"/>
        <v/>
      </c>
      <c r="H760" s="122">
        <f>IF($D760="",0,IFERROR(LOOKUP(2,1/(($D$3:D759=$D760)*($A$3:A759&lt;$A760)),$N$3:N759),'Guide &amp; Settings'!$C$41))</f>
        <v>0</v>
      </c>
      <c r="I760" s="123">
        <f t="shared" si="222"/>
        <v>0</v>
      </c>
      <c r="J760" s="124">
        <f>IF($D760="",0,IF($F760&lt;2,0,IF($E760="Win",('Guide &amp; Settings'!$C$42/(($F760-1)*COUNTIFS($A$4:$A$1510,$A760,$E$4:$E$1510,"Win")))*SUMIFS($X$4:$X$1510,$A$4:$A$1510,$A760,$E$4:$E$1510,"Loss"),-('Guide &amp; Settings'!$C$42/($F760-1))*$X760)))</f>
        <v>0</v>
      </c>
      <c r="K760" s="124">
        <f>IF($D760="",0,'Guide &amp; Settings'!$C$43*(IF($E760="Win",1,0)-$I760))</f>
        <v>0</v>
      </c>
      <c r="L760" s="125">
        <f>IF($D760="",0,'Guide &amp; Settings'!$C$44*IF($F760&gt;=3,$F760,0))</f>
        <v>0</v>
      </c>
      <c r="M760" s="124">
        <f t="shared" si="223"/>
        <v>0</v>
      </c>
      <c r="N760" s="122">
        <f t="shared" si="224"/>
        <v>0</v>
      </c>
      <c r="O760" s="121" t="str">
        <f t="shared" si="225"/>
        <v/>
      </c>
      <c r="P760">
        <f t="shared" si="226"/>
        <v>0</v>
      </c>
      <c r="Q760">
        <f t="shared" si="227"/>
        <v>0</v>
      </c>
      <c r="R760">
        <f t="shared" si="228"/>
        <v>0</v>
      </c>
      <c r="S760">
        <f t="shared" si="229"/>
        <v>0</v>
      </c>
      <c r="T760" s="89">
        <f t="shared" si="230"/>
        <v>0</v>
      </c>
      <c r="U760" s="126">
        <f>IF($D760="",0,IFERROR(LOOKUP(2,1/(($D$3:D759=$D760)*($C$3:C759=$C760)*($A$3:A759&lt;$A760)),$AB$3:AB759),1000))</f>
        <v>0</v>
      </c>
      <c r="V760" s="126">
        <f t="shared" si="231"/>
        <v>0</v>
      </c>
      <c r="W760">
        <f t="shared" si="232"/>
        <v>0</v>
      </c>
      <c r="X760">
        <f t="shared" si="233"/>
        <v>0</v>
      </c>
      <c r="Y760">
        <f t="shared" si="234"/>
        <v>0</v>
      </c>
      <c r="Z760">
        <f t="shared" si="235"/>
        <v>0</v>
      </c>
      <c r="AA760">
        <f>IF($D760="",0,IF($F760&lt;2,0,IF($E760="Win",('Guide &amp; Settings'!$C$42/(($F760-1)*COUNTIFS($A$4:$A$1510,$A760,$E$4:$E$1510,"Win")))*SUMIFS($Z$4:$Z$1510,$A$4:$A$1510,$A760,$E$4:$E$1510,"Loss"),-('Guide &amp; Settings'!$C$42/($F760-1))*$Z760)))</f>
        <v>0</v>
      </c>
      <c r="AB760" s="126">
        <f t="shared" si="236"/>
        <v>0</v>
      </c>
      <c r="AC760" s="126" t="str">
        <f>IF($D760="","",IF($AD760=0,0,IF(COUNTIFS($D$4:$D760,$D760,$B$4:$B760,$B760)&gt;1,0,IF($B760&lt;'Guide &amp; Settings'!$C$50,0,IF(($B760-$AD760)/7-'Guide &amp; Settings'!$C$48&gt;=0,(INT(($B760-$AD760)/7-'Guide &amp; Settings'!$C$48)+1)*'Guide &amp; Settings'!$C$49,0)))))</f>
        <v/>
      </c>
      <c r="AD760" s="142">
        <f t="shared" si="237"/>
        <v>0</v>
      </c>
      <c r="AE760">
        <f t="shared" si="238"/>
        <v>0</v>
      </c>
      <c r="AF760">
        <f t="shared" si="239"/>
        <v>0</v>
      </c>
    </row>
    <row r="761" spans="1:32" x14ac:dyDescent="0.2">
      <c r="A761" s="117"/>
      <c r="B761" s="118"/>
      <c r="C761" s="119"/>
      <c r="D761" s="119"/>
      <c r="E761" s="117"/>
      <c r="F761" s="120">
        <f t="shared" si="220"/>
        <v>0</v>
      </c>
      <c r="G761" s="121" t="str">
        <f t="shared" si="221"/>
        <v/>
      </c>
      <c r="H761" s="122">
        <f>IF($D761="",0,IFERROR(LOOKUP(2,1/(($D$3:D760=$D761)*($A$3:A760&lt;$A761)),$N$3:N760),'Guide &amp; Settings'!$C$41))</f>
        <v>0</v>
      </c>
      <c r="I761" s="123">
        <f t="shared" si="222"/>
        <v>0</v>
      </c>
      <c r="J761" s="124">
        <f>IF($D761="",0,IF($F761&lt;2,0,IF($E761="Win",('Guide &amp; Settings'!$C$42/(($F761-1)*COUNTIFS($A$4:$A$1510,$A761,$E$4:$E$1510,"Win")))*SUMIFS($X$4:$X$1510,$A$4:$A$1510,$A761,$E$4:$E$1510,"Loss"),-('Guide &amp; Settings'!$C$42/($F761-1))*$X761)))</f>
        <v>0</v>
      </c>
      <c r="K761" s="124">
        <f>IF($D761="",0,'Guide &amp; Settings'!$C$43*(IF($E761="Win",1,0)-$I761))</f>
        <v>0</v>
      </c>
      <c r="L761" s="125">
        <f>IF($D761="",0,'Guide &amp; Settings'!$C$44*IF($F761&gt;=3,$F761,0))</f>
        <v>0</v>
      </c>
      <c r="M761" s="124">
        <f t="shared" si="223"/>
        <v>0</v>
      </c>
      <c r="N761" s="122">
        <f t="shared" si="224"/>
        <v>0</v>
      </c>
      <c r="O761" s="121" t="str">
        <f t="shared" si="225"/>
        <v/>
      </c>
      <c r="P761">
        <f t="shared" si="226"/>
        <v>0</v>
      </c>
      <c r="Q761">
        <f t="shared" si="227"/>
        <v>0</v>
      </c>
      <c r="R761">
        <f t="shared" si="228"/>
        <v>0</v>
      </c>
      <c r="S761">
        <f t="shared" si="229"/>
        <v>0</v>
      </c>
      <c r="T761" s="89">
        <f t="shared" si="230"/>
        <v>0</v>
      </c>
      <c r="U761" s="126">
        <f>IF($D761="",0,IFERROR(LOOKUP(2,1/(($D$3:D760=$D761)*($C$3:C760=$C761)*($A$3:A760&lt;$A761)),$AB$3:AB760),1000))</f>
        <v>0</v>
      </c>
      <c r="V761" s="126">
        <f t="shared" si="231"/>
        <v>0</v>
      </c>
      <c r="W761">
        <f t="shared" si="232"/>
        <v>0</v>
      </c>
      <c r="X761">
        <f t="shared" si="233"/>
        <v>0</v>
      </c>
      <c r="Y761">
        <f t="shared" si="234"/>
        <v>0</v>
      </c>
      <c r="Z761">
        <f t="shared" si="235"/>
        <v>0</v>
      </c>
      <c r="AA761">
        <f>IF($D761="",0,IF($F761&lt;2,0,IF($E761="Win",('Guide &amp; Settings'!$C$42/(($F761-1)*COUNTIFS($A$4:$A$1510,$A761,$E$4:$E$1510,"Win")))*SUMIFS($Z$4:$Z$1510,$A$4:$A$1510,$A761,$E$4:$E$1510,"Loss"),-('Guide &amp; Settings'!$C$42/($F761-1))*$Z761)))</f>
        <v>0</v>
      </c>
      <c r="AB761" s="126">
        <f t="shared" si="236"/>
        <v>0</v>
      </c>
      <c r="AC761" s="126" t="str">
        <f>IF($D761="","",IF($AD761=0,0,IF(COUNTIFS($D$4:$D761,$D761,$B$4:$B761,$B761)&gt;1,0,IF($B761&lt;'Guide &amp; Settings'!$C$50,0,IF(($B761-$AD761)/7-'Guide &amp; Settings'!$C$48&gt;=0,(INT(($B761-$AD761)/7-'Guide &amp; Settings'!$C$48)+1)*'Guide &amp; Settings'!$C$49,0)))))</f>
        <v/>
      </c>
      <c r="AD761" s="142">
        <f t="shared" si="237"/>
        <v>0</v>
      </c>
      <c r="AE761">
        <f t="shared" si="238"/>
        <v>0</v>
      </c>
      <c r="AF761">
        <f t="shared" si="239"/>
        <v>0</v>
      </c>
    </row>
    <row r="762" spans="1:32" x14ac:dyDescent="0.2">
      <c r="A762" s="117"/>
      <c r="B762" s="118"/>
      <c r="C762" s="119"/>
      <c r="D762" s="119"/>
      <c r="E762" s="117"/>
      <c r="F762" s="120">
        <f t="shared" si="220"/>
        <v>0</v>
      </c>
      <c r="G762" s="121" t="str">
        <f t="shared" si="221"/>
        <v/>
      </c>
      <c r="H762" s="122">
        <f>IF($D762="",0,IFERROR(LOOKUP(2,1/(($D$3:D761=$D762)*($A$3:A761&lt;$A762)),$N$3:N761),'Guide &amp; Settings'!$C$41))</f>
        <v>0</v>
      </c>
      <c r="I762" s="123">
        <f t="shared" si="222"/>
        <v>0</v>
      </c>
      <c r="J762" s="124">
        <f>IF($D762="",0,IF($F762&lt;2,0,IF($E762="Win",('Guide &amp; Settings'!$C$42/(($F762-1)*COUNTIFS($A$4:$A$1510,$A762,$E$4:$E$1510,"Win")))*SUMIFS($X$4:$X$1510,$A$4:$A$1510,$A762,$E$4:$E$1510,"Loss"),-('Guide &amp; Settings'!$C$42/($F762-1))*$X762)))</f>
        <v>0</v>
      </c>
      <c r="K762" s="124">
        <f>IF($D762="",0,'Guide &amp; Settings'!$C$43*(IF($E762="Win",1,0)-$I762))</f>
        <v>0</v>
      </c>
      <c r="L762" s="125">
        <f>IF($D762="",0,'Guide &amp; Settings'!$C$44*IF($F762&gt;=3,$F762,0))</f>
        <v>0</v>
      </c>
      <c r="M762" s="124">
        <f t="shared" si="223"/>
        <v>0</v>
      </c>
      <c r="N762" s="122">
        <f t="shared" si="224"/>
        <v>0</v>
      </c>
      <c r="O762" s="121" t="str">
        <f t="shared" si="225"/>
        <v/>
      </c>
      <c r="P762">
        <f t="shared" si="226"/>
        <v>0</v>
      </c>
      <c r="Q762">
        <f t="shared" si="227"/>
        <v>0</v>
      </c>
      <c r="R762">
        <f t="shared" si="228"/>
        <v>0</v>
      </c>
      <c r="S762">
        <f t="shared" si="229"/>
        <v>0</v>
      </c>
      <c r="T762" s="89">
        <f t="shared" si="230"/>
        <v>0</v>
      </c>
      <c r="U762" s="126">
        <f>IF($D762="",0,IFERROR(LOOKUP(2,1/(($D$3:D761=$D762)*($C$3:C761=$C762)*($A$3:A761&lt;$A762)),$AB$3:AB761),1000))</f>
        <v>0</v>
      </c>
      <c r="V762" s="126">
        <f t="shared" si="231"/>
        <v>0</v>
      </c>
      <c r="W762">
        <f t="shared" si="232"/>
        <v>0</v>
      </c>
      <c r="X762">
        <f t="shared" si="233"/>
        <v>0</v>
      </c>
      <c r="Y762">
        <f t="shared" si="234"/>
        <v>0</v>
      </c>
      <c r="Z762">
        <f t="shared" si="235"/>
        <v>0</v>
      </c>
      <c r="AA762">
        <f>IF($D762="",0,IF($F762&lt;2,0,IF($E762="Win",('Guide &amp; Settings'!$C$42/(($F762-1)*COUNTIFS($A$4:$A$1510,$A762,$E$4:$E$1510,"Win")))*SUMIFS($Z$4:$Z$1510,$A$4:$A$1510,$A762,$E$4:$E$1510,"Loss"),-('Guide &amp; Settings'!$C$42/($F762-1))*$Z762)))</f>
        <v>0</v>
      </c>
      <c r="AB762" s="126">
        <f t="shared" si="236"/>
        <v>0</v>
      </c>
      <c r="AC762" s="126" t="str">
        <f>IF($D762="","",IF($AD762=0,0,IF(COUNTIFS($D$4:$D762,$D762,$B$4:$B762,$B762)&gt;1,0,IF($B762&lt;'Guide &amp; Settings'!$C$50,0,IF(($B762-$AD762)/7-'Guide &amp; Settings'!$C$48&gt;=0,(INT(($B762-$AD762)/7-'Guide &amp; Settings'!$C$48)+1)*'Guide &amp; Settings'!$C$49,0)))))</f>
        <v/>
      </c>
      <c r="AD762" s="142">
        <f t="shared" si="237"/>
        <v>0</v>
      </c>
      <c r="AE762">
        <f t="shared" si="238"/>
        <v>0</v>
      </c>
      <c r="AF762">
        <f t="shared" si="239"/>
        <v>0</v>
      </c>
    </row>
    <row r="763" spans="1:32" x14ac:dyDescent="0.2">
      <c r="A763" s="117"/>
      <c r="B763" s="118"/>
      <c r="C763" s="119"/>
      <c r="D763" s="119"/>
      <c r="E763" s="117"/>
      <c r="F763" s="120">
        <f t="shared" si="220"/>
        <v>0</v>
      </c>
      <c r="G763" s="121" t="str">
        <f t="shared" si="221"/>
        <v/>
      </c>
      <c r="H763" s="122">
        <f>IF($D763="",0,IFERROR(LOOKUP(2,1/(($D$3:D762=$D763)*($A$3:A762&lt;$A763)),$N$3:N762),'Guide &amp; Settings'!$C$41))</f>
        <v>0</v>
      </c>
      <c r="I763" s="123">
        <f t="shared" si="222"/>
        <v>0</v>
      </c>
      <c r="J763" s="124">
        <f>IF($D763="",0,IF($F763&lt;2,0,IF($E763="Win",('Guide &amp; Settings'!$C$42/(($F763-1)*COUNTIFS($A$4:$A$1510,$A763,$E$4:$E$1510,"Win")))*SUMIFS($X$4:$X$1510,$A$4:$A$1510,$A763,$E$4:$E$1510,"Loss"),-('Guide &amp; Settings'!$C$42/($F763-1))*$X763)))</f>
        <v>0</v>
      </c>
      <c r="K763" s="124">
        <f>IF($D763="",0,'Guide &amp; Settings'!$C$43*(IF($E763="Win",1,0)-$I763))</f>
        <v>0</v>
      </c>
      <c r="L763" s="125">
        <f>IF($D763="",0,'Guide &amp; Settings'!$C$44*IF($F763&gt;=3,$F763,0))</f>
        <v>0</v>
      </c>
      <c r="M763" s="124">
        <f t="shared" si="223"/>
        <v>0</v>
      </c>
      <c r="N763" s="122">
        <f t="shared" si="224"/>
        <v>0</v>
      </c>
      <c r="O763" s="121" t="str">
        <f t="shared" si="225"/>
        <v/>
      </c>
      <c r="P763">
        <f t="shared" si="226"/>
        <v>0</v>
      </c>
      <c r="Q763">
        <f t="shared" si="227"/>
        <v>0</v>
      </c>
      <c r="R763">
        <f t="shared" si="228"/>
        <v>0</v>
      </c>
      <c r="S763">
        <f t="shared" si="229"/>
        <v>0</v>
      </c>
      <c r="T763" s="89">
        <f t="shared" si="230"/>
        <v>0</v>
      </c>
      <c r="U763" s="126">
        <f>IF($D763="",0,IFERROR(LOOKUP(2,1/(($D$3:D762=$D763)*($C$3:C762=$C763)*($A$3:A762&lt;$A763)),$AB$3:AB762),1000))</f>
        <v>0</v>
      </c>
      <c r="V763" s="126">
        <f t="shared" si="231"/>
        <v>0</v>
      </c>
      <c r="W763">
        <f t="shared" si="232"/>
        <v>0</v>
      </c>
      <c r="X763">
        <f t="shared" si="233"/>
        <v>0</v>
      </c>
      <c r="Y763">
        <f t="shared" si="234"/>
        <v>0</v>
      </c>
      <c r="Z763">
        <f t="shared" si="235"/>
        <v>0</v>
      </c>
      <c r="AA763">
        <f>IF($D763="",0,IF($F763&lt;2,0,IF($E763="Win",('Guide &amp; Settings'!$C$42/(($F763-1)*COUNTIFS($A$4:$A$1510,$A763,$E$4:$E$1510,"Win")))*SUMIFS($Z$4:$Z$1510,$A$4:$A$1510,$A763,$E$4:$E$1510,"Loss"),-('Guide &amp; Settings'!$C$42/($F763-1))*$Z763)))</f>
        <v>0</v>
      </c>
      <c r="AB763" s="126">
        <f t="shared" si="236"/>
        <v>0</v>
      </c>
      <c r="AC763" s="126" t="str">
        <f>IF($D763="","",IF($AD763=0,0,IF(COUNTIFS($D$4:$D763,$D763,$B$4:$B763,$B763)&gt;1,0,IF($B763&lt;'Guide &amp; Settings'!$C$50,0,IF(($B763-$AD763)/7-'Guide &amp; Settings'!$C$48&gt;=0,(INT(($B763-$AD763)/7-'Guide &amp; Settings'!$C$48)+1)*'Guide &amp; Settings'!$C$49,0)))))</f>
        <v/>
      </c>
      <c r="AD763" s="142">
        <f t="shared" si="237"/>
        <v>0</v>
      </c>
      <c r="AE763">
        <f t="shared" si="238"/>
        <v>0</v>
      </c>
      <c r="AF763">
        <f t="shared" si="239"/>
        <v>0</v>
      </c>
    </row>
    <row r="764" spans="1:32" x14ac:dyDescent="0.2">
      <c r="A764" s="117"/>
      <c r="B764" s="118"/>
      <c r="C764" s="119"/>
      <c r="D764" s="119"/>
      <c r="E764" s="117"/>
      <c r="F764" s="120">
        <f t="shared" si="220"/>
        <v>0</v>
      </c>
      <c r="G764" s="121" t="str">
        <f t="shared" si="221"/>
        <v/>
      </c>
      <c r="H764" s="122">
        <f>IF($D764="",0,IFERROR(LOOKUP(2,1/(($D$3:D763=$D764)*($A$3:A763&lt;$A764)),$N$3:N763),'Guide &amp; Settings'!$C$41))</f>
        <v>0</v>
      </c>
      <c r="I764" s="123">
        <f t="shared" si="222"/>
        <v>0</v>
      </c>
      <c r="J764" s="124">
        <f>IF($D764="",0,IF($F764&lt;2,0,IF($E764="Win",('Guide &amp; Settings'!$C$42/(($F764-1)*COUNTIFS($A$4:$A$1510,$A764,$E$4:$E$1510,"Win")))*SUMIFS($X$4:$X$1510,$A$4:$A$1510,$A764,$E$4:$E$1510,"Loss"),-('Guide &amp; Settings'!$C$42/($F764-1))*$X764)))</f>
        <v>0</v>
      </c>
      <c r="K764" s="124">
        <f>IF($D764="",0,'Guide &amp; Settings'!$C$43*(IF($E764="Win",1,0)-$I764))</f>
        <v>0</v>
      </c>
      <c r="L764" s="125">
        <f>IF($D764="",0,'Guide &amp; Settings'!$C$44*IF($F764&gt;=3,$F764,0))</f>
        <v>0</v>
      </c>
      <c r="M764" s="124">
        <f t="shared" si="223"/>
        <v>0</v>
      </c>
      <c r="N764" s="122">
        <f t="shared" si="224"/>
        <v>0</v>
      </c>
      <c r="O764" s="121" t="str">
        <f t="shared" si="225"/>
        <v/>
      </c>
      <c r="P764">
        <f t="shared" si="226"/>
        <v>0</v>
      </c>
      <c r="Q764">
        <f t="shared" si="227"/>
        <v>0</v>
      </c>
      <c r="R764">
        <f t="shared" si="228"/>
        <v>0</v>
      </c>
      <c r="S764">
        <f t="shared" si="229"/>
        <v>0</v>
      </c>
      <c r="T764" s="89">
        <f t="shared" si="230"/>
        <v>0</v>
      </c>
      <c r="U764" s="126">
        <f>IF($D764="",0,IFERROR(LOOKUP(2,1/(($D$3:D763=$D764)*($C$3:C763=$C764)*($A$3:A763&lt;$A764)),$AB$3:AB763),1000))</f>
        <v>0</v>
      </c>
      <c r="V764" s="126">
        <f t="shared" si="231"/>
        <v>0</v>
      </c>
      <c r="W764">
        <f t="shared" si="232"/>
        <v>0</v>
      </c>
      <c r="X764">
        <f t="shared" si="233"/>
        <v>0</v>
      </c>
      <c r="Y764">
        <f t="shared" si="234"/>
        <v>0</v>
      </c>
      <c r="Z764">
        <f t="shared" si="235"/>
        <v>0</v>
      </c>
      <c r="AA764">
        <f>IF($D764="",0,IF($F764&lt;2,0,IF($E764="Win",('Guide &amp; Settings'!$C$42/(($F764-1)*COUNTIFS($A$4:$A$1510,$A764,$E$4:$E$1510,"Win")))*SUMIFS($Z$4:$Z$1510,$A$4:$A$1510,$A764,$E$4:$E$1510,"Loss"),-('Guide &amp; Settings'!$C$42/($F764-1))*$Z764)))</f>
        <v>0</v>
      </c>
      <c r="AB764" s="126">
        <f t="shared" si="236"/>
        <v>0</v>
      </c>
      <c r="AC764" s="126" t="str">
        <f>IF($D764="","",IF($AD764=0,0,IF(COUNTIFS($D$4:$D764,$D764,$B$4:$B764,$B764)&gt;1,0,IF($B764&lt;'Guide &amp; Settings'!$C$50,0,IF(($B764-$AD764)/7-'Guide &amp; Settings'!$C$48&gt;=0,(INT(($B764-$AD764)/7-'Guide &amp; Settings'!$C$48)+1)*'Guide &amp; Settings'!$C$49,0)))))</f>
        <v/>
      </c>
      <c r="AD764" s="142">
        <f t="shared" si="237"/>
        <v>0</v>
      </c>
      <c r="AE764">
        <f t="shared" si="238"/>
        <v>0</v>
      </c>
      <c r="AF764">
        <f t="shared" si="239"/>
        <v>0</v>
      </c>
    </row>
    <row r="765" spans="1:32" x14ac:dyDescent="0.2">
      <c r="A765" s="117"/>
      <c r="B765" s="118"/>
      <c r="C765" s="119"/>
      <c r="D765" s="119"/>
      <c r="E765" s="117"/>
      <c r="F765" s="120">
        <f t="shared" si="220"/>
        <v>0</v>
      </c>
      <c r="G765" s="121" t="str">
        <f t="shared" si="221"/>
        <v/>
      </c>
      <c r="H765" s="122">
        <f>IF($D765="",0,IFERROR(LOOKUP(2,1/(($D$3:D764=$D765)*($A$3:A764&lt;$A765)),$N$3:N764),'Guide &amp; Settings'!$C$41))</f>
        <v>0</v>
      </c>
      <c r="I765" s="123">
        <f t="shared" si="222"/>
        <v>0</v>
      </c>
      <c r="J765" s="124">
        <f>IF($D765="",0,IF($F765&lt;2,0,IF($E765="Win",('Guide &amp; Settings'!$C$42/(($F765-1)*COUNTIFS($A$4:$A$1510,$A765,$E$4:$E$1510,"Win")))*SUMIFS($X$4:$X$1510,$A$4:$A$1510,$A765,$E$4:$E$1510,"Loss"),-('Guide &amp; Settings'!$C$42/($F765-1))*$X765)))</f>
        <v>0</v>
      </c>
      <c r="K765" s="124">
        <f>IF($D765="",0,'Guide &amp; Settings'!$C$43*(IF($E765="Win",1,0)-$I765))</f>
        <v>0</v>
      </c>
      <c r="L765" s="125">
        <f>IF($D765="",0,'Guide &amp; Settings'!$C$44*IF($F765&gt;=3,$F765,0))</f>
        <v>0</v>
      </c>
      <c r="M765" s="124">
        <f t="shared" si="223"/>
        <v>0</v>
      </c>
      <c r="N765" s="122">
        <f t="shared" si="224"/>
        <v>0</v>
      </c>
      <c r="O765" s="121" t="str">
        <f t="shared" si="225"/>
        <v/>
      </c>
      <c r="P765">
        <f t="shared" si="226"/>
        <v>0</v>
      </c>
      <c r="Q765">
        <f t="shared" si="227"/>
        <v>0</v>
      </c>
      <c r="R765">
        <f t="shared" si="228"/>
        <v>0</v>
      </c>
      <c r="S765">
        <f t="shared" si="229"/>
        <v>0</v>
      </c>
      <c r="T765" s="89">
        <f t="shared" si="230"/>
        <v>0</v>
      </c>
      <c r="U765" s="126">
        <f>IF($D765="",0,IFERROR(LOOKUP(2,1/(($D$3:D764=$D765)*($C$3:C764=$C765)*($A$3:A764&lt;$A765)),$AB$3:AB764),1000))</f>
        <v>0</v>
      </c>
      <c r="V765" s="126">
        <f t="shared" si="231"/>
        <v>0</v>
      </c>
      <c r="W765">
        <f t="shared" si="232"/>
        <v>0</v>
      </c>
      <c r="X765">
        <f t="shared" si="233"/>
        <v>0</v>
      </c>
      <c r="Y765">
        <f t="shared" si="234"/>
        <v>0</v>
      </c>
      <c r="Z765">
        <f t="shared" si="235"/>
        <v>0</v>
      </c>
      <c r="AA765">
        <f>IF($D765="",0,IF($F765&lt;2,0,IF($E765="Win",('Guide &amp; Settings'!$C$42/(($F765-1)*COUNTIFS($A$4:$A$1510,$A765,$E$4:$E$1510,"Win")))*SUMIFS($Z$4:$Z$1510,$A$4:$A$1510,$A765,$E$4:$E$1510,"Loss"),-('Guide &amp; Settings'!$C$42/($F765-1))*$Z765)))</f>
        <v>0</v>
      </c>
      <c r="AB765" s="126">
        <f t="shared" si="236"/>
        <v>0</v>
      </c>
      <c r="AC765" s="126" t="str">
        <f>IF($D765="","",IF($AD765=0,0,IF(COUNTIFS($D$4:$D765,$D765,$B$4:$B765,$B765)&gt;1,0,IF($B765&lt;'Guide &amp; Settings'!$C$50,0,IF(($B765-$AD765)/7-'Guide &amp; Settings'!$C$48&gt;=0,(INT(($B765-$AD765)/7-'Guide &amp; Settings'!$C$48)+1)*'Guide &amp; Settings'!$C$49,0)))))</f>
        <v/>
      </c>
      <c r="AD765" s="142">
        <f t="shared" si="237"/>
        <v>0</v>
      </c>
      <c r="AE765">
        <f t="shared" si="238"/>
        <v>0</v>
      </c>
      <c r="AF765">
        <f t="shared" si="239"/>
        <v>0</v>
      </c>
    </row>
    <row r="766" spans="1:32" x14ac:dyDescent="0.2">
      <c r="A766" s="117"/>
      <c r="B766" s="118"/>
      <c r="C766" s="119"/>
      <c r="D766" s="119"/>
      <c r="E766" s="117"/>
      <c r="F766" s="120">
        <f t="shared" si="220"/>
        <v>0</v>
      </c>
      <c r="G766" s="121" t="str">
        <f t="shared" si="221"/>
        <v/>
      </c>
      <c r="H766" s="122">
        <f>IF($D766="",0,IFERROR(LOOKUP(2,1/(($D$3:D765=$D766)*($A$3:A765&lt;$A766)),$N$3:N765),'Guide &amp; Settings'!$C$41))</f>
        <v>0</v>
      </c>
      <c r="I766" s="123">
        <f t="shared" si="222"/>
        <v>0</v>
      </c>
      <c r="J766" s="124">
        <f>IF($D766="",0,IF($F766&lt;2,0,IF($E766="Win",('Guide &amp; Settings'!$C$42/(($F766-1)*COUNTIFS($A$4:$A$1510,$A766,$E$4:$E$1510,"Win")))*SUMIFS($X$4:$X$1510,$A$4:$A$1510,$A766,$E$4:$E$1510,"Loss"),-('Guide &amp; Settings'!$C$42/($F766-1))*$X766)))</f>
        <v>0</v>
      </c>
      <c r="K766" s="124">
        <f>IF($D766="",0,'Guide &amp; Settings'!$C$43*(IF($E766="Win",1,0)-$I766))</f>
        <v>0</v>
      </c>
      <c r="L766" s="125">
        <f>IF($D766="",0,'Guide &amp; Settings'!$C$44*IF($F766&gt;=3,$F766,0))</f>
        <v>0</v>
      </c>
      <c r="M766" s="124">
        <f t="shared" si="223"/>
        <v>0</v>
      </c>
      <c r="N766" s="122">
        <f t="shared" si="224"/>
        <v>0</v>
      </c>
      <c r="O766" s="121" t="str">
        <f t="shared" si="225"/>
        <v/>
      </c>
      <c r="P766">
        <f t="shared" si="226"/>
        <v>0</v>
      </c>
      <c r="Q766">
        <f t="shared" si="227"/>
        <v>0</v>
      </c>
      <c r="R766">
        <f t="shared" si="228"/>
        <v>0</v>
      </c>
      <c r="S766">
        <f t="shared" si="229"/>
        <v>0</v>
      </c>
      <c r="T766" s="89">
        <f t="shared" si="230"/>
        <v>0</v>
      </c>
      <c r="U766" s="126">
        <f>IF($D766="",0,IFERROR(LOOKUP(2,1/(($D$3:D765=$D766)*($C$3:C765=$C766)*($A$3:A765&lt;$A766)),$AB$3:AB765),1000))</f>
        <v>0</v>
      </c>
      <c r="V766" s="126">
        <f t="shared" si="231"/>
        <v>0</v>
      </c>
      <c r="W766">
        <f t="shared" si="232"/>
        <v>0</v>
      </c>
      <c r="X766">
        <f t="shared" si="233"/>
        <v>0</v>
      </c>
      <c r="Y766">
        <f t="shared" si="234"/>
        <v>0</v>
      </c>
      <c r="Z766">
        <f t="shared" si="235"/>
        <v>0</v>
      </c>
      <c r="AA766">
        <f>IF($D766="",0,IF($F766&lt;2,0,IF($E766="Win",('Guide &amp; Settings'!$C$42/(($F766-1)*COUNTIFS($A$4:$A$1510,$A766,$E$4:$E$1510,"Win")))*SUMIFS($Z$4:$Z$1510,$A$4:$A$1510,$A766,$E$4:$E$1510,"Loss"),-('Guide &amp; Settings'!$C$42/($F766-1))*$Z766)))</f>
        <v>0</v>
      </c>
      <c r="AB766" s="126">
        <f t="shared" si="236"/>
        <v>0</v>
      </c>
      <c r="AC766" s="126" t="str">
        <f>IF($D766="","",IF($AD766=0,0,IF(COUNTIFS($D$4:$D766,$D766,$B$4:$B766,$B766)&gt;1,0,IF($B766&lt;'Guide &amp; Settings'!$C$50,0,IF(($B766-$AD766)/7-'Guide &amp; Settings'!$C$48&gt;=0,(INT(($B766-$AD766)/7-'Guide &amp; Settings'!$C$48)+1)*'Guide &amp; Settings'!$C$49,0)))))</f>
        <v/>
      </c>
      <c r="AD766" s="142">
        <f t="shared" si="237"/>
        <v>0</v>
      </c>
      <c r="AE766">
        <f t="shared" si="238"/>
        <v>0</v>
      </c>
      <c r="AF766">
        <f t="shared" si="239"/>
        <v>0</v>
      </c>
    </row>
    <row r="767" spans="1:32" x14ac:dyDescent="0.2">
      <c r="A767" s="117"/>
      <c r="B767" s="118"/>
      <c r="C767" s="119"/>
      <c r="D767" s="119"/>
      <c r="E767" s="117"/>
      <c r="F767" s="120">
        <f t="shared" si="220"/>
        <v>0</v>
      </c>
      <c r="G767" s="121" t="str">
        <f t="shared" si="221"/>
        <v/>
      </c>
      <c r="H767" s="122">
        <f>IF($D767="",0,IFERROR(LOOKUP(2,1/(($D$3:D766=$D767)*($A$3:A766&lt;$A767)),$N$3:N766),'Guide &amp; Settings'!$C$41))</f>
        <v>0</v>
      </c>
      <c r="I767" s="123">
        <f t="shared" si="222"/>
        <v>0</v>
      </c>
      <c r="J767" s="124">
        <f>IF($D767="",0,IF($F767&lt;2,0,IF($E767="Win",('Guide &amp; Settings'!$C$42/(($F767-1)*COUNTIFS($A$4:$A$1510,$A767,$E$4:$E$1510,"Win")))*SUMIFS($X$4:$X$1510,$A$4:$A$1510,$A767,$E$4:$E$1510,"Loss"),-('Guide &amp; Settings'!$C$42/($F767-1))*$X767)))</f>
        <v>0</v>
      </c>
      <c r="K767" s="124">
        <f>IF($D767="",0,'Guide &amp; Settings'!$C$43*(IF($E767="Win",1,0)-$I767))</f>
        <v>0</v>
      </c>
      <c r="L767" s="125">
        <f>IF($D767="",0,'Guide &amp; Settings'!$C$44*IF($F767&gt;=3,$F767,0))</f>
        <v>0</v>
      </c>
      <c r="M767" s="124">
        <f t="shared" si="223"/>
        <v>0</v>
      </c>
      <c r="N767" s="122">
        <f t="shared" si="224"/>
        <v>0</v>
      </c>
      <c r="O767" s="121" t="str">
        <f t="shared" si="225"/>
        <v/>
      </c>
      <c r="P767">
        <f t="shared" si="226"/>
        <v>0</v>
      </c>
      <c r="Q767">
        <f t="shared" si="227"/>
        <v>0</v>
      </c>
      <c r="R767">
        <f t="shared" si="228"/>
        <v>0</v>
      </c>
      <c r="S767">
        <f t="shared" si="229"/>
        <v>0</v>
      </c>
      <c r="T767" s="89">
        <f t="shared" si="230"/>
        <v>0</v>
      </c>
      <c r="U767" s="126">
        <f>IF($D767="",0,IFERROR(LOOKUP(2,1/(($D$3:D766=$D767)*($C$3:C766=$C767)*($A$3:A766&lt;$A767)),$AB$3:AB766),1000))</f>
        <v>0</v>
      </c>
      <c r="V767" s="126">
        <f t="shared" si="231"/>
        <v>0</v>
      </c>
      <c r="W767">
        <f t="shared" si="232"/>
        <v>0</v>
      </c>
      <c r="X767">
        <f t="shared" si="233"/>
        <v>0</v>
      </c>
      <c r="Y767">
        <f t="shared" si="234"/>
        <v>0</v>
      </c>
      <c r="Z767">
        <f t="shared" si="235"/>
        <v>0</v>
      </c>
      <c r="AA767">
        <f>IF($D767="",0,IF($F767&lt;2,0,IF($E767="Win",('Guide &amp; Settings'!$C$42/(($F767-1)*COUNTIFS($A$4:$A$1510,$A767,$E$4:$E$1510,"Win")))*SUMIFS($Z$4:$Z$1510,$A$4:$A$1510,$A767,$E$4:$E$1510,"Loss"),-('Guide &amp; Settings'!$C$42/($F767-1))*$Z767)))</f>
        <v>0</v>
      </c>
      <c r="AB767" s="126">
        <f t="shared" si="236"/>
        <v>0</v>
      </c>
      <c r="AC767" s="126" t="str">
        <f>IF($D767="","",IF($AD767=0,0,IF(COUNTIFS($D$4:$D767,$D767,$B$4:$B767,$B767)&gt;1,0,IF($B767&lt;'Guide &amp; Settings'!$C$50,0,IF(($B767-$AD767)/7-'Guide &amp; Settings'!$C$48&gt;=0,(INT(($B767-$AD767)/7-'Guide &amp; Settings'!$C$48)+1)*'Guide &amp; Settings'!$C$49,0)))))</f>
        <v/>
      </c>
      <c r="AD767" s="142">
        <f t="shared" si="237"/>
        <v>0</v>
      </c>
      <c r="AE767">
        <f t="shared" si="238"/>
        <v>0</v>
      </c>
      <c r="AF767">
        <f t="shared" si="239"/>
        <v>0</v>
      </c>
    </row>
    <row r="768" spans="1:32" x14ac:dyDescent="0.2">
      <c r="A768" s="117"/>
      <c r="B768" s="118"/>
      <c r="C768" s="119"/>
      <c r="D768" s="119"/>
      <c r="E768" s="117"/>
      <c r="F768" s="120">
        <f t="shared" si="220"/>
        <v>0</v>
      </c>
      <c r="G768" s="121" t="str">
        <f t="shared" si="221"/>
        <v/>
      </c>
      <c r="H768" s="122">
        <f>IF($D768="",0,IFERROR(LOOKUP(2,1/(($D$3:D767=$D768)*($A$3:A767&lt;$A768)),$N$3:N767),'Guide &amp; Settings'!$C$41))</f>
        <v>0</v>
      </c>
      <c r="I768" s="123">
        <f t="shared" si="222"/>
        <v>0</v>
      </c>
      <c r="J768" s="124">
        <f>IF($D768="",0,IF($F768&lt;2,0,IF($E768="Win",('Guide &amp; Settings'!$C$42/(($F768-1)*COUNTIFS($A$4:$A$1510,$A768,$E$4:$E$1510,"Win")))*SUMIFS($X$4:$X$1510,$A$4:$A$1510,$A768,$E$4:$E$1510,"Loss"),-('Guide &amp; Settings'!$C$42/($F768-1))*$X768)))</f>
        <v>0</v>
      </c>
      <c r="K768" s="124">
        <f>IF($D768="",0,'Guide &amp; Settings'!$C$43*(IF($E768="Win",1,0)-$I768))</f>
        <v>0</v>
      </c>
      <c r="L768" s="125">
        <f>IF($D768="",0,'Guide &amp; Settings'!$C$44*IF($F768&gt;=3,$F768,0))</f>
        <v>0</v>
      </c>
      <c r="M768" s="124">
        <f t="shared" si="223"/>
        <v>0</v>
      </c>
      <c r="N768" s="122">
        <f t="shared" si="224"/>
        <v>0</v>
      </c>
      <c r="O768" s="121" t="str">
        <f t="shared" si="225"/>
        <v/>
      </c>
      <c r="P768">
        <f t="shared" si="226"/>
        <v>0</v>
      </c>
      <c r="Q768">
        <f t="shared" si="227"/>
        <v>0</v>
      </c>
      <c r="R768">
        <f t="shared" si="228"/>
        <v>0</v>
      </c>
      <c r="S768">
        <f t="shared" si="229"/>
        <v>0</v>
      </c>
      <c r="T768" s="89">
        <f t="shared" si="230"/>
        <v>0</v>
      </c>
      <c r="U768" s="126">
        <f>IF($D768="",0,IFERROR(LOOKUP(2,1/(($D$3:D767=$D768)*($C$3:C767=$C768)*($A$3:A767&lt;$A768)),$AB$3:AB767),1000))</f>
        <v>0</v>
      </c>
      <c r="V768" s="126">
        <f t="shared" si="231"/>
        <v>0</v>
      </c>
      <c r="W768">
        <f t="shared" si="232"/>
        <v>0</v>
      </c>
      <c r="X768">
        <f t="shared" si="233"/>
        <v>0</v>
      </c>
      <c r="Y768">
        <f t="shared" si="234"/>
        <v>0</v>
      </c>
      <c r="Z768">
        <f t="shared" si="235"/>
        <v>0</v>
      </c>
      <c r="AA768">
        <f>IF($D768="",0,IF($F768&lt;2,0,IF($E768="Win",('Guide &amp; Settings'!$C$42/(($F768-1)*COUNTIFS($A$4:$A$1510,$A768,$E$4:$E$1510,"Win")))*SUMIFS($Z$4:$Z$1510,$A$4:$A$1510,$A768,$E$4:$E$1510,"Loss"),-('Guide &amp; Settings'!$C$42/($F768-1))*$Z768)))</f>
        <v>0</v>
      </c>
      <c r="AB768" s="126">
        <f t="shared" si="236"/>
        <v>0</v>
      </c>
      <c r="AC768" s="126" t="str">
        <f>IF($D768="","",IF($AD768=0,0,IF(COUNTIFS($D$4:$D768,$D768,$B$4:$B768,$B768)&gt;1,0,IF($B768&lt;'Guide &amp; Settings'!$C$50,0,IF(($B768-$AD768)/7-'Guide &amp; Settings'!$C$48&gt;=0,(INT(($B768-$AD768)/7-'Guide &amp; Settings'!$C$48)+1)*'Guide &amp; Settings'!$C$49,0)))))</f>
        <v/>
      </c>
      <c r="AD768" s="142">
        <f t="shared" si="237"/>
        <v>0</v>
      </c>
      <c r="AE768">
        <f t="shared" si="238"/>
        <v>0</v>
      </c>
      <c r="AF768">
        <f t="shared" si="239"/>
        <v>0</v>
      </c>
    </row>
    <row r="769" spans="1:32" x14ac:dyDescent="0.2">
      <c r="A769" s="117"/>
      <c r="B769" s="118"/>
      <c r="C769" s="119"/>
      <c r="D769" s="119"/>
      <c r="E769" s="117"/>
      <c r="F769" s="120">
        <f t="shared" si="220"/>
        <v>0</v>
      </c>
      <c r="G769" s="121" t="str">
        <f t="shared" si="221"/>
        <v/>
      </c>
      <c r="H769" s="122">
        <f>IF($D769="",0,IFERROR(LOOKUP(2,1/(($D$3:D768=$D769)*($A$3:A768&lt;$A769)),$N$3:N768),'Guide &amp; Settings'!$C$41))</f>
        <v>0</v>
      </c>
      <c r="I769" s="123">
        <f t="shared" si="222"/>
        <v>0</v>
      </c>
      <c r="J769" s="124">
        <f>IF($D769="",0,IF($F769&lt;2,0,IF($E769="Win",('Guide &amp; Settings'!$C$42/(($F769-1)*COUNTIFS($A$4:$A$1510,$A769,$E$4:$E$1510,"Win")))*SUMIFS($X$4:$X$1510,$A$4:$A$1510,$A769,$E$4:$E$1510,"Loss"),-('Guide &amp; Settings'!$C$42/($F769-1))*$X769)))</f>
        <v>0</v>
      </c>
      <c r="K769" s="124">
        <f>IF($D769="",0,'Guide &amp; Settings'!$C$43*(IF($E769="Win",1,0)-$I769))</f>
        <v>0</v>
      </c>
      <c r="L769" s="125">
        <f>IF($D769="",0,'Guide &amp; Settings'!$C$44*IF($F769&gt;=3,$F769,0))</f>
        <v>0</v>
      </c>
      <c r="M769" s="124">
        <f t="shared" si="223"/>
        <v>0</v>
      </c>
      <c r="N769" s="122">
        <f t="shared" si="224"/>
        <v>0</v>
      </c>
      <c r="O769" s="121" t="str">
        <f t="shared" si="225"/>
        <v/>
      </c>
      <c r="P769">
        <f t="shared" si="226"/>
        <v>0</v>
      </c>
      <c r="Q769">
        <f t="shared" si="227"/>
        <v>0</v>
      </c>
      <c r="R769">
        <f t="shared" si="228"/>
        <v>0</v>
      </c>
      <c r="S769">
        <f t="shared" si="229"/>
        <v>0</v>
      </c>
      <c r="T769" s="89">
        <f t="shared" si="230"/>
        <v>0</v>
      </c>
      <c r="U769" s="126">
        <f>IF($D769="",0,IFERROR(LOOKUP(2,1/(($D$3:D768=$D769)*($C$3:C768=$C769)*($A$3:A768&lt;$A769)),$AB$3:AB768),1000))</f>
        <v>0</v>
      </c>
      <c r="V769" s="126">
        <f t="shared" si="231"/>
        <v>0</v>
      </c>
      <c r="W769">
        <f t="shared" si="232"/>
        <v>0</v>
      </c>
      <c r="X769">
        <f t="shared" si="233"/>
        <v>0</v>
      </c>
      <c r="Y769">
        <f t="shared" si="234"/>
        <v>0</v>
      </c>
      <c r="Z769">
        <f t="shared" si="235"/>
        <v>0</v>
      </c>
      <c r="AA769">
        <f>IF($D769="",0,IF($F769&lt;2,0,IF($E769="Win",('Guide &amp; Settings'!$C$42/(($F769-1)*COUNTIFS($A$4:$A$1510,$A769,$E$4:$E$1510,"Win")))*SUMIFS($Z$4:$Z$1510,$A$4:$A$1510,$A769,$E$4:$E$1510,"Loss"),-('Guide &amp; Settings'!$C$42/($F769-1))*$Z769)))</f>
        <v>0</v>
      </c>
      <c r="AB769" s="126">
        <f t="shared" si="236"/>
        <v>0</v>
      </c>
      <c r="AC769" s="126" t="str">
        <f>IF($D769="","",IF($AD769=0,0,IF(COUNTIFS($D$4:$D769,$D769,$B$4:$B769,$B769)&gt;1,0,IF($B769&lt;'Guide &amp; Settings'!$C$50,0,IF(($B769-$AD769)/7-'Guide &amp; Settings'!$C$48&gt;=0,(INT(($B769-$AD769)/7-'Guide &amp; Settings'!$C$48)+1)*'Guide &amp; Settings'!$C$49,0)))))</f>
        <v/>
      </c>
      <c r="AD769" s="142">
        <f t="shared" si="237"/>
        <v>0</v>
      </c>
      <c r="AE769">
        <f t="shared" si="238"/>
        <v>0</v>
      </c>
      <c r="AF769">
        <f t="shared" si="239"/>
        <v>0</v>
      </c>
    </row>
    <row r="770" spans="1:32" x14ac:dyDescent="0.2">
      <c r="A770" s="117"/>
      <c r="B770" s="118"/>
      <c r="C770" s="119"/>
      <c r="D770" s="119"/>
      <c r="E770" s="117"/>
      <c r="F770" s="120">
        <f t="shared" si="220"/>
        <v>0</v>
      </c>
      <c r="G770" s="121" t="str">
        <f t="shared" si="221"/>
        <v/>
      </c>
      <c r="H770" s="122">
        <f>IF($D770="",0,IFERROR(LOOKUP(2,1/(($D$3:D769=$D770)*($A$3:A769&lt;$A770)),$N$3:N769),'Guide &amp; Settings'!$C$41))</f>
        <v>0</v>
      </c>
      <c r="I770" s="123">
        <f t="shared" si="222"/>
        <v>0</v>
      </c>
      <c r="J770" s="124">
        <f>IF($D770="",0,IF($F770&lt;2,0,IF($E770="Win",('Guide &amp; Settings'!$C$42/(($F770-1)*COUNTIFS($A$4:$A$1510,$A770,$E$4:$E$1510,"Win")))*SUMIFS($X$4:$X$1510,$A$4:$A$1510,$A770,$E$4:$E$1510,"Loss"),-('Guide &amp; Settings'!$C$42/($F770-1))*$X770)))</f>
        <v>0</v>
      </c>
      <c r="K770" s="124">
        <f>IF($D770="",0,'Guide &amp; Settings'!$C$43*(IF($E770="Win",1,0)-$I770))</f>
        <v>0</v>
      </c>
      <c r="L770" s="125">
        <f>IF($D770="",0,'Guide &amp; Settings'!$C$44*IF($F770&gt;=3,$F770,0))</f>
        <v>0</v>
      </c>
      <c r="M770" s="124">
        <f t="shared" si="223"/>
        <v>0</v>
      </c>
      <c r="N770" s="122">
        <f t="shared" si="224"/>
        <v>0</v>
      </c>
      <c r="O770" s="121" t="str">
        <f t="shared" si="225"/>
        <v/>
      </c>
      <c r="P770">
        <f t="shared" si="226"/>
        <v>0</v>
      </c>
      <c r="Q770">
        <f t="shared" si="227"/>
        <v>0</v>
      </c>
      <c r="R770">
        <f t="shared" si="228"/>
        <v>0</v>
      </c>
      <c r="S770">
        <f t="shared" si="229"/>
        <v>0</v>
      </c>
      <c r="T770" s="89">
        <f t="shared" si="230"/>
        <v>0</v>
      </c>
      <c r="U770" s="126">
        <f>IF($D770="",0,IFERROR(LOOKUP(2,1/(($D$3:D769=$D770)*($C$3:C769=$C770)*($A$3:A769&lt;$A770)),$AB$3:AB769),1000))</f>
        <v>0</v>
      </c>
      <c r="V770" s="126">
        <f t="shared" si="231"/>
        <v>0</v>
      </c>
      <c r="W770">
        <f t="shared" si="232"/>
        <v>0</v>
      </c>
      <c r="X770">
        <f t="shared" si="233"/>
        <v>0</v>
      </c>
      <c r="Y770">
        <f t="shared" si="234"/>
        <v>0</v>
      </c>
      <c r="Z770">
        <f t="shared" si="235"/>
        <v>0</v>
      </c>
      <c r="AA770">
        <f>IF($D770="",0,IF($F770&lt;2,0,IF($E770="Win",('Guide &amp; Settings'!$C$42/(($F770-1)*COUNTIFS($A$4:$A$1510,$A770,$E$4:$E$1510,"Win")))*SUMIFS($Z$4:$Z$1510,$A$4:$A$1510,$A770,$E$4:$E$1510,"Loss"),-('Guide &amp; Settings'!$C$42/($F770-1))*$Z770)))</f>
        <v>0</v>
      </c>
      <c r="AB770" s="126">
        <f t="shared" si="236"/>
        <v>0</v>
      </c>
      <c r="AC770" s="126" t="str">
        <f>IF($D770="","",IF($AD770=0,0,IF(COUNTIFS($D$4:$D770,$D770,$B$4:$B770,$B770)&gt;1,0,IF($B770&lt;'Guide &amp; Settings'!$C$50,0,IF(($B770-$AD770)/7-'Guide &amp; Settings'!$C$48&gt;=0,(INT(($B770-$AD770)/7-'Guide &amp; Settings'!$C$48)+1)*'Guide &amp; Settings'!$C$49,0)))))</f>
        <v/>
      </c>
      <c r="AD770" s="142">
        <f t="shared" si="237"/>
        <v>0</v>
      </c>
      <c r="AE770">
        <f t="shared" si="238"/>
        <v>0</v>
      </c>
      <c r="AF770">
        <f t="shared" si="239"/>
        <v>0</v>
      </c>
    </row>
    <row r="771" spans="1:32" x14ac:dyDescent="0.2">
      <c r="A771" s="117"/>
      <c r="B771" s="118"/>
      <c r="C771" s="119"/>
      <c r="D771" s="119"/>
      <c r="E771" s="117"/>
      <c r="F771" s="120">
        <f t="shared" si="220"/>
        <v>0</v>
      </c>
      <c r="G771" s="121" t="str">
        <f t="shared" si="221"/>
        <v/>
      </c>
      <c r="H771" s="122">
        <f>IF($D771="",0,IFERROR(LOOKUP(2,1/(($D$3:D770=$D771)*($A$3:A770&lt;$A771)),$N$3:N770),'Guide &amp; Settings'!$C$41))</f>
        <v>0</v>
      </c>
      <c r="I771" s="123">
        <f t="shared" si="222"/>
        <v>0</v>
      </c>
      <c r="J771" s="124">
        <f>IF($D771="",0,IF($F771&lt;2,0,IF($E771="Win",('Guide &amp; Settings'!$C$42/(($F771-1)*COUNTIFS($A$4:$A$1510,$A771,$E$4:$E$1510,"Win")))*SUMIFS($X$4:$X$1510,$A$4:$A$1510,$A771,$E$4:$E$1510,"Loss"),-('Guide &amp; Settings'!$C$42/($F771-1))*$X771)))</f>
        <v>0</v>
      </c>
      <c r="K771" s="124">
        <f>IF($D771="",0,'Guide &amp; Settings'!$C$43*(IF($E771="Win",1,0)-$I771))</f>
        <v>0</v>
      </c>
      <c r="L771" s="125">
        <f>IF($D771="",0,'Guide &amp; Settings'!$C$44*IF($F771&gt;=3,$F771,0))</f>
        <v>0</v>
      </c>
      <c r="M771" s="124">
        <f t="shared" si="223"/>
        <v>0</v>
      </c>
      <c r="N771" s="122">
        <f t="shared" si="224"/>
        <v>0</v>
      </c>
      <c r="O771" s="121" t="str">
        <f t="shared" si="225"/>
        <v/>
      </c>
      <c r="P771">
        <f t="shared" si="226"/>
        <v>0</v>
      </c>
      <c r="Q771">
        <f t="shared" si="227"/>
        <v>0</v>
      </c>
      <c r="R771">
        <f t="shared" si="228"/>
        <v>0</v>
      </c>
      <c r="S771">
        <f t="shared" si="229"/>
        <v>0</v>
      </c>
      <c r="T771" s="89">
        <f t="shared" si="230"/>
        <v>0</v>
      </c>
      <c r="U771" s="126">
        <f>IF($D771="",0,IFERROR(LOOKUP(2,1/(($D$3:D770=$D771)*($C$3:C770=$C771)*($A$3:A770&lt;$A771)),$AB$3:AB770),1000))</f>
        <v>0</v>
      </c>
      <c r="V771" s="126">
        <f t="shared" si="231"/>
        <v>0</v>
      </c>
      <c r="W771">
        <f t="shared" si="232"/>
        <v>0</v>
      </c>
      <c r="X771">
        <f t="shared" si="233"/>
        <v>0</v>
      </c>
      <c r="Y771">
        <f t="shared" si="234"/>
        <v>0</v>
      </c>
      <c r="Z771">
        <f t="shared" si="235"/>
        <v>0</v>
      </c>
      <c r="AA771">
        <f>IF($D771="",0,IF($F771&lt;2,0,IF($E771="Win",('Guide &amp; Settings'!$C$42/(($F771-1)*COUNTIFS($A$4:$A$1510,$A771,$E$4:$E$1510,"Win")))*SUMIFS($Z$4:$Z$1510,$A$4:$A$1510,$A771,$E$4:$E$1510,"Loss"),-('Guide &amp; Settings'!$C$42/($F771-1))*$Z771)))</f>
        <v>0</v>
      </c>
      <c r="AB771" s="126">
        <f t="shared" si="236"/>
        <v>0</v>
      </c>
      <c r="AC771" s="126" t="str">
        <f>IF($D771="","",IF($AD771=0,0,IF(COUNTIFS($D$4:$D771,$D771,$B$4:$B771,$B771)&gt;1,0,IF($B771&lt;'Guide &amp; Settings'!$C$50,0,IF(($B771-$AD771)/7-'Guide &amp; Settings'!$C$48&gt;=0,(INT(($B771-$AD771)/7-'Guide &amp; Settings'!$C$48)+1)*'Guide &amp; Settings'!$C$49,0)))))</f>
        <v/>
      </c>
      <c r="AD771" s="142">
        <f t="shared" si="237"/>
        <v>0</v>
      </c>
      <c r="AE771">
        <f t="shared" si="238"/>
        <v>0</v>
      </c>
      <c r="AF771">
        <f t="shared" si="239"/>
        <v>0</v>
      </c>
    </row>
    <row r="772" spans="1:32" x14ac:dyDescent="0.2">
      <c r="A772" s="117"/>
      <c r="B772" s="118"/>
      <c r="C772" s="119"/>
      <c r="D772" s="119"/>
      <c r="E772" s="117"/>
      <c r="F772" s="120">
        <f t="shared" ref="F772:F835" si="240">IF($D772="",0,COUNTIF($A$4:$A$1510,$A772))</f>
        <v>0</v>
      </c>
      <c r="G772" s="121" t="str">
        <f t="shared" ref="G772:G835" si="241">IF($D772="","",IFERROR(LOOKUP(2,1/(($A$4:$A$1510=$A772)*($E$4:$E$1510="Win")),$D$4:$D$1510),"(no winner)"))</f>
        <v/>
      </c>
      <c r="H772" s="122">
        <f>IF($D772="",0,IFERROR(LOOKUP(2,1/(($D$3:D771=$D772)*($A$3:A771&lt;$A772)),$N$3:N771),'Guide &amp; Settings'!$C$41))</f>
        <v>0</v>
      </c>
      <c r="I772" s="123">
        <f t="shared" ref="I772:I835" si="242">IF($D772="",0,IF($S772=0,0,$R772/$S772))</f>
        <v>0</v>
      </c>
      <c r="J772" s="124">
        <f>IF($D772="",0,IF($F772&lt;2,0,IF($E772="Win",('Guide &amp; Settings'!$C$42/(($F772-1)*COUNTIFS($A$4:$A$1510,$A772,$E$4:$E$1510,"Win")))*SUMIFS($X$4:$X$1510,$A$4:$A$1510,$A772,$E$4:$E$1510,"Loss"),-('Guide &amp; Settings'!$C$42/($F772-1))*$X772)))</f>
        <v>0</v>
      </c>
      <c r="K772" s="124">
        <f>IF($D772="",0,'Guide &amp; Settings'!$C$43*(IF($E772="Win",1,0)-$I772))</f>
        <v>0</v>
      </c>
      <c r="L772" s="125">
        <f>IF($D772="",0,'Guide &amp; Settings'!$C$44*IF($F772&gt;=3,$F772,0))</f>
        <v>0</v>
      </c>
      <c r="M772" s="124">
        <f t="shared" ref="M772:M835" si="243">IF($D772="",0,$J772+$K772+$L772)</f>
        <v>0</v>
      </c>
      <c r="N772" s="122">
        <f t="shared" ref="N772:N835" si="244">IF($D772="",0,$H772+$M772)</f>
        <v>0</v>
      </c>
      <c r="O772" s="121" t="str">
        <f t="shared" ref="O772:O835" si="245">IF($D772="","",IF($AE772=0,"need a winner",IF($F772-$AE772=0,"need a loser",IF(MOD($AF772,2)=1,"duplicate player",IF(MOD(INT($AF772/2),2)=1,"mixed sports",IF($AF772&gt;=4,"mixed dates",IF($AE772&gt;1,IF($F772&gt;=4,"OK (team)","check winners"),"OK")))))))</f>
        <v/>
      </c>
      <c r="P772">
        <f t="shared" ref="P772:P835" si="246">IF($D772="",0,IFERROR(SUMIFS($H$4:$H$1510,$A$4:$A$1510,$A772,$E$4:$E$1510,"Win")/COUNTIFS($A$4:$A$1510,$A772,$E$4:$E$1510,"Win"),0))</f>
        <v>0</v>
      </c>
      <c r="Q772">
        <f t="shared" ref="Q772:Q835" si="247">IF($D772="",0,1/(1+10^(($P772-$H772)/400)))</f>
        <v>0</v>
      </c>
      <c r="R772">
        <f t="shared" ref="R772:R835" si="248">IF($D772="",0,(COUNTIFS($D$4:$D$1510,$D772,$C$4:$C$1510,$C772,$E$4:$E$1510,"Win",$A$4:$A$1510,"&lt;"&amp;$A772)+1)/(COUNTIFS($D$4:$D$1510,$D772,$C$4:$C$1510,$C772,$A$4:$A$1510,"&lt;"&amp;$A772)+2))</f>
        <v>0</v>
      </c>
      <c r="S772">
        <f t="shared" ref="S772:S835" si="249">IF($D772="",0,SUMIFS($R$4:$R$1510,$A$4:$A$1510,$A772))</f>
        <v>0</v>
      </c>
      <c r="T772" s="89">
        <f t="shared" ref="T772:T835" si="250">IF($D772="",0,COUNTIFS($D$4:$D$1510,$D772,$C$4:$C$1510,$C772,$A$4:$A$1510,"&lt;"&amp;$A772))</f>
        <v>0</v>
      </c>
      <c r="U772" s="126">
        <f>IF($D772="",0,IFERROR(LOOKUP(2,1/(($D$3:D771=$D772)*($C$3:C771=$C772)*($A$3:A771&lt;$A772)),$AB$3:AB771),1000))</f>
        <v>0</v>
      </c>
      <c r="V772" s="126">
        <f t="shared" ref="V772:V835" si="251">IF($D772="",0,$U772*($T772/($T772+5))+$H772*(1-$T772/($T772+5)))</f>
        <v>0</v>
      </c>
      <c r="W772">
        <f t="shared" ref="W772:W835" si="252">IF($D772="",0,IFERROR(SUMIFS($V$4:$V$1510,$A$4:$A$1510,$A772,$E$4:$E$1510,"Win")/COUNTIFS($A$4:$A$1510,$A772,$E$4:$E$1510,"Win"),0))</f>
        <v>0</v>
      </c>
      <c r="X772">
        <f t="shared" ref="X772:X835" si="253">IF($D772="",0,1/(1+10^(($W772-$V772)/400)))</f>
        <v>0</v>
      </c>
      <c r="Y772">
        <f t="shared" ref="Y772:Y835" si="254">IF($D772="",0,IFERROR(SUMIFS($U$4:$U$1510,$A$4:$A$1510,$A772,$E$4:$E$1510,"Win")/COUNTIFS($A$4:$A$1510,$A772,$E$4:$E$1510,"Win"),0))</f>
        <v>0</v>
      </c>
      <c r="Z772">
        <f t="shared" ref="Z772:Z835" si="255">IF($D772="",0,1/(1+10^(($Y772-$U772)/400)))</f>
        <v>0</v>
      </c>
      <c r="AA772">
        <f>IF($D772="",0,IF($F772&lt;2,0,IF($E772="Win",('Guide &amp; Settings'!$C$42/(($F772-1)*COUNTIFS($A$4:$A$1510,$A772,$E$4:$E$1510,"Win")))*SUMIFS($Z$4:$Z$1510,$A$4:$A$1510,$A772,$E$4:$E$1510,"Loss"),-('Guide &amp; Settings'!$C$42/($F772-1))*$Z772)))</f>
        <v>0</v>
      </c>
      <c r="AB772" s="126">
        <f t="shared" ref="AB772:AB835" si="256">IF($D772="",0,$U772+$AA772)</f>
        <v>0</v>
      </c>
      <c r="AC772" s="126" t="str">
        <f>IF($D772="","",IF($AD772=0,0,IF(COUNTIFS($D$4:$D772,$D772,$B$4:$B772,$B772)&gt;1,0,IF($B772&lt;'Guide &amp; Settings'!$C$50,0,IF(($B772-$AD772)/7-'Guide &amp; Settings'!$C$48&gt;=0,(INT(($B772-$AD772)/7-'Guide &amp; Settings'!$C$48)+1)*'Guide &amp; Settings'!$C$49,0)))))</f>
        <v/>
      </c>
      <c r="AD772" s="142">
        <f t="shared" ref="AD772:AD835" si="257">IF($D772="",0,SUMPRODUCT(MAX(($D$4:$D$1510=$D772)*($B$4:$B$1510&lt;$B772)*$B$4:$B$1510)))</f>
        <v>0</v>
      </c>
      <c r="AE772">
        <f t="shared" ref="AE772:AE835" si="258">IF($D772="",0,COUNTIFS($A$4:$A$1510,$A772,$E$4:$E$1510,"Win"))</f>
        <v>0</v>
      </c>
      <c r="AF772">
        <f t="shared" ref="AF772:AF835" si="259">IF($D772="",0,(COUNTIFS($A$4:$A$1510,$A772,$D$4:$D$1510,$D772)&gt;1)*1+(COUNTIFS($A$4:$A$1510,$A772,$C$4:$C$1510,"&lt;&gt;"&amp;$C772)&gt;0)*2+(COUNTIFS($A$4:$A$1510,$A772,$B$4:$B$1510,"&lt;&gt;"&amp;$B772)&gt;0)*4)</f>
        <v>0</v>
      </c>
    </row>
    <row r="773" spans="1:32" x14ac:dyDescent="0.2">
      <c r="A773" s="117"/>
      <c r="B773" s="118"/>
      <c r="C773" s="119"/>
      <c r="D773" s="119"/>
      <c r="E773" s="117"/>
      <c r="F773" s="120">
        <f t="shared" si="240"/>
        <v>0</v>
      </c>
      <c r="G773" s="121" t="str">
        <f t="shared" si="241"/>
        <v/>
      </c>
      <c r="H773" s="122">
        <f>IF($D773="",0,IFERROR(LOOKUP(2,1/(($D$3:D772=$D773)*($A$3:A772&lt;$A773)),$N$3:N772),'Guide &amp; Settings'!$C$41))</f>
        <v>0</v>
      </c>
      <c r="I773" s="123">
        <f t="shared" si="242"/>
        <v>0</v>
      </c>
      <c r="J773" s="124">
        <f>IF($D773="",0,IF($F773&lt;2,0,IF($E773="Win",('Guide &amp; Settings'!$C$42/(($F773-1)*COUNTIFS($A$4:$A$1510,$A773,$E$4:$E$1510,"Win")))*SUMIFS($X$4:$X$1510,$A$4:$A$1510,$A773,$E$4:$E$1510,"Loss"),-('Guide &amp; Settings'!$C$42/($F773-1))*$X773)))</f>
        <v>0</v>
      </c>
      <c r="K773" s="124">
        <f>IF($D773="",0,'Guide &amp; Settings'!$C$43*(IF($E773="Win",1,0)-$I773))</f>
        <v>0</v>
      </c>
      <c r="L773" s="125">
        <f>IF($D773="",0,'Guide &amp; Settings'!$C$44*IF($F773&gt;=3,$F773,0))</f>
        <v>0</v>
      </c>
      <c r="M773" s="124">
        <f t="shared" si="243"/>
        <v>0</v>
      </c>
      <c r="N773" s="122">
        <f t="shared" si="244"/>
        <v>0</v>
      </c>
      <c r="O773" s="121" t="str">
        <f t="shared" si="245"/>
        <v/>
      </c>
      <c r="P773">
        <f t="shared" si="246"/>
        <v>0</v>
      </c>
      <c r="Q773">
        <f t="shared" si="247"/>
        <v>0</v>
      </c>
      <c r="R773">
        <f t="shared" si="248"/>
        <v>0</v>
      </c>
      <c r="S773">
        <f t="shared" si="249"/>
        <v>0</v>
      </c>
      <c r="T773" s="89">
        <f t="shared" si="250"/>
        <v>0</v>
      </c>
      <c r="U773" s="126">
        <f>IF($D773="",0,IFERROR(LOOKUP(2,1/(($D$3:D772=$D773)*($C$3:C772=$C773)*($A$3:A772&lt;$A773)),$AB$3:AB772),1000))</f>
        <v>0</v>
      </c>
      <c r="V773" s="126">
        <f t="shared" si="251"/>
        <v>0</v>
      </c>
      <c r="W773">
        <f t="shared" si="252"/>
        <v>0</v>
      </c>
      <c r="X773">
        <f t="shared" si="253"/>
        <v>0</v>
      </c>
      <c r="Y773">
        <f t="shared" si="254"/>
        <v>0</v>
      </c>
      <c r="Z773">
        <f t="shared" si="255"/>
        <v>0</v>
      </c>
      <c r="AA773">
        <f>IF($D773="",0,IF($F773&lt;2,0,IF($E773="Win",('Guide &amp; Settings'!$C$42/(($F773-1)*COUNTIFS($A$4:$A$1510,$A773,$E$4:$E$1510,"Win")))*SUMIFS($Z$4:$Z$1510,$A$4:$A$1510,$A773,$E$4:$E$1510,"Loss"),-('Guide &amp; Settings'!$C$42/($F773-1))*$Z773)))</f>
        <v>0</v>
      </c>
      <c r="AB773" s="126">
        <f t="shared" si="256"/>
        <v>0</v>
      </c>
      <c r="AC773" s="126" t="str">
        <f>IF($D773="","",IF($AD773=0,0,IF(COUNTIFS($D$4:$D773,$D773,$B$4:$B773,$B773)&gt;1,0,IF($B773&lt;'Guide &amp; Settings'!$C$50,0,IF(($B773-$AD773)/7-'Guide &amp; Settings'!$C$48&gt;=0,(INT(($B773-$AD773)/7-'Guide &amp; Settings'!$C$48)+1)*'Guide &amp; Settings'!$C$49,0)))))</f>
        <v/>
      </c>
      <c r="AD773" s="142">
        <f t="shared" si="257"/>
        <v>0</v>
      </c>
      <c r="AE773">
        <f t="shared" si="258"/>
        <v>0</v>
      </c>
      <c r="AF773">
        <f t="shared" si="259"/>
        <v>0</v>
      </c>
    </row>
    <row r="774" spans="1:32" x14ac:dyDescent="0.2">
      <c r="A774" s="117"/>
      <c r="B774" s="118"/>
      <c r="C774" s="119"/>
      <c r="D774" s="119"/>
      <c r="E774" s="117"/>
      <c r="F774" s="120">
        <f t="shared" si="240"/>
        <v>0</v>
      </c>
      <c r="G774" s="121" t="str">
        <f t="shared" si="241"/>
        <v/>
      </c>
      <c r="H774" s="122">
        <f>IF($D774="",0,IFERROR(LOOKUP(2,1/(($D$3:D773=$D774)*($A$3:A773&lt;$A774)),$N$3:N773),'Guide &amp; Settings'!$C$41))</f>
        <v>0</v>
      </c>
      <c r="I774" s="123">
        <f t="shared" si="242"/>
        <v>0</v>
      </c>
      <c r="J774" s="124">
        <f>IF($D774="",0,IF($F774&lt;2,0,IF($E774="Win",('Guide &amp; Settings'!$C$42/(($F774-1)*COUNTIFS($A$4:$A$1510,$A774,$E$4:$E$1510,"Win")))*SUMIFS($X$4:$X$1510,$A$4:$A$1510,$A774,$E$4:$E$1510,"Loss"),-('Guide &amp; Settings'!$C$42/($F774-1))*$X774)))</f>
        <v>0</v>
      </c>
      <c r="K774" s="124">
        <f>IF($D774="",0,'Guide &amp; Settings'!$C$43*(IF($E774="Win",1,0)-$I774))</f>
        <v>0</v>
      </c>
      <c r="L774" s="125">
        <f>IF($D774="",0,'Guide &amp; Settings'!$C$44*IF($F774&gt;=3,$F774,0))</f>
        <v>0</v>
      </c>
      <c r="M774" s="124">
        <f t="shared" si="243"/>
        <v>0</v>
      </c>
      <c r="N774" s="122">
        <f t="shared" si="244"/>
        <v>0</v>
      </c>
      <c r="O774" s="121" t="str">
        <f t="shared" si="245"/>
        <v/>
      </c>
      <c r="P774">
        <f t="shared" si="246"/>
        <v>0</v>
      </c>
      <c r="Q774">
        <f t="shared" si="247"/>
        <v>0</v>
      </c>
      <c r="R774">
        <f t="shared" si="248"/>
        <v>0</v>
      </c>
      <c r="S774">
        <f t="shared" si="249"/>
        <v>0</v>
      </c>
      <c r="T774" s="89">
        <f t="shared" si="250"/>
        <v>0</v>
      </c>
      <c r="U774" s="126">
        <f>IF($D774="",0,IFERROR(LOOKUP(2,1/(($D$3:D773=$D774)*($C$3:C773=$C774)*($A$3:A773&lt;$A774)),$AB$3:AB773),1000))</f>
        <v>0</v>
      </c>
      <c r="V774" s="126">
        <f t="shared" si="251"/>
        <v>0</v>
      </c>
      <c r="W774">
        <f t="shared" si="252"/>
        <v>0</v>
      </c>
      <c r="X774">
        <f t="shared" si="253"/>
        <v>0</v>
      </c>
      <c r="Y774">
        <f t="shared" si="254"/>
        <v>0</v>
      </c>
      <c r="Z774">
        <f t="shared" si="255"/>
        <v>0</v>
      </c>
      <c r="AA774">
        <f>IF($D774="",0,IF($F774&lt;2,0,IF($E774="Win",('Guide &amp; Settings'!$C$42/(($F774-1)*COUNTIFS($A$4:$A$1510,$A774,$E$4:$E$1510,"Win")))*SUMIFS($Z$4:$Z$1510,$A$4:$A$1510,$A774,$E$4:$E$1510,"Loss"),-('Guide &amp; Settings'!$C$42/($F774-1))*$Z774)))</f>
        <v>0</v>
      </c>
      <c r="AB774" s="126">
        <f t="shared" si="256"/>
        <v>0</v>
      </c>
      <c r="AC774" s="126" t="str">
        <f>IF($D774="","",IF($AD774=0,0,IF(COUNTIFS($D$4:$D774,$D774,$B$4:$B774,$B774)&gt;1,0,IF($B774&lt;'Guide &amp; Settings'!$C$50,0,IF(($B774-$AD774)/7-'Guide &amp; Settings'!$C$48&gt;=0,(INT(($B774-$AD774)/7-'Guide &amp; Settings'!$C$48)+1)*'Guide &amp; Settings'!$C$49,0)))))</f>
        <v/>
      </c>
      <c r="AD774" s="142">
        <f t="shared" si="257"/>
        <v>0</v>
      </c>
      <c r="AE774">
        <f t="shared" si="258"/>
        <v>0</v>
      </c>
      <c r="AF774">
        <f t="shared" si="259"/>
        <v>0</v>
      </c>
    </row>
    <row r="775" spans="1:32" x14ac:dyDescent="0.2">
      <c r="A775" s="117"/>
      <c r="B775" s="118"/>
      <c r="C775" s="119"/>
      <c r="D775" s="119"/>
      <c r="E775" s="117"/>
      <c r="F775" s="120">
        <f t="shared" si="240"/>
        <v>0</v>
      </c>
      <c r="G775" s="121" t="str">
        <f t="shared" si="241"/>
        <v/>
      </c>
      <c r="H775" s="122">
        <f>IF($D775="",0,IFERROR(LOOKUP(2,1/(($D$3:D774=$D775)*($A$3:A774&lt;$A775)),$N$3:N774),'Guide &amp; Settings'!$C$41))</f>
        <v>0</v>
      </c>
      <c r="I775" s="123">
        <f t="shared" si="242"/>
        <v>0</v>
      </c>
      <c r="J775" s="124">
        <f>IF($D775="",0,IF($F775&lt;2,0,IF($E775="Win",('Guide &amp; Settings'!$C$42/(($F775-1)*COUNTIFS($A$4:$A$1510,$A775,$E$4:$E$1510,"Win")))*SUMIFS($X$4:$X$1510,$A$4:$A$1510,$A775,$E$4:$E$1510,"Loss"),-('Guide &amp; Settings'!$C$42/($F775-1))*$X775)))</f>
        <v>0</v>
      </c>
      <c r="K775" s="124">
        <f>IF($D775="",0,'Guide &amp; Settings'!$C$43*(IF($E775="Win",1,0)-$I775))</f>
        <v>0</v>
      </c>
      <c r="L775" s="125">
        <f>IF($D775="",0,'Guide &amp; Settings'!$C$44*IF($F775&gt;=3,$F775,0))</f>
        <v>0</v>
      </c>
      <c r="M775" s="124">
        <f t="shared" si="243"/>
        <v>0</v>
      </c>
      <c r="N775" s="122">
        <f t="shared" si="244"/>
        <v>0</v>
      </c>
      <c r="O775" s="121" t="str">
        <f t="shared" si="245"/>
        <v/>
      </c>
      <c r="P775">
        <f t="shared" si="246"/>
        <v>0</v>
      </c>
      <c r="Q775">
        <f t="shared" si="247"/>
        <v>0</v>
      </c>
      <c r="R775">
        <f t="shared" si="248"/>
        <v>0</v>
      </c>
      <c r="S775">
        <f t="shared" si="249"/>
        <v>0</v>
      </c>
      <c r="T775" s="89">
        <f t="shared" si="250"/>
        <v>0</v>
      </c>
      <c r="U775" s="126">
        <f>IF($D775="",0,IFERROR(LOOKUP(2,1/(($D$3:D774=$D775)*($C$3:C774=$C775)*($A$3:A774&lt;$A775)),$AB$3:AB774),1000))</f>
        <v>0</v>
      </c>
      <c r="V775" s="126">
        <f t="shared" si="251"/>
        <v>0</v>
      </c>
      <c r="W775">
        <f t="shared" si="252"/>
        <v>0</v>
      </c>
      <c r="X775">
        <f t="shared" si="253"/>
        <v>0</v>
      </c>
      <c r="Y775">
        <f t="shared" si="254"/>
        <v>0</v>
      </c>
      <c r="Z775">
        <f t="shared" si="255"/>
        <v>0</v>
      </c>
      <c r="AA775">
        <f>IF($D775="",0,IF($F775&lt;2,0,IF($E775="Win",('Guide &amp; Settings'!$C$42/(($F775-1)*COUNTIFS($A$4:$A$1510,$A775,$E$4:$E$1510,"Win")))*SUMIFS($Z$4:$Z$1510,$A$4:$A$1510,$A775,$E$4:$E$1510,"Loss"),-('Guide &amp; Settings'!$C$42/($F775-1))*$Z775)))</f>
        <v>0</v>
      </c>
      <c r="AB775" s="126">
        <f t="shared" si="256"/>
        <v>0</v>
      </c>
      <c r="AC775" s="126" t="str">
        <f>IF($D775="","",IF($AD775=0,0,IF(COUNTIFS($D$4:$D775,$D775,$B$4:$B775,$B775)&gt;1,0,IF($B775&lt;'Guide &amp; Settings'!$C$50,0,IF(($B775-$AD775)/7-'Guide &amp; Settings'!$C$48&gt;=0,(INT(($B775-$AD775)/7-'Guide &amp; Settings'!$C$48)+1)*'Guide &amp; Settings'!$C$49,0)))))</f>
        <v/>
      </c>
      <c r="AD775" s="142">
        <f t="shared" si="257"/>
        <v>0</v>
      </c>
      <c r="AE775">
        <f t="shared" si="258"/>
        <v>0</v>
      </c>
      <c r="AF775">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42">
        <f t="shared" si="257"/>
        <v>0</v>
      </c>
      <c r="AE776">
        <f t="shared" si="258"/>
        <v>0</v>
      </c>
      <c r="AF776">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42">
        <f t="shared" si="257"/>
        <v>0</v>
      </c>
      <c r="AE777">
        <f t="shared" si="258"/>
        <v>0</v>
      </c>
      <c r="AF77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42">
        <f t="shared" si="257"/>
        <v>0</v>
      </c>
      <c r="AE778">
        <f t="shared" si="258"/>
        <v>0</v>
      </c>
      <c r="AF778">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42">
        <f t="shared" si="257"/>
        <v>0</v>
      </c>
      <c r="AE779">
        <f t="shared" si="258"/>
        <v>0</v>
      </c>
      <c r="AF779">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42">
        <f t="shared" si="257"/>
        <v>0</v>
      </c>
      <c r="AE780">
        <f t="shared" si="258"/>
        <v>0</v>
      </c>
      <c r="AF780">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42">
        <f t="shared" si="257"/>
        <v>0</v>
      </c>
      <c r="AE781">
        <f t="shared" si="258"/>
        <v>0</v>
      </c>
      <c r="AF781">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42">
        <f t="shared" si="257"/>
        <v>0</v>
      </c>
      <c r="AE782">
        <f t="shared" si="258"/>
        <v>0</v>
      </c>
      <c r="AF782">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42">
        <f t="shared" si="257"/>
        <v>0</v>
      </c>
      <c r="AE783">
        <f t="shared" si="258"/>
        <v>0</v>
      </c>
      <c r="AF783">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42">
        <f t="shared" si="257"/>
        <v>0</v>
      </c>
      <c r="AE784">
        <f t="shared" si="258"/>
        <v>0</v>
      </c>
      <c r="AF784">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42">
        <f t="shared" si="257"/>
        <v>0</v>
      </c>
      <c r="AE785">
        <f t="shared" si="258"/>
        <v>0</v>
      </c>
      <c r="AF785">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42">
        <f t="shared" si="257"/>
        <v>0</v>
      </c>
      <c r="AE786">
        <f t="shared" si="258"/>
        <v>0</v>
      </c>
      <c r="AF786">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42">
        <f t="shared" si="257"/>
        <v>0</v>
      </c>
      <c r="AE787">
        <f t="shared" si="258"/>
        <v>0</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4"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4" t="s">
        <v>377</v>
      </c>
      <c r="I3" s="146"/>
      <c r="J3" s="146"/>
      <c r="K3" s="146"/>
      <c r="L3" s="146"/>
      <c r="M3" s="146"/>
      <c r="N3" s="146"/>
      <c r="O3" s="146"/>
      <c r="P3" s="146"/>
      <c r="Q3" s="146"/>
      <c r="R3" s="146"/>
    </row>
    <row r="5" spans="1:18" ht="15" customHeight="1" x14ac:dyDescent="0.2">
      <c r="A5" s="162"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2"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46283</v>
      </c>
    </row>
    <row r="4" spans="1:41" ht="15" customHeight="1" x14ac:dyDescent="0.2">
      <c r="A4" t="s">
        <v>416</v>
      </c>
      <c r="B4" s="138">
        <f>MAX('Match Log'!$B$4:$B$1510)</f>
        <v>46290</v>
      </c>
      <c r="C4" t="s">
        <v>417</v>
      </c>
      <c r="D4" s="138">
        <f ca="1">MAX($B$4,TODAY())</f>
        <v>46290</v>
      </c>
    </row>
    <row r="5" spans="1:41" x14ac:dyDescent="0.2">
      <c r="B5" s="137">
        <f ca="1">TODAY()-7</f>
        <v>46283</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1217.5573388632245</v>
      </c>
      <c r="C7">
        <f>IFERROR(INDEX(Engine!$C$2:$C$15,MATCH($A7,Engine!$A$2:$A$15,0)),"")</f>
        <v>1141.1025297673987</v>
      </c>
      <c r="D7">
        <f t="shared" ref="D7:D20" si="0">RANK($B7,$B$7:$B$20)</f>
        <v>3</v>
      </c>
      <c r="E7">
        <f t="shared" ref="E7:E20" si="1">MAX($B$7:$B$20)-$B7</f>
        <v>3.7916454099840848</v>
      </c>
      <c r="F7" t="str">
        <f>IFERROR(LOOKUP(2,1/('Match Log'!$D$4:$D$1510=$A7),'Match Log'!$E$4:$E$1510),"")</f>
        <v>Loss</v>
      </c>
      <c r="G7">
        <f>IF($F7="",0,SUMPRODUCT(('Match Log'!$D$4:$D$1510=$A7)*(ROW('Match Log'!$A$4:$A$1510)&gt;SUMPRODUCT(MAX(('Match Log'!$D$4:$D$1510=$A7)*('Match Log'!$E$4:$E$1510&lt;&gt;$F7)*ROW('Match Log'!$A$4:$A$1510))))))</f>
        <v>5</v>
      </c>
      <c r="H7" t="str">
        <f t="shared" ref="H7:H20" si="2">IF($G7=0,"",LEFT($F7,1)&amp;$G7)</f>
        <v>L5</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LLLLL</v>
      </c>
      <c r="J7">
        <f t="shared" ref="J7:J20" ca="1" si="3">$AL7-$AM7+$AN7-$AO7+ROW()/10000000</f>
        <v>1254.4221860966829</v>
      </c>
      <c r="K7">
        <f t="shared" ref="K7:K20" ca="1" si="4">RANK($J7,$J$7:$J$20)</f>
        <v>2</v>
      </c>
      <c r="L7">
        <f t="shared" ref="L7:L20" ca="1" si="5">$K7-RANK($AI7,$AI$7:$AI$20)</f>
        <v>-2</v>
      </c>
      <c r="M7">
        <f t="shared" ref="M7:M20" si="6">SUMPRODUCT(($D$25:$D$724=$A7)*($G$25:$G$724&gt;0.25)*($D$25:$D$724&lt;&gt;""))</f>
        <v>7</v>
      </c>
      <c r="N7">
        <f t="shared" ref="N7:N20" si="7">LEN($I7)-LEN(SUBSTITUTE($I7,"W",""))</f>
        <v>0</v>
      </c>
      <c r="O7">
        <f t="shared" ref="O7:O20" si="8">IF($F7="Win",$G7,0)</f>
        <v>0</v>
      </c>
      <c r="P7">
        <f>IFERROR(SUMPRODUCT(MAX(('Match Log'!$D$4:$D$1510=$A7)*'Match Log'!$B$4:$B$1510)),0)</f>
        <v>46290</v>
      </c>
      <c r="Q7">
        <f t="shared" ref="Q7:Q20" ca="1" si="9">IF($P7=0,"",($D$4-$P7)/7)</f>
        <v>0</v>
      </c>
      <c r="R7">
        <f ca="1">IF($P7=0,0,IF($Q7&gt;='Guide &amp; Settings'!$C$48,(INT($Q7-'Guide &amp; Settings'!$C$48)+1)*'Guide &amp; Settings'!$C$49,0))</f>
        <v>0</v>
      </c>
      <c r="S7">
        <f ca="1">$B7-$R7-$U7+SUMIF('Poker Stake Ledger'!$C$18:$C$137,$A7,'Poker Stake Ledger'!$K$18:$K$137)</f>
        <v>1196.4573388632245</v>
      </c>
      <c r="T7" t="str">
        <f ca="1">IF($P7=0,"No games",IF($Q7&gt;='Guide &amp; Settings'!$C$48,"Inactive",IF($Q7&gt;='Guide &amp; Settings'!$C$47,"At risk","Active")))</f>
        <v>Active</v>
      </c>
      <c r="U7">
        <f>SUMIF('Match Log'!$D$4:$D$1510,$A7,'Match Log'!$AC$4:$AC$1510)</f>
        <v>10</v>
      </c>
      <c r="V7">
        <f t="shared" ref="V7:V20" si="10">IF($F7="Loss",$G7,0)</f>
        <v>5</v>
      </c>
      <c r="W7">
        <f t="shared" ref="W7:W20" ca="1" si="11">MAX(0,MIN(100,50+($S7-1000)/4))</f>
        <v>99.114334715806137</v>
      </c>
      <c r="X7">
        <f ca="1">IFERROR(INDEX(Dashboard!$G$5:$G$18,MATCH($A7,Dashboard!$B$5:$B$18,0))*100,0)</f>
        <v>47.191011235955052</v>
      </c>
      <c r="Y7">
        <f ca="1">MIN(100,IFERROR(INDEX(Dashboard!$K$5:$K$18,MATCH($A7,Dashboard!$B$5:$B$18,0)),0)/5*50+$AC7/4*50)</f>
        <v>100</v>
      </c>
      <c r="Z7">
        <f t="shared" ref="Z7:Z20" si="12">IFERROR($N7/LEN($I7)*100,0)</f>
        <v>0</v>
      </c>
      <c r="AA7">
        <f t="shared" ref="AA7:AA20" si="13">IF($C7="",0,MAX(0,MIN(100,50+($C7-1000)/4)))</f>
        <v>85.275632441849666</v>
      </c>
      <c r="AB7">
        <f t="shared" ref="AB7:AB20" ca="1" si="14">0.35*$W7+0.2*$X7+0.2*$Y7+0.15*$Z7+0.1*$AA7</f>
        <v>72.655782641908118</v>
      </c>
      <c r="AC7">
        <f>IFERROR(SUMPRODUCT((INDEX('Sport Records'!$B$8:$O$32,0,MATCH($A7,'Sport Records'!$B$7:$O$7,0))&gt;=2)*(INDEX('Sport Records'!$B$62:$O$86,0,MATCH($A7,'Sport Records'!$B$61:$O$61,0))&gt;=0.5)),0)</f>
        <v>4</v>
      </c>
      <c r="AD7">
        <f ca="1">IFERROR(INDEX(Dashboard!$D$5:$D$18,MATCH($A7,Dashboard!$B$5:$B$18,0)),0)</f>
        <v>89</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5</v>
      </c>
      <c r="AH7">
        <f ca="1">COUNTIFS('Match Log'!$D$4:$D$1510,$A7,'Match Log'!$B$4:$B$1510,"&gt;="&amp;$B$5,'Match Log'!$E$4:$E$1510,"Win")</f>
        <v>0</v>
      </c>
      <c r="AI7">
        <f t="shared" ref="AI7:AI20" ca="1" si="16">IF(ISNUMBER($S7),$S7,-1000000)+ROW()/10000000</f>
        <v>1196.4573395632247</v>
      </c>
      <c r="AK7">
        <f ca="1">_xlfn.MAXIFS('Match Log'!$B$4:$B$1510,'Match Log'!$D$4:$D$1510,$A7,'Match Log'!$B$4:$B$1510,"&lt;="&amp;($D$4-7))</f>
        <v>46256</v>
      </c>
      <c r="AL7">
        <f ca="1">IFERROR(LOOKUP(2,1/(('Match Log'!$D$4:$D$1510=$A7)*('Match Log'!$B$4:$B$1510&lt;=$D$4-7)),'Match Log'!$N$4:$N$1510),1000)</f>
        <v>1265.5221853966827</v>
      </c>
      <c r="AM7">
        <f ca="1">SUMIFS('Match Log'!$AC$4:$AC$1510,'Match Log'!$D$4:$D$1510,$A7,'Match Log'!$B$4:$B$1510,"&lt;="&amp;($D$4-7))</f>
        <v>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1091.6603007389642</v>
      </c>
      <c r="D8">
        <f t="shared" si="0"/>
        <v>9</v>
      </c>
      <c r="E8">
        <f t="shared" si="1"/>
        <v>191.83138773969472</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929.51759733351378</v>
      </c>
      <c r="K8">
        <f t="shared" ca="1" si="4"/>
        <v>12</v>
      </c>
      <c r="L8">
        <f t="shared" ca="1" si="5"/>
        <v>0</v>
      </c>
      <c r="M8">
        <f t="shared" si="6"/>
        <v>0</v>
      </c>
      <c r="N8">
        <f t="shared" si="7"/>
        <v>2</v>
      </c>
      <c r="O8">
        <f t="shared" si="8"/>
        <v>0</v>
      </c>
      <c r="P8">
        <f>IFERROR(SUMPRODUCT(MAX(('Match Log'!$D$4:$D$1510=$A8)*'Match Log'!$B$4:$B$1510)),0)</f>
        <v>46188</v>
      </c>
      <c r="Q8">
        <f t="shared" ca="1" si="9"/>
        <v>14.571428571428571</v>
      </c>
      <c r="R8">
        <f ca="1">IF($P8=0,0,IF($Q8&gt;='Guide &amp; Settings'!$C$48,(INT($Q8-'Guide &amp; Settings'!$C$48)+1)*'Guide &amp; Settings'!$C$49,0))</f>
        <v>110</v>
      </c>
      <c r="S8">
        <f ca="1">$B8-$R8-$U8+SUMIF('Poker Stake Ledger'!$C$18:$C$137,$A8,'Poker Stake Ledger'!$K$18:$K$137)</f>
        <v>919.51759653351382</v>
      </c>
      <c r="T8" t="str">
        <f ca="1">IF($P8=0,"No games",IF($Q8&gt;='Guide &amp; Settings'!$C$48,"Inactive",IF($Q8&gt;='Guide &amp; Settings'!$C$47,"At risk","Active")))</f>
        <v>Inactive</v>
      </c>
      <c r="U8">
        <f>SUMIF('Match Log'!$D$4:$D$1510,$A8,'Match Log'!$AC$4:$AC$1510)</f>
        <v>0</v>
      </c>
      <c r="V8">
        <f t="shared" si="10"/>
        <v>2</v>
      </c>
      <c r="W8">
        <f t="shared" ca="1" si="11"/>
        <v>29.879399133378456</v>
      </c>
      <c r="X8">
        <f ca="1">IFERROR(INDEX(Dashboard!$G$5:$G$18,MATCH($A8,Dashboard!$B$5:$B$18,0))*100,0)</f>
        <v>50</v>
      </c>
      <c r="Y8">
        <f ca="1">MIN(100,IFERROR(INDEX(Dashboard!$K$5:$K$18,MATCH($A8,Dashboard!$B$5:$B$18,0)),0)/5*50+$AC8/4*50)</f>
        <v>42.5</v>
      </c>
      <c r="Z8">
        <f t="shared" si="12"/>
        <v>40</v>
      </c>
      <c r="AA8">
        <f t="shared" si="13"/>
        <v>72.915075184741056</v>
      </c>
      <c r="AB8">
        <f t="shared" ca="1" si="14"/>
        <v>42.249297215156567</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919.51759733351378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100</v>
      </c>
    </row>
    <row r="9" spans="1:41" ht="15" customHeight="1" x14ac:dyDescent="0.2">
      <c r="A9" t="s">
        <v>17</v>
      </c>
      <c r="B9">
        <f>IFERROR(INDEX(Engine!$B$2:$B$15,MATCH($A9,Engine!$A$2:$A$15,0)),1000)</f>
        <v>1081.2287215286424</v>
      </c>
      <c r="C9">
        <f>IFERROR(INDEX(Engine!$C$2:$C$15,MATCH($A9,Engine!$A$2:$A$15,0)),"")</f>
        <v>1137.4276677442306</v>
      </c>
      <c r="D9">
        <f t="shared" si="0"/>
        <v>8</v>
      </c>
      <c r="E9">
        <f t="shared" si="1"/>
        <v>140.12026274456616</v>
      </c>
      <c r="F9" t="str">
        <f>IFERROR(LOOKUP(2,1/('Match Log'!$D$4:$D$1510=$A9),'Match Log'!$E$4:$E$1510),"")</f>
        <v>Loss</v>
      </c>
      <c r="G9">
        <f>IF($F9="",0,SUMPRODUCT(('Match Log'!$D$4:$D$1510=$A9)*(ROW('Match Log'!$A$4:$A$1510)&gt;SUMPRODUCT(MAX(('Match Log'!$D$4:$D$1510=$A9)*('Match Log'!$E$4:$E$1510&lt;&gt;$F9)*ROW('Match Log'!$A$4:$A$1510))))))</f>
        <v>1</v>
      </c>
      <c r="H9" t="str">
        <f t="shared" si="2"/>
        <v>L1</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LLWWL</v>
      </c>
      <c r="J9">
        <f t="shared" ca="1" si="3"/>
        <v>1061.2287224286424</v>
      </c>
      <c r="K9">
        <f t="shared" ca="1" si="4"/>
        <v>7</v>
      </c>
      <c r="L9">
        <f t="shared" ca="1" si="5"/>
        <v>-1</v>
      </c>
      <c r="M9">
        <f t="shared" si="6"/>
        <v>0</v>
      </c>
      <c r="N9">
        <f t="shared" si="7"/>
        <v>2</v>
      </c>
      <c r="O9">
        <f t="shared" si="8"/>
        <v>0</v>
      </c>
      <c r="P9">
        <f>IFERROR(SUMPRODUCT(MAX(('Match Log'!$D$4:$D$1510=$A9)*'Match Log'!$B$4:$B$1510)),0)</f>
        <v>46274</v>
      </c>
      <c r="Q9">
        <f t="shared" ca="1" si="9"/>
        <v>2.2857142857142856</v>
      </c>
      <c r="R9">
        <f ca="1">IF($P9=0,0,IF($Q9&gt;='Guide &amp; Settings'!$C$48,(INT($Q9-'Guide &amp; Settings'!$C$48)+1)*'Guide &amp; Settings'!$C$49,0))</f>
        <v>0</v>
      </c>
      <c r="S9">
        <f ca="1">$B9-$R9-$U9+SUMIF('Poker Stake Ledger'!$C$18:$C$137,$A9,'Poker Stake Ledger'!$K$18:$K$137)</f>
        <v>1061.2287215286424</v>
      </c>
      <c r="T9" t="str">
        <f ca="1">IF($P9=0,"No games",IF($Q9&gt;='Guide &amp; Settings'!$C$48,"Inactive",IF($Q9&gt;='Guide &amp; Settings'!$C$47,"At risk","Active")))</f>
        <v>At risk</v>
      </c>
      <c r="U9">
        <f>SUMIF('Match Log'!$D$4:$D$1510,$A9,'Match Log'!$AC$4:$AC$1510)</f>
        <v>20</v>
      </c>
      <c r="V9">
        <f t="shared" si="10"/>
        <v>1</v>
      </c>
      <c r="W9">
        <f t="shared" ca="1" si="11"/>
        <v>65.307180382160595</v>
      </c>
      <c r="X9">
        <f ca="1">IFERROR(INDEX(Dashboard!$G$5:$G$18,MATCH($A9,Dashboard!$B$5:$B$18,0))*100,0)</f>
        <v>45</v>
      </c>
      <c r="Y9">
        <f ca="1">MIN(100,IFERROR(INDEX(Dashboard!$K$5:$K$18,MATCH($A9,Dashboard!$B$5:$B$18,0)),0)/5*50+$AC9/4*50)</f>
        <v>100</v>
      </c>
      <c r="Z9">
        <f t="shared" si="12"/>
        <v>40</v>
      </c>
      <c r="AA9">
        <f t="shared" si="13"/>
        <v>84.356916936057644</v>
      </c>
      <c r="AB9">
        <f t="shared" ca="1" si="14"/>
        <v>66.293204827361976</v>
      </c>
      <c r="AC9">
        <f>IFERROR(SUMPRODUCT((INDEX('Sport Records'!$B$8:$O$32,0,MATCH($A9,'Sport Records'!$B$7:$O$7,0))&gt;=2)*(INDEX('Sport Records'!$B$62:$O$86,0,MATCH($A9,'Sport Records'!$B$61:$O$61,0))&gt;=0.5)),0)</f>
        <v>3</v>
      </c>
      <c r="AD9">
        <f ca="1">IFERROR(INDEX(Dashboard!$D$5:$D$18,MATCH($A9,Dashboard!$B$5:$B$18,0)),0)</f>
        <v>20</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1061.2287224286424</v>
      </c>
      <c r="AK9">
        <f ca="1">_xlfn.MAXIFS('Match Log'!$B$4:$B$1510,'Match Log'!$D$4:$D$1510,$A9,'Match Log'!$B$4:$B$1510,"&lt;="&amp;($D$4-7))</f>
        <v>46274</v>
      </c>
      <c r="AL9">
        <f ca="1">IFERROR(LOOKUP(2,1/(('Match Log'!$D$4:$D$1510=$A9)*('Match Log'!$B$4:$B$1510&lt;=$D$4-7)),'Match Log'!$N$4:$N$1510),1000)</f>
        <v>1081.2287215286424</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1160.7770929859353</v>
      </c>
      <c r="D10">
        <f t="shared" si="0"/>
        <v>13</v>
      </c>
      <c r="E10">
        <f t="shared" si="1"/>
        <v>314.31764783203425</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887.03133744117429</v>
      </c>
      <c r="K10">
        <f t="shared" ca="1" si="4"/>
        <v>13</v>
      </c>
      <c r="L10">
        <f t="shared" ca="1" si="5"/>
        <v>0</v>
      </c>
      <c r="M10">
        <f t="shared" si="6"/>
        <v>0</v>
      </c>
      <c r="N10">
        <f t="shared" si="7"/>
        <v>0</v>
      </c>
      <c r="O10">
        <f t="shared" si="8"/>
        <v>0</v>
      </c>
      <c r="P10">
        <f>IFERROR(SUMPRODUCT(MAX(('Match Log'!$D$4:$D$1510=$A10)*'Match Log'!$B$4:$B$1510)),0)</f>
        <v>46256</v>
      </c>
      <c r="Q10">
        <f t="shared" ca="1" si="9"/>
        <v>4.8571428571428568</v>
      </c>
      <c r="R10">
        <f ca="1">IF($P10=0,0,IF($Q10&gt;='Guide &amp; Settings'!$C$48,(INT($Q10-'Guide &amp; Settings'!$C$48)+1)*'Guide &amp; Settings'!$C$49,0))</f>
        <v>10</v>
      </c>
      <c r="S10">
        <f ca="1">$B10-$R10-$U10+SUMIF('Poker Stake Ledger'!$C$18:$C$137,$A10,'Poker Stake Ledger'!$K$18:$K$137)</f>
        <v>877.03133644117429</v>
      </c>
      <c r="T10" t="str">
        <f ca="1">IF($P10=0,"No games",IF($Q10&gt;='Guide &amp; Settings'!$C$48,"Inactive",IF($Q10&gt;='Guide &amp; Settings'!$C$47,"At risk","Active")))</f>
        <v>Inactive</v>
      </c>
      <c r="U10">
        <f>SUMIF('Match Log'!$D$4:$D$1510,$A10,'Match Log'!$AC$4:$AC$1510)</f>
        <v>20</v>
      </c>
      <c r="V10">
        <f t="shared" si="10"/>
        <v>5</v>
      </c>
      <c r="W10">
        <f t="shared" ca="1" si="11"/>
        <v>19.257834110293572</v>
      </c>
      <c r="X10">
        <f ca="1">IFERROR(INDEX(Dashboard!$G$5:$G$18,MATCH($A10,Dashboard!$B$5:$B$18,0))*100,0)</f>
        <v>21.739130434782609</v>
      </c>
      <c r="Y10">
        <f ca="1">MIN(100,IFERROR(INDEX(Dashboard!$K$5:$K$18,MATCH($A10,Dashboard!$B$5:$B$18,0)),0)/5*50+$AC10/4*50)</f>
        <v>60</v>
      </c>
      <c r="Z10">
        <f t="shared" si="12"/>
        <v>0</v>
      </c>
      <c r="AA10">
        <f t="shared" si="13"/>
        <v>90.194273246483817</v>
      </c>
      <c r="AB10">
        <f t="shared" ca="1" si="14"/>
        <v>32.107495350207657</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877.03133744117429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0</v>
      </c>
    </row>
    <row r="11" spans="1:41" ht="15" customHeight="1" x14ac:dyDescent="0.2">
      <c r="A11" t="s">
        <v>19</v>
      </c>
      <c r="B11">
        <f>IFERROR(INDEX(Engine!$B$2:$B$15,MATCH($A11,Engine!$A$2:$A$15,0)),1000)</f>
        <v>1192.3121492095624</v>
      </c>
      <c r="C11">
        <f>IFERROR(INDEX(Engine!$C$2:$C$15,MATCH($A11,Engine!$A$2:$A$15,0)),"")</f>
        <v>1139.8905869641942</v>
      </c>
      <c r="D11">
        <f t="shared" si="0"/>
        <v>5</v>
      </c>
      <c r="E11">
        <f t="shared" si="1"/>
        <v>29.036835063646095</v>
      </c>
      <c r="F11" t="str">
        <f>IFERROR(LOOKUP(2,1/('Match Log'!$D$4:$D$1510=$A11),'Match Log'!$E$4:$E$1510),"")</f>
        <v>Win</v>
      </c>
      <c r="G11">
        <f>IF($F11="",0,SUMPRODUCT(('Match Log'!$D$4:$D$1510=$A11)*(ROW('Match Log'!$A$4:$A$1510)&gt;SUMPRODUCT(MAX(('Match Log'!$D$4:$D$1510=$A11)*('Match Log'!$E$4:$E$1510&lt;&gt;$F11)*ROW('Match Log'!$A$4:$A$1510))))))</f>
        <v>3</v>
      </c>
      <c r="H11" t="str">
        <f t="shared" si="2"/>
        <v>W3</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WLWWW</v>
      </c>
      <c r="J11">
        <f t="shared" ca="1" si="3"/>
        <v>1214.0621503095624</v>
      </c>
      <c r="K11">
        <f t="shared" ca="1" si="4"/>
        <v>4</v>
      </c>
      <c r="L11">
        <f t="shared" ca="1" si="5"/>
        <v>2</v>
      </c>
      <c r="M11">
        <f t="shared" si="6"/>
        <v>2</v>
      </c>
      <c r="N11">
        <f t="shared" si="7"/>
        <v>4</v>
      </c>
      <c r="O11">
        <f t="shared" si="8"/>
        <v>3</v>
      </c>
      <c r="P11">
        <f>IFERROR(SUMPRODUCT(MAX(('Match Log'!$D$4:$D$1510=$A11)*'Match Log'!$B$4:$B$1510)),0)</f>
        <v>46272</v>
      </c>
      <c r="Q11">
        <f t="shared" ca="1" si="9"/>
        <v>2.5714285714285716</v>
      </c>
      <c r="R11">
        <f ca="1">IF($P11=0,0,IF($Q11&gt;='Guide &amp; Settings'!$C$48,(INT($Q11-'Guide &amp; Settings'!$C$48)+1)*'Guide &amp; Settings'!$C$49,0))</f>
        <v>0</v>
      </c>
      <c r="S11">
        <f ca="1">$B11-$R11-$U11+SUMIF('Poker Stake Ledger'!$C$18:$C$137,$A11,'Poker Stake Ledger'!$K$18:$K$137)</f>
        <v>1214.0621492095624</v>
      </c>
      <c r="T11" t="str">
        <f ca="1">IF($P11=0,"No games",IF($Q11&gt;='Guide &amp; Settings'!$C$48,"Inactive",IF($Q11&gt;='Guide &amp; Settings'!$C$47,"At risk","Active")))</f>
        <v>At risk</v>
      </c>
      <c r="U11">
        <f>SUMIF('Match Log'!$D$4:$D$1510,$A11,'Match Log'!$AC$4:$AC$1510)</f>
        <v>0</v>
      </c>
      <c r="V11">
        <f t="shared" si="10"/>
        <v>0</v>
      </c>
      <c r="W11">
        <f t="shared" ca="1" si="11"/>
        <v>100</v>
      </c>
      <c r="X11">
        <f ca="1">IFERROR(INDEX(Dashboard!$G$5:$G$18,MATCH($A11,Dashboard!$B$5:$B$18,0))*100,0)</f>
        <v>59.677419354838712</v>
      </c>
      <c r="Y11">
        <f ca="1">MIN(100,IFERROR(INDEX(Dashboard!$K$5:$K$18,MATCH($A11,Dashboard!$B$5:$B$18,0)),0)/5*50+$AC11/4*50)</f>
        <v>100</v>
      </c>
      <c r="Z11">
        <f t="shared" si="12"/>
        <v>80</v>
      </c>
      <c r="AA11">
        <f t="shared" si="13"/>
        <v>84.97264674104855</v>
      </c>
      <c r="AB11">
        <f t="shared" ca="1" si="14"/>
        <v>87.432748545072599</v>
      </c>
      <c r="AC11">
        <f>IFERROR(SUMPRODUCT((INDEX('Sport Records'!$B$8:$O$32,0,MATCH($A11,'Sport Records'!$B$7:$O$7,0))&gt;=2)*(INDEX('Sport Records'!$B$62:$O$86,0,MATCH($A11,'Sport Records'!$B$61:$O$61,0))&gt;=0.5)),0)</f>
        <v>9</v>
      </c>
      <c r="AD11">
        <f ca="1">IFERROR(INDEX(Dashboard!$D$5:$D$18,MATCH($A11,Dashboard!$B$5:$B$18,0)),0)</f>
        <v>62</v>
      </c>
      <c r="AE11">
        <f ca="1">IFERROR(INDEX(Dashboard!$K$5:$K$18,MATCH($A11,Dashboard!$B$5:$B$18,0)),0)</f>
        <v>15</v>
      </c>
      <c r="AF11" t="str">
        <f t="shared" ca="1" si="15"/>
        <v>Elite</v>
      </c>
      <c r="AG11">
        <f ca="1">COUNTIFS('Match Log'!$D$4:$D$1510,$A11,'Match Log'!$B$4:$B$1510,"&gt;="&amp;$B$5)</f>
        <v>0</v>
      </c>
      <c r="AH11">
        <f ca="1">COUNTIFS('Match Log'!$D$4:$D$1510,$A11,'Match Log'!$B$4:$B$1510,"&gt;="&amp;$B$5,'Match Log'!$E$4:$E$1510,"Win")</f>
        <v>0</v>
      </c>
      <c r="AI11">
        <f t="shared" ca="1" si="16"/>
        <v>1214.0621503095624</v>
      </c>
      <c r="AK11">
        <f ca="1">_xlfn.MAXIFS('Match Log'!$B$4:$B$1510,'Match Log'!$D$4:$D$1510,$A11,'Match Log'!$B$4:$B$1510,"&lt;="&amp;($D$4-7))</f>
        <v>46272</v>
      </c>
      <c r="AL11">
        <f ca="1">IFERROR(LOOKUP(2,1/(('Match Log'!$D$4:$D$1510=$A11)*('Match Log'!$B$4:$B$1510&lt;=$D$4-7)),'Match Log'!$N$4:$N$1510),1000)</f>
        <v>1192.3121492095624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1156.7205039890414</v>
      </c>
      <c r="C12">
        <f>IFERROR(INDEX(Engine!$C$2:$C$15,MATCH($A12,Engine!$A$2:$A$15,0)),"")</f>
        <v>1149.597475959707</v>
      </c>
      <c r="D12">
        <f t="shared" si="0"/>
        <v>6</v>
      </c>
      <c r="E12">
        <f t="shared" si="1"/>
        <v>64.628480284167154</v>
      </c>
      <c r="F12" t="str">
        <f>IFERROR(LOOKUP(2,1/('Match Log'!$D$4:$D$1510=$A12),'Match Log'!$E$4:$E$1510),"")</f>
        <v>Loss</v>
      </c>
      <c r="G12">
        <f>IF($F12="",0,SUMPRODUCT(('Match Log'!$D$4:$D$1510=$A12)*(ROW('Match Log'!$A$4:$A$1510)&gt;SUMPRODUCT(MAX(('Match Log'!$D$4:$D$1510=$A12)*('Match Log'!$E$4:$E$1510&lt;&gt;$F12)*ROW('Match Log'!$A$4:$A$1510))))))</f>
        <v>5</v>
      </c>
      <c r="H12" t="str">
        <f t="shared" si="2"/>
        <v>L5</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LLLLL</v>
      </c>
      <c r="J12">
        <f t="shared" ca="1" si="3"/>
        <v>1275.9914064236398</v>
      </c>
      <c r="K12">
        <f t="shared" ca="1" si="4"/>
        <v>1</v>
      </c>
      <c r="L12">
        <f t="shared" ca="1" si="5"/>
        <v>-5</v>
      </c>
      <c r="M12">
        <f t="shared" si="6"/>
        <v>6</v>
      </c>
      <c r="N12">
        <f t="shared" si="7"/>
        <v>0</v>
      </c>
      <c r="O12">
        <f t="shared" si="8"/>
        <v>0</v>
      </c>
      <c r="P12">
        <f>IFERROR(SUMPRODUCT(MAX(('Match Log'!$D$4:$D$1510=$A12)*'Match Log'!$B$4:$B$1510)),0)</f>
        <v>46289</v>
      </c>
      <c r="Q12">
        <f t="shared" ca="1" si="9"/>
        <v>0.14285714285714285</v>
      </c>
      <c r="R12">
        <f ca="1">IF($P12=0,0,IF($Q12&gt;='Guide &amp; Settings'!$C$48,(INT($Q12-'Guide &amp; Settings'!$C$48)+1)*'Guide &amp; Settings'!$C$49,0))</f>
        <v>0</v>
      </c>
      <c r="S12">
        <f ca="1">$B12-$R12-$U12+SUMIF('Poker Stake Ledger'!$C$18:$C$137,$A12,'Poker Stake Ledger'!$K$18:$K$137)</f>
        <v>1152.9705039890414</v>
      </c>
      <c r="T12" t="str">
        <f ca="1">IF($P12=0,"No games",IF($Q12&gt;='Guide &amp; Settings'!$C$48,"Inactive",IF($Q12&gt;='Guide &amp; Settings'!$C$47,"At risk","Active")))</f>
        <v>Active</v>
      </c>
      <c r="U12">
        <f>SUMIF('Match Log'!$D$4:$D$1510,$A12,'Match Log'!$AC$4:$AC$1510)</f>
        <v>0</v>
      </c>
      <c r="V12">
        <f t="shared" si="10"/>
        <v>5</v>
      </c>
      <c r="W12">
        <f t="shared" ca="1" si="11"/>
        <v>88.242625997260348</v>
      </c>
      <c r="X12">
        <f ca="1">IFERROR(INDEX(Dashboard!$G$5:$G$18,MATCH($A12,Dashboard!$B$5:$B$18,0))*100,0)</f>
        <v>46.794871794871796</v>
      </c>
      <c r="Y12">
        <f ca="1">MIN(100,IFERROR(INDEX(Dashboard!$K$5:$K$18,MATCH($A12,Dashboard!$B$5:$B$18,0)),0)/5*50+$AC12/4*50)</f>
        <v>100</v>
      </c>
      <c r="Z12">
        <f t="shared" si="12"/>
        <v>0</v>
      </c>
      <c r="AA12">
        <f t="shared" si="13"/>
        <v>87.399368989926757</v>
      </c>
      <c r="AB12">
        <f t="shared" ca="1" si="14"/>
        <v>68.983830357008159</v>
      </c>
      <c r="AC12">
        <f>IFERROR(SUMPRODUCT((INDEX('Sport Records'!$B$8:$O$32,0,MATCH($A12,'Sport Records'!$B$7:$O$7,0))&gt;=2)*(INDEX('Sport Records'!$B$62:$O$86,0,MATCH($A12,'Sport Records'!$B$61:$O$61,0))&gt;=0.5)),0)</f>
        <v>5</v>
      </c>
      <c r="AD12">
        <f ca="1">IFERROR(INDEX(Dashboard!$D$5:$D$18,MATCH($A12,Dashboard!$B$5:$B$18,0)),0)</f>
        <v>156</v>
      </c>
      <c r="AE12">
        <f ca="1">IFERROR(INDEX(Dashboard!$K$5:$K$18,MATCH($A12,Dashboard!$B$5:$B$18,0)),0)</f>
        <v>19</v>
      </c>
      <c r="AF12" t="str">
        <f t="shared" ca="1" si="15"/>
        <v>Strong</v>
      </c>
      <c r="AG12">
        <f ca="1">COUNTIFS('Match Log'!$D$4:$D$1510,$A12,'Match Log'!$B$4:$B$1510,"&gt;="&amp;$B$5)</f>
        <v>13</v>
      </c>
      <c r="AH12">
        <f ca="1">COUNTIFS('Match Log'!$D$4:$D$1510,$A12,'Match Log'!$B$4:$B$1510,"&gt;="&amp;$B$5,'Match Log'!$E$4:$E$1510,"Win")</f>
        <v>3</v>
      </c>
      <c r="AI12">
        <f t="shared" ca="1" si="16"/>
        <v>1152.9705051890414</v>
      </c>
      <c r="AK12">
        <f ca="1">_xlfn.MAXIFS('Match Log'!$B$4:$B$1510,'Match Log'!$D$4:$D$1510,$A12,'Match Log'!$B$4:$B$1510,"&lt;="&amp;($D$4-7))</f>
        <v>46274</v>
      </c>
      <c r="AL12">
        <f ca="1">IFERROR(LOOKUP(2,1/(('Match Log'!$D$4:$D$1510=$A12)*('Match Log'!$B$4:$B$1510&lt;=$D$4-7)),'Match Log'!$N$4:$N$1510),1000)</f>
        <v>1279.7414052236397</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1215.996181687143</v>
      </c>
      <c r="C13">
        <f>IFERROR(INDEX(Engine!$C$2:$C$15,MATCH($A13,Engine!$A$2:$A$15,0)),"")</f>
        <v>1068.2185956896708</v>
      </c>
      <c r="D13">
        <f t="shared" si="0"/>
        <v>4</v>
      </c>
      <c r="E13">
        <f t="shared" si="1"/>
        <v>5.3528025860655362</v>
      </c>
      <c r="F13" t="str">
        <f>IFERROR(LOOKUP(2,1/('Match Log'!$D$4:$D$1510=$A13),'Match Log'!$E$4:$E$1510),"")</f>
        <v>Win</v>
      </c>
      <c r="G13">
        <f>IF($F13="",0,SUMPRODUCT(('Match Log'!$D$4:$D$1510=$A13)*(ROW('Match Log'!$A$4:$A$1510)&gt;SUMPRODUCT(MAX(('Match Log'!$D$4:$D$1510=$A13)*('Match Log'!$E$4:$E$1510&lt;&gt;$F13)*ROW('Match Log'!$A$4:$A$1510))))))</f>
        <v>5</v>
      </c>
      <c r="H13" t="str">
        <f t="shared" si="2"/>
        <v>W5</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WWWWW</v>
      </c>
      <c r="J13">
        <f t="shared" ca="1" si="3"/>
        <v>1210.4461829871429</v>
      </c>
      <c r="K13">
        <f t="shared" ca="1" si="4"/>
        <v>5</v>
      </c>
      <c r="L13">
        <f t="shared" ca="1" si="5"/>
        <v>2</v>
      </c>
      <c r="M13">
        <f t="shared" si="6"/>
        <v>2</v>
      </c>
      <c r="N13">
        <f t="shared" si="7"/>
        <v>5</v>
      </c>
      <c r="O13">
        <f t="shared" si="8"/>
        <v>5</v>
      </c>
      <c r="P13">
        <f>IFERROR(SUMPRODUCT(MAX(('Match Log'!$D$4:$D$1510=$A13)*'Match Log'!$B$4:$B$1510)),0)</f>
        <v>46271</v>
      </c>
      <c r="Q13">
        <f t="shared" ca="1" si="9"/>
        <v>2.7142857142857144</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At risk</v>
      </c>
      <c r="U13">
        <f>SUMIF('Match Log'!$D$4:$D$1510,$A13,'Match Log'!$AC$4:$AC$1510)</f>
        <v>0</v>
      </c>
      <c r="V13">
        <f t="shared" si="10"/>
        <v>0</v>
      </c>
      <c r="W13">
        <f t="shared" ca="1" si="11"/>
        <v>100</v>
      </c>
      <c r="X13">
        <f ca="1">IFERROR(INDEX(Dashboard!$G$5:$G$18,MATCH($A13,Dashboard!$B$5:$B$18,0))*100,0)</f>
        <v>52.5</v>
      </c>
      <c r="Y13">
        <f ca="1">MIN(100,IFERROR(INDEX(Dashboard!$K$5:$K$18,MATCH($A13,Dashboard!$B$5:$B$18,0)),0)/5*50+$AC13/4*50)</f>
        <v>100</v>
      </c>
      <c r="Z13">
        <f t="shared" si="12"/>
        <v>100</v>
      </c>
      <c r="AA13">
        <f t="shared" si="13"/>
        <v>67.054648922417698</v>
      </c>
      <c r="AB13">
        <f t="shared" ca="1" si="14"/>
        <v>87.205464892241764</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5"/>
        <v>Elite</v>
      </c>
      <c r="AG13">
        <f ca="1">COUNTIFS('Match Log'!$D$4:$D$1510,$A13,'Match Log'!$B$4:$B$1510,"&gt;="&amp;$B$5)</f>
        <v>0</v>
      </c>
      <c r="AH13">
        <f ca="1">COUNTIFS('Match Log'!$D$4:$D$1510,$A13,'Match Log'!$B$4:$B$1510,"&gt;="&amp;$B$5,'Match Log'!$E$4:$E$1510,"Win")</f>
        <v>0</v>
      </c>
      <c r="AI13">
        <f t="shared" ca="1" si="16"/>
        <v>1210.4461829871429</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0</v>
      </c>
    </row>
    <row r="14" spans="1:41" ht="15" customHeight="1" x14ac:dyDescent="0.2">
      <c r="A14" t="s">
        <v>22</v>
      </c>
      <c r="B14">
        <f>IFERROR(INDEX(Engine!$B$2:$B$15,MATCH($A14,Engine!$A$2:$A$15,0)),1000)</f>
        <v>1221.3489842732085</v>
      </c>
      <c r="C14">
        <f>IFERROR(INDEX(Engine!$C$2:$C$15,MATCH($A14,Engine!$A$2:$A$15,0)),"")</f>
        <v>1142.5891000464189</v>
      </c>
      <c r="D14">
        <f t="shared" si="0"/>
        <v>1</v>
      </c>
      <c r="E14">
        <f t="shared" si="1"/>
        <v>0</v>
      </c>
      <c r="F14" t="str">
        <f>IFERROR(LOOKUP(2,1/('Match Log'!$D$4:$D$1510=$A14),'Match Log'!$E$4:$E$1510),"")</f>
        <v>Win</v>
      </c>
      <c r="G14">
        <f>IF($F14="",0,SUMPRODUCT(('Match Log'!$D$4:$D$1510=$A14)*(ROW('Match Log'!$A$4:$A$1510)&gt;SUMPRODUCT(MAX(('Match Log'!$D$4:$D$1510=$A14)*('Match Log'!$E$4:$E$1510&lt;&gt;$F14)*ROW('Match Log'!$A$4:$A$1510))))))</f>
        <v>1</v>
      </c>
      <c r="H14" t="str">
        <f t="shared" si="2"/>
        <v>W1</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WWWLW</v>
      </c>
      <c r="J14">
        <f t="shared" ca="1" si="3"/>
        <v>969.98596848484283</v>
      </c>
      <c r="K14">
        <f t="shared" ca="1" si="4"/>
        <v>10</v>
      </c>
      <c r="L14">
        <f t="shared" ca="1" si="5"/>
        <v>9</v>
      </c>
      <c r="M14">
        <f t="shared" si="6"/>
        <v>10</v>
      </c>
      <c r="N14">
        <f t="shared" si="7"/>
        <v>4</v>
      </c>
      <c r="O14">
        <f t="shared" si="8"/>
        <v>1</v>
      </c>
      <c r="P14">
        <f>IFERROR(SUMPRODUCT(MAX(('Match Log'!$D$4:$D$1510=$A14)*'Match Log'!$B$4:$B$1510)),0)</f>
        <v>46290</v>
      </c>
      <c r="Q14">
        <f t="shared" ca="1" si="9"/>
        <v>0</v>
      </c>
      <c r="R14">
        <f ca="1">IF($P14=0,0,IF($Q14&gt;='Guide &amp; Settings'!$C$48,(INT($Q14-'Guide &amp; Settings'!$C$48)+1)*'Guide &amp; Settings'!$C$49,0))</f>
        <v>0</v>
      </c>
      <c r="S14">
        <f ca="1">$B14-$R14-$U14+SUMIF('Poker Stake Ledger'!$C$18:$C$137,$A14,'Poker Stake Ledger'!$K$18:$K$137)</f>
        <v>1219.9989842732086</v>
      </c>
      <c r="T14" t="str">
        <f ca="1">IF($P14=0,"No games",IF($Q14&gt;='Guide &amp; Settings'!$C$48,"Inactive",IF($Q14&gt;='Guide &amp; Settings'!$C$47,"At risk","Active")))</f>
        <v>Active</v>
      </c>
      <c r="U14">
        <f>SUMIF('Match Log'!$D$4:$D$1510,$A14,'Match Log'!$AC$4:$AC$1510)</f>
        <v>0</v>
      </c>
      <c r="V14">
        <f t="shared" si="10"/>
        <v>0</v>
      </c>
      <c r="W14">
        <f t="shared" ca="1" si="11"/>
        <v>100</v>
      </c>
      <c r="X14">
        <f ca="1">IFERROR(INDEX(Dashboard!$G$5:$G$18,MATCH($A14,Dashboard!$B$5:$B$18,0))*100,0)</f>
        <v>42.465753424657535</v>
      </c>
      <c r="Y14">
        <f ca="1">MIN(100,IFERROR(INDEX(Dashboard!$K$5:$K$18,MATCH($A14,Dashboard!$B$5:$B$18,0)),0)/5*50+$AC14/4*50)</f>
        <v>100</v>
      </c>
      <c r="Z14">
        <f t="shared" si="12"/>
        <v>80</v>
      </c>
      <c r="AA14">
        <f t="shared" si="13"/>
        <v>85.647275011604734</v>
      </c>
      <c r="AB14">
        <f t="shared" ca="1" si="14"/>
        <v>84.057878186091983</v>
      </c>
      <c r="AC14">
        <f>IFERROR(SUMPRODUCT((INDEX('Sport Records'!$B$8:$O$32,0,MATCH($A14,'Sport Records'!$B$7:$O$7,0))&gt;=2)*(INDEX('Sport Records'!$B$62:$O$86,0,MATCH($A14,'Sport Records'!$B$61:$O$61,0))&gt;=0.5)),0)</f>
        <v>6</v>
      </c>
      <c r="AD14">
        <f ca="1">IFERROR(INDEX(Dashboard!$D$5:$D$18,MATCH($A14,Dashboard!$B$5:$B$18,0)),0)</f>
        <v>146</v>
      </c>
      <c r="AE14">
        <f ca="1">IFERROR(INDEX(Dashboard!$K$5:$K$18,MATCH($A14,Dashboard!$B$5:$B$18,0)),0)</f>
        <v>20</v>
      </c>
      <c r="AF14" t="str">
        <f t="shared" ca="1" si="15"/>
        <v>Elite</v>
      </c>
      <c r="AG14">
        <f ca="1">COUNTIFS('Match Log'!$D$4:$D$1510,$A14,'Match Log'!$B$4:$B$1510,"&gt;="&amp;$B$5)</f>
        <v>17</v>
      </c>
      <c r="AH14">
        <f ca="1">COUNTIFS('Match Log'!$D$4:$D$1510,$A14,'Match Log'!$B$4:$B$1510,"&gt;="&amp;$B$5,'Match Log'!$E$4:$E$1510,"Win")</f>
        <v>14</v>
      </c>
      <c r="AI14">
        <f t="shared" ca="1" si="16"/>
        <v>1219.9989856732086</v>
      </c>
      <c r="AK14">
        <f ca="1">_xlfn.MAXIFS('Match Log'!$B$4:$B$1510,'Match Log'!$D$4:$D$1510,$A14,'Match Log'!$B$4:$B$1510,"&lt;="&amp;($D$4-7))</f>
        <v>46272</v>
      </c>
      <c r="AL14">
        <f ca="1">IFERROR(LOOKUP(2,1/(('Match Log'!$D$4:$D$1510=$A14)*('Match Log'!$B$4:$B$1510&lt;=$D$4-7)),'Match Log'!$N$4:$N$1510),1000)</f>
        <v>971.33596708484288</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1138.3708635308883</v>
      </c>
      <c r="D15">
        <f t="shared" si="0"/>
        <v>2</v>
      </c>
      <c r="E15">
        <f t="shared" si="1"/>
        <v>3.4474425462603904</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1228.9288126472575</v>
      </c>
      <c r="K15">
        <f t="shared" ca="1" si="4"/>
        <v>3</v>
      </c>
      <c r="L15">
        <f t="shared" ca="1" si="5"/>
        <v>-2</v>
      </c>
      <c r="M15">
        <f t="shared" si="6"/>
        <v>3</v>
      </c>
      <c r="N15">
        <f t="shared" si="7"/>
        <v>3</v>
      </c>
      <c r="O15">
        <f t="shared" si="8"/>
        <v>0</v>
      </c>
      <c r="P15">
        <f>IFERROR(SUMPRODUCT(MAX(('Match Log'!$D$4:$D$1510=$A15)*'Match Log'!$B$4:$B$1510)),0)</f>
        <v>46290</v>
      </c>
      <c r="Q15">
        <f t="shared" ca="1" si="9"/>
        <v>0</v>
      </c>
      <c r="R15">
        <f ca="1">IF($P15=0,0,IF($Q15&gt;='Guide &amp; Settings'!$C$48,(INT($Q15-'Guide &amp; Settings'!$C$48)+1)*'Guide &amp; Settings'!$C$49,0))</f>
        <v>0</v>
      </c>
      <c r="S15">
        <f ca="1">$B15-$R15-$U15+SUMIF('Poker Stake Ledger'!$C$18:$C$137,$A15,'Poker Stake Ledger'!$K$18:$K$137)</f>
        <v>1187.9015417269482</v>
      </c>
      <c r="T15" t="str">
        <f ca="1">IF($P15=0,"No games",IF($Q15&gt;='Guide &amp; Settings'!$C$48,"Inactive",IF($Q15&gt;='Guide &amp; Settings'!$C$47,"At risk","Active")))</f>
        <v>Active</v>
      </c>
      <c r="U15">
        <f>SUMIF('Match Log'!$D$4:$D$1510,$A15,'Match Log'!$AC$4:$AC$1510)</f>
        <v>30</v>
      </c>
      <c r="V15">
        <f t="shared" si="10"/>
        <v>1</v>
      </c>
      <c r="W15">
        <f t="shared" ca="1" si="11"/>
        <v>96.975385431737038</v>
      </c>
      <c r="X15">
        <f ca="1">IFERROR(INDEX(Dashboard!$G$5:$G$18,MATCH($A15,Dashboard!$B$5:$B$18,0))*100,0)</f>
        <v>59.523809523809526</v>
      </c>
      <c r="Y15">
        <f ca="1">MIN(100,IFERROR(INDEX(Dashboard!$K$5:$K$18,MATCH($A15,Dashboard!$B$5:$B$18,0)),0)/5*50+$AC15/4*50)</f>
        <v>100</v>
      </c>
      <c r="Z15">
        <f t="shared" si="12"/>
        <v>60</v>
      </c>
      <c r="AA15">
        <f t="shared" si="13"/>
        <v>84.592715882722075</v>
      </c>
      <c r="AB15">
        <f t="shared" ca="1" si="14"/>
        <v>83.305418394142066</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3</v>
      </c>
      <c r="AH15">
        <f ca="1">COUNTIFS('Match Log'!$D$4:$D$1510,$A15,'Match Log'!$B$4:$B$1510,"&gt;="&amp;$B$5,'Match Log'!$E$4:$E$1510,"Win")</f>
        <v>1</v>
      </c>
      <c r="AI15">
        <f t="shared" ca="1" si="16"/>
        <v>1187.9015432269482</v>
      </c>
      <c r="AK15">
        <f ca="1">_xlfn.MAXIFS('Match Log'!$B$4:$B$1510,'Match Log'!$D$4:$D$1510,$A15,'Match Log'!$B$4:$B$1510,"&lt;="&amp;($D$4-7))</f>
        <v>46256</v>
      </c>
      <c r="AL15">
        <f ca="1">IFERROR(LOOKUP(2,1/(('Match Log'!$D$4:$D$1510=$A15)*('Match Log'!$B$4:$B$1510&lt;=$D$4-7)),'Match Log'!$N$4:$N$1510),1000)</f>
        <v>1248.9288111472574</v>
      </c>
      <c r="AM15">
        <f ca="1">SUMIFS('Match Log'!$AC$4:$AC$1510,'Match Log'!$D$4:$D$1510,$A15,'Match Log'!$B$4:$B$1510,"&lt;="&amp;($D$4-7))</f>
        <v>20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1118.8781367522934</v>
      </c>
      <c r="D16">
        <f t="shared" si="0"/>
        <v>14</v>
      </c>
      <c r="E16">
        <f t="shared" si="1"/>
        <v>359.12604053643361</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802.22294533677496</v>
      </c>
      <c r="K16">
        <f t="shared" ca="1" si="4"/>
        <v>14</v>
      </c>
      <c r="L16">
        <f t="shared" ca="1" si="5"/>
        <v>0</v>
      </c>
      <c r="M16">
        <f t="shared" si="6"/>
        <v>1</v>
      </c>
      <c r="N16">
        <f t="shared" si="7"/>
        <v>0</v>
      </c>
      <c r="O16">
        <f t="shared" si="8"/>
        <v>0</v>
      </c>
      <c r="P16">
        <f>IFERROR(SUMPRODUCT(MAX(('Match Log'!$D$4:$D$1510=$A16)*'Match Log'!$B$4:$B$1510)),0)</f>
        <v>46222</v>
      </c>
      <c r="Q16">
        <f t="shared" ca="1" si="9"/>
        <v>9.7142857142857135</v>
      </c>
      <c r="R16">
        <f ca="1">IF($P16=0,0,IF($Q16&gt;='Guide &amp; Settings'!$C$48,(INT($Q16-'Guide &amp; Settings'!$C$48)+1)*'Guide &amp; Settings'!$C$49,0))</f>
        <v>60</v>
      </c>
      <c r="S16">
        <f ca="1">$B16-$R16-$U16+SUMIF('Poker Stake Ledger'!$C$18:$C$137,$A16,'Poker Stake Ledger'!$K$18:$K$137)</f>
        <v>792.22294373677494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79.719534188073339</v>
      </c>
      <c r="AB16">
        <f t="shared" ca="1" si="14"/>
        <v>16.638620085474003</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792.22294533677496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50</v>
      </c>
    </row>
    <row r="17" spans="1:41" ht="15" customHeight="1" x14ac:dyDescent="0.2">
      <c r="A17" t="s">
        <v>25</v>
      </c>
      <c r="B17">
        <f>IFERROR(INDEX(Engine!$B$2:$B$15,MATCH($A17,Engine!$A$2:$A$15,0)),1000)</f>
        <v>944.39454678356583</v>
      </c>
      <c r="C17">
        <f>IFERROR(INDEX(Engine!$C$2:$C$15,MATCH($A17,Engine!$A$2:$A$15,0)),"")</f>
        <v>1163.4049423395463</v>
      </c>
      <c r="D17">
        <f t="shared" si="0"/>
        <v>12</v>
      </c>
      <c r="E17">
        <f t="shared" si="1"/>
        <v>276.95443748964271</v>
      </c>
      <c r="F17" t="str">
        <f>IFERROR(LOOKUP(2,1/('Match Log'!$D$4:$D$1510=$A17),'Match Log'!$E$4:$E$1510),"")</f>
        <v>Loss</v>
      </c>
      <c r="G17">
        <f>IF($F17="",0,SUMPRODUCT(('Match Log'!$D$4:$D$1510=$A17)*(ROW('Match Log'!$A$4:$A$1510)&gt;SUMPRODUCT(MAX(('Match Log'!$D$4:$D$1510=$A17)*('Match Log'!$E$4:$E$1510&lt;&gt;$F17)*ROW('Match Log'!$A$4:$A$1510))))))</f>
        <v>8</v>
      </c>
      <c r="H17" t="str">
        <f t="shared" si="2"/>
        <v>L8</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LLLLL</v>
      </c>
      <c r="J17">
        <f t="shared" ca="1" si="3"/>
        <v>944.39454848356581</v>
      </c>
      <c r="K17">
        <f t="shared" ca="1" si="4"/>
        <v>11</v>
      </c>
      <c r="L17">
        <f t="shared" ca="1" si="5"/>
        <v>0</v>
      </c>
      <c r="M17">
        <f t="shared" si="6"/>
        <v>4</v>
      </c>
      <c r="N17">
        <f t="shared" si="7"/>
        <v>0</v>
      </c>
      <c r="O17">
        <f t="shared" si="8"/>
        <v>0</v>
      </c>
      <c r="P17">
        <f>IFERROR(SUMPRODUCT(MAX(('Match Log'!$D$4:$D$1510=$A17)*'Match Log'!$B$4:$B$1510)),0)</f>
        <v>46271</v>
      </c>
      <c r="Q17">
        <f t="shared" ca="1" si="9"/>
        <v>2.7142857142857144</v>
      </c>
      <c r="R17">
        <f ca="1">IF($P17=0,0,IF($Q17&gt;='Guide &amp; Settings'!$C$48,(INT($Q17-'Guide &amp; Settings'!$C$48)+1)*'Guide &amp; Settings'!$C$49,0))</f>
        <v>0</v>
      </c>
      <c r="S17">
        <f ca="1">$B17-$R17-$U17+SUMIF('Poker Stake Ledger'!$C$18:$C$137,$A17,'Poker Stake Ledger'!$K$18:$K$137)</f>
        <v>944.39454678356583</v>
      </c>
      <c r="T17" t="str">
        <f ca="1">IF($P17=0,"No games",IF($Q17&gt;='Guide &amp; Settings'!$C$48,"Inactive",IF($Q17&gt;='Guide &amp; Settings'!$C$47,"At risk","Active")))</f>
        <v>At risk</v>
      </c>
      <c r="U17">
        <f>SUMIF('Match Log'!$D$4:$D$1510,$A17,'Match Log'!$AC$4:$AC$1510)</f>
        <v>0</v>
      </c>
      <c r="V17">
        <f t="shared" si="10"/>
        <v>8</v>
      </c>
      <c r="W17">
        <f t="shared" ca="1" si="11"/>
        <v>36.098636695891457</v>
      </c>
      <c r="X17">
        <f ca="1">IFERROR(INDEX(Dashboard!$G$5:$G$18,MATCH($A17,Dashboard!$B$5:$B$18,0))*100,0)</f>
        <v>34.146341463414636</v>
      </c>
      <c r="Y17">
        <f ca="1">MIN(100,IFERROR(INDEX(Dashboard!$K$5:$K$18,MATCH($A17,Dashboard!$B$5:$B$18,0)),0)/5*50+$AC17/4*50)</f>
        <v>100</v>
      </c>
      <c r="Z17">
        <f t="shared" si="12"/>
        <v>0</v>
      </c>
      <c r="AA17">
        <f t="shared" si="13"/>
        <v>90.851235584886581</v>
      </c>
      <c r="AB17">
        <f t="shared" ca="1" si="14"/>
        <v>48.548914694733597</v>
      </c>
      <c r="AC17">
        <f>IFERROR(SUMPRODUCT((INDEX('Sport Records'!$B$8:$O$32,0,MATCH($A17,'Sport Records'!$B$7:$O$7,0))&gt;=2)*(INDEX('Sport Records'!$B$62:$O$86,0,MATCH($A17,'Sport Records'!$B$61:$O$61,0))&gt;=0.5)),0)</f>
        <v>2</v>
      </c>
      <c r="AD17">
        <f ca="1">IFERROR(INDEX(Dashboard!$D$5:$D$18,MATCH($A17,Dashboard!$B$5:$B$18,0)),0)</f>
        <v>82</v>
      </c>
      <c r="AE17">
        <f ca="1">IFERROR(INDEX(Dashboard!$K$5:$K$18,MATCH($A17,Dashboard!$B$5:$B$18,0)),0)</f>
        <v>14</v>
      </c>
      <c r="AF17" t="str">
        <f t="shared" ca="1" si="15"/>
        <v>Mid</v>
      </c>
      <c r="AG17">
        <f ca="1">COUNTIFS('Match Log'!$D$4:$D$1510,$A17,'Match Log'!$B$4:$B$1510,"&gt;="&amp;$B$5)</f>
        <v>0</v>
      </c>
      <c r="AH17">
        <f ca="1">COUNTIFS('Match Log'!$D$4:$D$1510,$A17,'Match Log'!$B$4:$B$1510,"&gt;="&amp;$B$5,'Match Log'!$E$4:$E$1510,"Win")</f>
        <v>0</v>
      </c>
      <c r="AI17">
        <f t="shared" ca="1" si="16"/>
        <v>944.39454848356581</v>
      </c>
      <c r="AK17">
        <f ca="1">_xlfn.MAXIFS('Match Log'!$B$4:$B$1510,'Match Log'!$D$4:$D$1510,$A17,'Match Log'!$B$4:$B$1510,"&lt;="&amp;($D$4-7))</f>
        <v>46271</v>
      </c>
      <c r="AL17">
        <f ca="1">IFERROR(LOOKUP(2,1/(('Match Log'!$D$4:$D$1510=$A17)*('Match Log'!$B$4:$B$1510&lt;=$D$4-7)),'Match Log'!$N$4:$N$1510),1000)</f>
        <v>944.39454678356583</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1078.2699087020494</v>
      </c>
      <c r="D18">
        <f t="shared" si="0"/>
        <v>7</v>
      </c>
      <c r="E18">
        <f t="shared" si="1"/>
        <v>133.80008956672305</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1077.5488965064856</v>
      </c>
      <c r="K18">
        <f t="shared" ca="1" si="4"/>
        <v>6</v>
      </c>
      <c r="L18">
        <f t="shared" ca="1" si="5"/>
        <v>-1</v>
      </c>
      <c r="M18">
        <f t="shared" si="6"/>
        <v>2</v>
      </c>
      <c r="N18">
        <f t="shared" si="7"/>
        <v>3</v>
      </c>
      <c r="O18">
        <f t="shared" si="8"/>
        <v>1</v>
      </c>
      <c r="P18">
        <f>IFERROR(SUMPRODUCT(MAX(('Match Log'!$D$4:$D$1510=$A18)*'Match Log'!$B$4:$B$1510)),0)</f>
        <v>46249</v>
      </c>
      <c r="Q18">
        <f t="shared" ca="1" si="9"/>
        <v>5.8571428571428568</v>
      </c>
      <c r="R18">
        <f ca="1">IF($P18=0,0,IF($Q18&gt;='Guide &amp; Settings'!$C$48,(INT($Q18-'Guide &amp; Settings'!$C$48)+1)*'Guide &amp; Settings'!$C$49,0))</f>
        <v>20</v>
      </c>
      <c r="S18">
        <f ca="1">$B18-$R18-$U18+SUMIF('Poker Stake Ledger'!$C$18:$C$137,$A18,'Poker Stake Ledger'!$K$18:$K$137)</f>
        <v>1067.5488947064855</v>
      </c>
      <c r="T18" t="str">
        <f ca="1">IF($P18=0,"No games",IF($Q18&gt;='Guide &amp; Settings'!$C$48,"Inactive",IF($Q18&gt;='Guide &amp; Settings'!$C$47,"At risk","Active")))</f>
        <v>Inactive</v>
      </c>
      <c r="U18">
        <f>SUMIF('Match Log'!$D$4:$D$1510,$A18,'Match Log'!$AC$4:$AC$1510)</f>
        <v>0</v>
      </c>
      <c r="V18">
        <f t="shared" si="10"/>
        <v>0</v>
      </c>
      <c r="W18">
        <f t="shared" ca="1" si="11"/>
        <v>66.887223676621375</v>
      </c>
      <c r="X18">
        <f ca="1">IFERROR(INDEX(Dashboard!$G$5:$G$18,MATCH($A18,Dashboard!$B$5:$B$18,0))*100,0)</f>
        <v>46.666666666666664</v>
      </c>
      <c r="Y18">
        <f ca="1">MIN(100,IFERROR(INDEX(Dashboard!$K$5:$K$18,MATCH($A18,Dashboard!$B$5:$B$18,0)),0)/5*50+$AC18/4*50)</f>
        <v>65</v>
      </c>
      <c r="Z18">
        <f t="shared" si="12"/>
        <v>60</v>
      </c>
      <c r="AA18">
        <f t="shared" si="13"/>
        <v>69.567477175512352</v>
      </c>
      <c r="AB18">
        <f t="shared" ca="1" si="14"/>
        <v>61.700609337702055</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Strong</v>
      </c>
      <c r="AG18">
        <f ca="1">COUNTIFS('Match Log'!$D$4:$D$1510,$A18,'Match Log'!$B$4:$B$1510,"&gt;="&amp;$B$5)</f>
        <v>0</v>
      </c>
      <c r="AH18">
        <f ca="1">COUNTIFS('Match Log'!$D$4:$D$1510,$A18,'Match Log'!$B$4:$B$1510,"&gt;="&amp;$B$5,'Match Log'!$E$4:$E$1510,"Win")</f>
        <v>0</v>
      </c>
      <c r="AI18">
        <f t="shared" ca="1" si="16"/>
        <v>1067.5488965064856</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10</v>
      </c>
    </row>
    <row r="19" spans="1:41" ht="15" customHeight="1" x14ac:dyDescent="0.2">
      <c r="A19" t="s">
        <v>27</v>
      </c>
      <c r="B19">
        <f>IFERROR(INDEX(Engine!$B$2:$B$15,MATCH($A19,Engine!$A$2:$A$15,0)),1000)</f>
        <v>1023.2192605207141</v>
      </c>
      <c r="C19">
        <f>IFERROR(INDEX(Engine!$C$2:$C$15,MATCH($A19,Engine!$A$2:$A$15,0)),"")</f>
        <v>1114.4782830003082</v>
      </c>
      <c r="D19">
        <f t="shared" si="0"/>
        <v>10</v>
      </c>
      <c r="E19">
        <f t="shared" si="1"/>
        <v>198.12972375249444</v>
      </c>
      <c r="F19" t="str">
        <f>IFERROR(LOOKUP(2,1/('Match Log'!$D$4:$D$1510=$A19),'Match Log'!$E$4:$E$1510),"")</f>
        <v>Loss</v>
      </c>
      <c r="G19">
        <f>IF($F19="",0,SUMPRODUCT(('Match Log'!$D$4:$D$1510=$A19)*(ROW('Match Log'!$A$4:$A$1510)&gt;SUMPRODUCT(MAX(('Match Log'!$D$4:$D$1510=$A19)*('Match Log'!$E$4:$E$1510&lt;&gt;$F19)*ROW('Match Log'!$A$4:$A$1510))))))</f>
        <v>6</v>
      </c>
      <c r="H19" t="str">
        <f t="shared" si="2"/>
        <v>L6</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1013.2192624207141</v>
      </c>
      <c r="K19">
        <f t="shared" ca="1" si="4"/>
        <v>8</v>
      </c>
      <c r="L19">
        <f t="shared" ca="1" si="5"/>
        <v>-1</v>
      </c>
      <c r="M19">
        <f t="shared" si="6"/>
        <v>0</v>
      </c>
      <c r="N19">
        <f t="shared" si="7"/>
        <v>0</v>
      </c>
      <c r="O19">
        <f t="shared" si="8"/>
        <v>0</v>
      </c>
      <c r="P19">
        <f>IFERROR(SUMPRODUCT(MAX(('Match Log'!$D$4:$D$1510=$A19)*'Match Log'!$B$4:$B$1510)),0)</f>
        <v>46249</v>
      </c>
      <c r="Q19">
        <f t="shared" ca="1" si="9"/>
        <v>5.8571428571428568</v>
      </c>
      <c r="R19">
        <f ca="1">IF($P19=0,0,IF($Q19&gt;='Guide &amp; Settings'!$C$48,(INT($Q19-'Guide &amp; Settings'!$C$48)+1)*'Guide &amp; Settings'!$C$49,0))</f>
        <v>20</v>
      </c>
      <c r="S19">
        <f ca="1">$B19-$R19-$U19+SUMIF('Poker Stake Ledger'!$C$18:$C$137,$A19,'Poker Stake Ledger'!$K$18:$K$137)</f>
        <v>1003.2192605207141</v>
      </c>
      <c r="T19" t="str">
        <f ca="1">IF($P19=0,"No games",IF($Q19&gt;='Guide &amp; Settings'!$C$48,"Inactive",IF($Q19&gt;='Guide &amp; Settings'!$C$47,"At risk","Active")))</f>
        <v>Inactive</v>
      </c>
      <c r="U19">
        <f>SUMIF('Match Log'!$D$4:$D$1510,$A19,'Match Log'!$AC$4:$AC$1510)</f>
        <v>0</v>
      </c>
      <c r="V19">
        <f t="shared" si="10"/>
        <v>6</v>
      </c>
      <c r="W19">
        <f t="shared" ca="1" si="11"/>
        <v>50.804815130178525</v>
      </c>
      <c r="X19">
        <f ca="1">IFERROR(INDEX(Dashboard!$G$5:$G$18,MATCH($A19,Dashboard!$B$5:$B$18,0))*100,0)</f>
        <v>40</v>
      </c>
      <c r="Y19">
        <f ca="1">MIN(100,IFERROR(INDEX(Dashboard!$K$5:$K$18,MATCH($A19,Dashboard!$B$5:$B$18,0)),0)/5*50+$AC19/4*50)</f>
        <v>65</v>
      </c>
      <c r="Z19">
        <f t="shared" si="12"/>
        <v>0</v>
      </c>
      <c r="AA19">
        <f t="shared" si="13"/>
        <v>78.61957075007706</v>
      </c>
      <c r="AB19">
        <f t="shared" ca="1" si="14"/>
        <v>46.643642370570191</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5"/>
        <v>Mid</v>
      </c>
      <c r="AG19">
        <f ca="1">COUNTIFS('Match Log'!$D$4:$D$1510,$A19,'Match Log'!$B$4:$B$1510,"&gt;="&amp;$B$5)</f>
        <v>0</v>
      </c>
      <c r="AH19">
        <f ca="1">COUNTIFS('Match Log'!$D$4:$D$1510,$A19,'Match Log'!$B$4:$B$1510,"&gt;="&amp;$B$5,'Match Log'!$E$4:$E$1510,"Win")</f>
        <v>0</v>
      </c>
      <c r="AI19">
        <f t="shared" ca="1" si="16"/>
        <v>1003.2192624207141</v>
      </c>
      <c r="AK19">
        <f ca="1">_xlfn.MAXIFS('Match Log'!$B$4:$B$1510,'Match Log'!$D$4:$D$1510,$A19,'Match Log'!$B$4:$B$1510,"&lt;="&amp;($D$4-7))</f>
        <v>46249</v>
      </c>
      <c r="AL19">
        <f ca="1">IFERROR(LOOKUP(2,1/(('Match Log'!$D$4:$D$1510=$A19)*('Match Log'!$B$4:$B$1510&lt;=$D$4-7)),'Match Log'!$N$4:$N$1510),1000)</f>
        <v>1023.2192605207141</v>
      </c>
      <c r="AM19">
        <f ca="1">SUMIFS('Match Log'!$AC$4:$AC$1510,'Match Log'!$D$4:$D$1510,$A19,'Match Log'!$B$4:$B$1510,"&lt;="&amp;($D$4-7))</f>
        <v>0</v>
      </c>
      <c r="AN19">
        <f ca="1">SUMIFS('Poker Stake Ledger'!$K$18:$K$137,'Poker Stake Ledger'!$C$18:$C$137,$A19,'Poker Stake Ledger'!$B$18:$B$137,"&lt;="&amp;($D$4-7))</f>
        <v>0</v>
      </c>
      <c r="AO19">
        <f ca="1">IF($AK19=0,0,IF(($D$4-7-$AK19)/7&gt;='Guide &amp; Settings'!$C$48,(INT(($D$4-7-$AK19)/7-'Guide &amp; Settings'!$C$48)+1)*'Guide &amp; Settings'!$C$49,0))</f>
        <v>10</v>
      </c>
    </row>
    <row r="20" spans="1:41" ht="15" customHeight="1" x14ac:dyDescent="0.2">
      <c r="A20" t="s">
        <v>28</v>
      </c>
      <c r="B20">
        <f>IFERROR(INDEX(Engine!$B$2:$B$15,MATCH($A20,Engine!$A$2:$A$15,0)),1000)</f>
        <v>1000</v>
      </c>
      <c r="C20" t="str">
        <f>IFERROR(INDEX(Engine!$C$2:$C$15,MATCH($A20,Engine!$A$2:$A$15,0)),"")</f>
        <v/>
      </c>
      <c r="D20">
        <f t="shared" si="0"/>
        <v>11</v>
      </c>
      <c r="E20">
        <f t="shared" si="1"/>
        <v>221.34898427320854</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f t="shared" ca="1" si="31"/>
        <v>0.16894376923076918</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f t="shared" ca="1" si="31"/>
        <v>0.11859311888111874</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f t="shared" ca="1" si="31"/>
        <v>7.3193428115015932E-2</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f t="shared" ca="1" si="31"/>
        <v>-3.2548064516129224E-2</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f t="shared" ca="1" si="31"/>
        <v>-1.2156248224504769</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f t="shared" ca="1" si="31"/>
        <v>-7.4918865671641785E-2</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f t="shared" ca="1" si="31"/>
        <v>-0.13636959401100024</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f t="shared" ca="1" si="31"/>
        <v>-0.17364643553008594</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f t="shared" ca="1" si="31"/>
        <v>2.2636206380857438E-2</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f t="shared" ca="1" si="31"/>
        <v>-7.7586865671640899E-3</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f t="shared" ca="1" si="31"/>
        <v>-3.6167516185476874E-2</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f t="shared" ca="1" si="31"/>
        <v>-6.2798000000000007E-2</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f t="shared" ca="1" si="31"/>
        <v>-8.7828047250193719E-2</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f t="shared" ca="1" si="31"/>
        <v>-0.38044527845036341</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f t="shared" ca="1" si="31"/>
        <v>0.21182021212121205</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f t="shared" ca="1" si="31"/>
        <v>-0.11422605063291133</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f t="shared" ca="1" si="31"/>
        <v>0.18002486885245889</v>
      </c>
    </row>
    <row r="328" spans="1:25" x14ac:dyDescent="0.2">
      <c r="A328">
        <v>304</v>
      </c>
      <c r="B328" t="str">
        <f>IFERROR(INDEX('Match Log'!$B$4:$B$1510,MATCH($A328,'Match Log'!$A$4:$A$1510,0)),"")</f>
        <v/>
      </c>
      <c r="C328" t="str">
        <f>IFERROR(INDEX('Match Log'!$C$4:$C$1510,MATCH($A328,'Match Log'!$A$4:$A$1510,0)),"")</f>
        <v/>
      </c>
      <c r="D328" t="str">
        <f t="array" ref="D328">IFERROR(_xlfn.TEXTJOIN(" + ",TRUE(),IF(('Match Log'!$A$4:$A$1510=$A328)*('Match Log'!$E$4:$E$1510="Win"),'Match Log'!$D$4:$D$1510,"")),IFERROR(LOOKUP(2,1/(('Match Log'!$A$4:$A$1510=$A328)*('Match Log'!$E$4:$E$1510="Win")),'Match Log'!$D$4:$D$1510),""))</f>
        <v/>
      </c>
      <c r="E328" t="str">
        <f>IFERROR(INDEX('Match Log'!$F$4:$F$1510,MATCH($A328,'Match Log'!$A$4:$A$1510,0)),"")</f>
        <v/>
      </c>
      <c r="F328">
        <f>IFERROR(SUMIFS('Match Log'!$I$4:$I$1510,'Match Log'!$A$4:$A$1510,$A328,'Match Log'!$E$4:$E$1510,"Win"),"")</f>
        <v>0</v>
      </c>
      <c r="G328" t="str">
        <f t="shared" si="29"/>
        <v/>
      </c>
      <c r="H328" t="str">
        <f t="array" ref="H328">IFERROR(IF(COUNTIFS('Match Log'!$A$4:$A$1510,$A328,'Match Log'!$E$4:$E$1510,"Win")&gt;1,_xlfn.TEXTJOIN(" + ",TRUE(),IF(('Match Log'!$A$4:$A$1510=$A328)*('Match Log'!$E$4:$E$1510="Loss"),'Match Log'!$D$4:$D$1510,"")),IF($E328=2,LOOKUP(2,1/(('Match Log'!$A$4:$A$1510=$A328)*('Match Log'!$E$4:$E$1510="Loss")),'Match Log'!$D$4:$D$1510),"the field")),"")</f>
        <v>the field</v>
      </c>
      <c r="I328" t="str">
        <f t="shared" si="30"/>
        <v/>
      </c>
      <c r="J328">
        <v>304</v>
      </c>
      <c r="K328" t="e">
        <f>IF($J328&gt;MAX('Match Log'!$A$4:$A$1510),NA(),IFERROR(LOOKUP(2,1/(('Match Log'!$D$4:$D$1510=$K$24)*('Match Log'!$A$4:$A$1510&lt;=$J328)),'Match Log'!$N$4:$N$1510),NA()))</f>
        <v>#N/A</v>
      </c>
      <c r="L328" t="e">
        <f>IF($J328&gt;MAX('Match Log'!$A$4:$A$1510),NA(),IFERROR(LOOKUP(2,1/(('Match Log'!$D$4:$D$1510=$L$24)*('Match Log'!$A$4:$A$1510&lt;=$J328)),'Match Log'!$N$4:$N$1510),NA()))</f>
        <v>#N/A</v>
      </c>
      <c r="M328" t="e">
        <f>IF($J328&gt;MAX('Match Log'!$A$4:$A$1510),NA(),IFERROR(LOOKUP(2,1/(('Match Log'!$D$4:$D$1510=$M$24)*('Match Log'!$A$4:$A$1510&lt;=$J328)),'Match Log'!$N$4:$N$1510),NA()))</f>
        <v>#N/A</v>
      </c>
      <c r="N328" t="e">
        <f>IF($J328&gt;MAX('Match Log'!$A$4:$A$1510),NA(),IFERROR(LOOKUP(2,1/(('Match Log'!$D$4:$D$1510=$N$24)*('Match Log'!$A$4:$A$1510&lt;=$J328)),'Match Log'!$N$4:$N$1510),NA()))</f>
        <v>#N/A</v>
      </c>
      <c r="O328" t="e">
        <f>IF($J328&gt;MAX('Match Log'!$A$4:$A$1510),NA(),IFERROR(LOOKUP(2,1/(('Match Log'!$D$4:$D$1510=$O$24)*('Match Log'!$A$4:$A$1510&lt;=$J328)),'Match Log'!$N$4:$N$1510),NA()))</f>
        <v>#N/A</v>
      </c>
      <c r="P328" t="e">
        <f>IF($J328&gt;MAX('Match Log'!$A$4:$A$1510),NA(),IFERROR(LOOKUP(2,1/(('Match Log'!$D$4:$D$1510=$P$24)*('Match Log'!$A$4:$A$1510&lt;=$J328)),'Match Log'!$N$4:$N$1510),NA()))</f>
        <v>#N/A</v>
      </c>
      <c r="Q328" t="e">
        <f>IF($J328&gt;MAX('Match Log'!$A$4:$A$1510),NA(),IFERROR(LOOKUP(2,1/(('Match Log'!$D$4:$D$1510=$Q$24)*('Match Log'!$A$4:$A$1510&lt;=$J328)),'Match Log'!$N$4:$N$1510),NA()))</f>
        <v>#N/A</v>
      </c>
      <c r="R328" t="e">
        <f>IF($J328&gt;MAX('Match Log'!$A$4:$A$1510),NA(),IFERROR(LOOKUP(2,1/(('Match Log'!$D$4:$D$1510=$R$24)*('Match Log'!$A$4:$A$1510&lt;=$J328)),'Match Log'!$N$4:$N$1510),NA()))</f>
        <v>#N/A</v>
      </c>
      <c r="S328" t="e">
        <f>IF($J328&gt;MAX('Match Log'!$A$4:$A$1510),NA(),IFERROR(LOOKUP(2,1/(('Match Log'!$D$4:$D$1510=$S$24)*('Match Log'!$A$4:$A$1510&lt;=$J328)),'Match Log'!$N$4:$N$1510),NA()))</f>
        <v>#N/A</v>
      </c>
      <c r="T328" t="e">
        <f>IF($J328&gt;MAX('Match Log'!$A$4:$A$1510),NA(),IFERROR(LOOKUP(2,1/(('Match Log'!$D$4:$D$1510=$T$24)*('Match Log'!$A$4:$A$1510&lt;=$J328)),'Match Log'!$N$4:$N$1510),NA()))</f>
        <v>#N/A</v>
      </c>
      <c r="U328" t="e">
        <f>IF($J328&gt;MAX('Match Log'!$A$4:$A$1510),NA(),IFERROR(LOOKUP(2,1/(('Match Log'!$D$4:$D$1510=$U$24)*('Match Log'!$A$4:$A$1510&lt;=$J328)),'Match Log'!$N$4:$N$1510),NA()))</f>
        <v>#N/A</v>
      </c>
      <c r="V328" t="e">
        <f>IF($J328&gt;MAX('Match Log'!$A$4:$A$1510),NA(),IFERROR(LOOKUP(2,1/(('Match Log'!$D$4:$D$1510=$V$24)*('Match Log'!$A$4:$A$1510&lt;=$J328)),'Match Log'!$N$4:$N$1510),NA()))</f>
        <v>#N/A</v>
      </c>
      <c r="W328" t="e">
        <f>IF($J328&gt;MAX('Match Log'!$A$4:$A$1510),NA(),IFERROR(LOOKUP(2,1/(('Match Log'!$D$4:$D$1510=$W$24)*('Match Log'!$A$4:$A$1510&lt;=$J328)),'Match Log'!$N$4:$N$1510),NA()))</f>
        <v>#N/A</v>
      </c>
      <c r="X328" t="e">
        <f>IF($J328&gt;MAX('Match Log'!$A$4:$A$1510),NA(),IFERROR(LOOKUP(2,1/(('Match Log'!$D$4:$D$1510=$X$24)*('Match Log'!$A$4:$A$1510&lt;=$J328)),'Match Log'!$N$4:$N$1510),NA()))</f>
        <v>#N/A</v>
      </c>
      <c r="Y328" t="str">
        <f t="shared" ca="1" si="31"/>
        <v/>
      </c>
    </row>
    <row r="329" spans="1:25" x14ac:dyDescent="0.2">
      <c r="A329">
        <v>305</v>
      </c>
      <c r="B329" t="str">
        <f>IFERROR(INDEX('Match Log'!$B$4:$B$1510,MATCH($A329,'Match Log'!$A$4:$A$1510,0)),"")</f>
        <v/>
      </c>
      <c r="C329" t="str">
        <f>IFERROR(INDEX('Match Log'!$C$4:$C$1510,MATCH($A329,'Match Log'!$A$4:$A$1510,0)),"")</f>
        <v/>
      </c>
      <c r="D329" t="str">
        <f t="array" ref="D329">IFERROR(_xlfn.TEXTJOIN(" + ",TRUE(),IF(('Match Log'!$A$4:$A$1510=$A329)*('Match Log'!$E$4:$E$1510="Win"),'Match Log'!$D$4:$D$1510,"")),IFERROR(LOOKUP(2,1/(('Match Log'!$A$4:$A$1510=$A329)*('Match Log'!$E$4:$E$1510="Win")),'Match Log'!$D$4:$D$1510),""))</f>
        <v/>
      </c>
      <c r="E329" t="str">
        <f>IFERROR(INDEX('Match Log'!$F$4:$F$1510,MATCH($A329,'Match Log'!$A$4:$A$1510,0)),"")</f>
        <v/>
      </c>
      <c r="F329">
        <f>IFERROR(SUMIFS('Match Log'!$I$4:$I$1510,'Match Log'!$A$4:$A$1510,$A329,'Match Log'!$E$4:$E$1510,"Win"),"")</f>
        <v>0</v>
      </c>
      <c r="G329" t="str">
        <f t="shared" si="29"/>
        <v/>
      </c>
      <c r="H329" t="str">
        <f t="array" ref="H329">IFERROR(IF(COUNTIFS('Match Log'!$A$4:$A$1510,$A329,'Match Log'!$E$4:$E$1510,"Win")&gt;1,_xlfn.TEXTJOIN(" + ",TRUE(),IF(('Match Log'!$A$4:$A$1510=$A329)*('Match Log'!$E$4:$E$1510="Loss"),'Match Log'!$D$4:$D$1510,"")),IF($E329=2,LOOKUP(2,1/(('Match Log'!$A$4:$A$1510=$A329)*('Match Log'!$E$4:$E$1510="Loss")),'Match Log'!$D$4:$D$1510),"the field")),"")</f>
        <v>the field</v>
      </c>
      <c r="I329" t="str">
        <f t="shared" si="30"/>
        <v/>
      </c>
      <c r="J329">
        <v>305</v>
      </c>
      <c r="K329" t="e">
        <f>IF($J329&gt;MAX('Match Log'!$A$4:$A$1510),NA(),IFERROR(LOOKUP(2,1/(('Match Log'!$D$4:$D$1510=$K$24)*('Match Log'!$A$4:$A$1510&lt;=$J329)),'Match Log'!$N$4:$N$1510),NA()))</f>
        <v>#N/A</v>
      </c>
      <c r="L329" t="e">
        <f>IF($J329&gt;MAX('Match Log'!$A$4:$A$1510),NA(),IFERROR(LOOKUP(2,1/(('Match Log'!$D$4:$D$1510=$L$24)*('Match Log'!$A$4:$A$1510&lt;=$J329)),'Match Log'!$N$4:$N$1510),NA()))</f>
        <v>#N/A</v>
      </c>
      <c r="M329" t="e">
        <f>IF($J329&gt;MAX('Match Log'!$A$4:$A$1510),NA(),IFERROR(LOOKUP(2,1/(('Match Log'!$D$4:$D$1510=$M$24)*('Match Log'!$A$4:$A$1510&lt;=$J329)),'Match Log'!$N$4:$N$1510),NA()))</f>
        <v>#N/A</v>
      </c>
      <c r="N329" t="e">
        <f>IF($J329&gt;MAX('Match Log'!$A$4:$A$1510),NA(),IFERROR(LOOKUP(2,1/(('Match Log'!$D$4:$D$1510=$N$24)*('Match Log'!$A$4:$A$1510&lt;=$J329)),'Match Log'!$N$4:$N$1510),NA()))</f>
        <v>#N/A</v>
      </c>
      <c r="O329" t="e">
        <f>IF($J329&gt;MAX('Match Log'!$A$4:$A$1510),NA(),IFERROR(LOOKUP(2,1/(('Match Log'!$D$4:$D$1510=$O$24)*('Match Log'!$A$4:$A$1510&lt;=$J329)),'Match Log'!$N$4:$N$1510),NA()))</f>
        <v>#N/A</v>
      </c>
      <c r="P329" t="e">
        <f>IF($J329&gt;MAX('Match Log'!$A$4:$A$1510),NA(),IFERROR(LOOKUP(2,1/(('Match Log'!$D$4:$D$1510=$P$24)*('Match Log'!$A$4:$A$1510&lt;=$J329)),'Match Log'!$N$4:$N$1510),NA()))</f>
        <v>#N/A</v>
      </c>
      <c r="Q329" t="e">
        <f>IF($J329&gt;MAX('Match Log'!$A$4:$A$1510),NA(),IFERROR(LOOKUP(2,1/(('Match Log'!$D$4:$D$1510=$Q$24)*('Match Log'!$A$4:$A$1510&lt;=$J329)),'Match Log'!$N$4:$N$1510),NA()))</f>
        <v>#N/A</v>
      </c>
      <c r="R329" t="e">
        <f>IF($J329&gt;MAX('Match Log'!$A$4:$A$1510),NA(),IFERROR(LOOKUP(2,1/(('Match Log'!$D$4:$D$1510=$R$24)*('Match Log'!$A$4:$A$1510&lt;=$J329)),'Match Log'!$N$4:$N$1510),NA()))</f>
        <v>#N/A</v>
      </c>
      <c r="S329" t="e">
        <f>IF($J329&gt;MAX('Match Log'!$A$4:$A$1510),NA(),IFERROR(LOOKUP(2,1/(('Match Log'!$D$4:$D$1510=$S$24)*('Match Log'!$A$4:$A$1510&lt;=$J329)),'Match Log'!$N$4:$N$1510),NA()))</f>
        <v>#N/A</v>
      </c>
      <c r="T329" t="e">
        <f>IF($J329&gt;MAX('Match Log'!$A$4:$A$1510),NA(),IFERROR(LOOKUP(2,1/(('Match Log'!$D$4:$D$1510=$T$24)*('Match Log'!$A$4:$A$1510&lt;=$J329)),'Match Log'!$N$4:$N$1510),NA()))</f>
        <v>#N/A</v>
      </c>
      <c r="U329" t="e">
        <f>IF($J329&gt;MAX('Match Log'!$A$4:$A$1510),NA(),IFERROR(LOOKUP(2,1/(('Match Log'!$D$4:$D$1510=$U$24)*('Match Log'!$A$4:$A$1510&lt;=$J329)),'Match Log'!$N$4:$N$1510),NA()))</f>
        <v>#N/A</v>
      </c>
      <c r="V329" t="e">
        <f>IF($J329&gt;MAX('Match Log'!$A$4:$A$1510),NA(),IFERROR(LOOKUP(2,1/(('Match Log'!$D$4:$D$1510=$V$24)*('Match Log'!$A$4:$A$1510&lt;=$J329)),'Match Log'!$N$4:$N$1510),NA()))</f>
        <v>#N/A</v>
      </c>
      <c r="W329" t="e">
        <f>IF($J329&gt;MAX('Match Log'!$A$4:$A$1510),NA(),IFERROR(LOOKUP(2,1/(('Match Log'!$D$4:$D$1510=$W$24)*('Match Log'!$A$4:$A$1510&lt;=$J329)),'Match Log'!$N$4:$N$1510),NA()))</f>
        <v>#N/A</v>
      </c>
      <c r="X329" t="e">
        <f>IF($J329&gt;MAX('Match Log'!$A$4:$A$1510),NA(),IFERROR(LOOKUP(2,1/(('Match Log'!$D$4:$D$1510=$X$24)*('Match Log'!$A$4:$A$1510&lt;=$J329)),'Match Log'!$N$4:$N$1510),NA()))</f>
        <v>#N/A</v>
      </c>
      <c r="Y329" t="str">
        <f t="shared" ca="1" si="31"/>
        <v/>
      </c>
    </row>
    <row r="330" spans="1:25" x14ac:dyDescent="0.2">
      <c r="A330">
        <v>306</v>
      </c>
      <c r="B330" t="str">
        <f>IFERROR(INDEX('Match Log'!$B$4:$B$1510,MATCH($A330,'Match Log'!$A$4:$A$1510,0)),"")</f>
        <v/>
      </c>
      <c r="C330" t="str">
        <f>IFERROR(INDEX('Match Log'!$C$4:$C$1510,MATCH($A330,'Match Log'!$A$4:$A$1510,0)),"")</f>
        <v/>
      </c>
      <c r="D330" t="str">
        <f t="array" ref="D330">IFERROR(_xlfn.TEXTJOIN(" + ",TRUE(),IF(('Match Log'!$A$4:$A$1510=$A330)*('Match Log'!$E$4:$E$1510="Win"),'Match Log'!$D$4:$D$1510,"")),IFERROR(LOOKUP(2,1/(('Match Log'!$A$4:$A$1510=$A330)*('Match Log'!$E$4:$E$1510="Win")),'Match Log'!$D$4:$D$1510),""))</f>
        <v/>
      </c>
      <c r="E330" t="str">
        <f>IFERROR(INDEX('Match Log'!$F$4:$F$1510,MATCH($A330,'Match Log'!$A$4:$A$1510,0)),"")</f>
        <v/>
      </c>
      <c r="F330">
        <f>IFERROR(SUMIFS('Match Log'!$I$4:$I$1510,'Match Log'!$A$4:$A$1510,$A330,'Match Log'!$E$4:$E$1510,"Win"),"")</f>
        <v>0</v>
      </c>
      <c r="G330" t="str">
        <f t="shared" si="29"/>
        <v/>
      </c>
      <c r="H330" t="str">
        <f t="array" ref="H330">IFERROR(IF(COUNTIFS('Match Log'!$A$4:$A$1510,$A330,'Match Log'!$E$4:$E$1510,"Win")&gt;1,_xlfn.TEXTJOIN(" + ",TRUE(),IF(('Match Log'!$A$4:$A$1510=$A330)*('Match Log'!$E$4:$E$1510="Loss"),'Match Log'!$D$4:$D$1510,"")),IF($E330=2,LOOKUP(2,1/(('Match Log'!$A$4:$A$1510=$A330)*('Match Log'!$E$4:$E$1510="Loss")),'Match Log'!$D$4:$D$1510),"the field")),"")</f>
        <v>the field</v>
      </c>
      <c r="I330" t="str">
        <f t="shared" si="30"/>
        <v/>
      </c>
      <c r="J330">
        <v>306</v>
      </c>
      <c r="K330" t="e">
        <f>IF($J330&gt;MAX('Match Log'!$A$4:$A$1510),NA(),IFERROR(LOOKUP(2,1/(('Match Log'!$D$4:$D$1510=$K$24)*('Match Log'!$A$4:$A$1510&lt;=$J330)),'Match Log'!$N$4:$N$1510),NA()))</f>
        <v>#N/A</v>
      </c>
      <c r="L330" t="e">
        <f>IF($J330&gt;MAX('Match Log'!$A$4:$A$1510),NA(),IFERROR(LOOKUP(2,1/(('Match Log'!$D$4:$D$1510=$L$24)*('Match Log'!$A$4:$A$1510&lt;=$J330)),'Match Log'!$N$4:$N$1510),NA()))</f>
        <v>#N/A</v>
      </c>
      <c r="M330" t="e">
        <f>IF($J330&gt;MAX('Match Log'!$A$4:$A$1510),NA(),IFERROR(LOOKUP(2,1/(('Match Log'!$D$4:$D$1510=$M$24)*('Match Log'!$A$4:$A$1510&lt;=$J330)),'Match Log'!$N$4:$N$1510),NA()))</f>
        <v>#N/A</v>
      </c>
      <c r="N330" t="e">
        <f>IF($J330&gt;MAX('Match Log'!$A$4:$A$1510),NA(),IFERROR(LOOKUP(2,1/(('Match Log'!$D$4:$D$1510=$N$24)*('Match Log'!$A$4:$A$1510&lt;=$J330)),'Match Log'!$N$4:$N$1510),NA()))</f>
        <v>#N/A</v>
      </c>
      <c r="O330" t="e">
        <f>IF($J330&gt;MAX('Match Log'!$A$4:$A$1510),NA(),IFERROR(LOOKUP(2,1/(('Match Log'!$D$4:$D$1510=$O$24)*('Match Log'!$A$4:$A$1510&lt;=$J330)),'Match Log'!$N$4:$N$1510),NA()))</f>
        <v>#N/A</v>
      </c>
      <c r="P330" t="e">
        <f>IF($J330&gt;MAX('Match Log'!$A$4:$A$1510),NA(),IFERROR(LOOKUP(2,1/(('Match Log'!$D$4:$D$1510=$P$24)*('Match Log'!$A$4:$A$1510&lt;=$J330)),'Match Log'!$N$4:$N$1510),NA()))</f>
        <v>#N/A</v>
      </c>
      <c r="Q330" t="e">
        <f>IF($J330&gt;MAX('Match Log'!$A$4:$A$1510),NA(),IFERROR(LOOKUP(2,1/(('Match Log'!$D$4:$D$1510=$Q$24)*('Match Log'!$A$4:$A$1510&lt;=$J330)),'Match Log'!$N$4:$N$1510),NA()))</f>
        <v>#N/A</v>
      </c>
      <c r="R330" t="e">
        <f>IF($J330&gt;MAX('Match Log'!$A$4:$A$1510),NA(),IFERROR(LOOKUP(2,1/(('Match Log'!$D$4:$D$1510=$R$24)*('Match Log'!$A$4:$A$1510&lt;=$J330)),'Match Log'!$N$4:$N$1510),NA()))</f>
        <v>#N/A</v>
      </c>
      <c r="S330" t="e">
        <f>IF($J330&gt;MAX('Match Log'!$A$4:$A$1510),NA(),IFERROR(LOOKUP(2,1/(('Match Log'!$D$4:$D$1510=$S$24)*('Match Log'!$A$4:$A$1510&lt;=$J330)),'Match Log'!$N$4:$N$1510),NA()))</f>
        <v>#N/A</v>
      </c>
      <c r="T330" t="e">
        <f>IF($J330&gt;MAX('Match Log'!$A$4:$A$1510),NA(),IFERROR(LOOKUP(2,1/(('Match Log'!$D$4:$D$1510=$T$24)*('Match Log'!$A$4:$A$1510&lt;=$J330)),'Match Log'!$N$4:$N$1510),NA()))</f>
        <v>#N/A</v>
      </c>
      <c r="U330" t="e">
        <f>IF($J330&gt;MAX('Match Log'!$A$4:$A$1510),NA(),IFERROR(LOOKUP(2,1/(('Match Log'!$D$4:$D$1510=$U$24)*('Match Log'!$A$4:$A$1510&lt;=$J330)),'Match Log'!$N$4:$N$1510),NA()))</f>
        <v>#N/A</v>
      </c>
      <c r="V330" t="e">
        <f>IF($J330&gt;MAX('Match Log'!$A$4:$A$1510),NA(),IFERROR(LOOKUP(2,1/(('Match Log'!$D$4:$D$1510=$V$24)*('Match Log'!$A$4:$A$1510&lt;=$J330)),'Match Log'!$N$4:$N$1510),NA()))</f>
        <v>#N/A</v>
      </c>
      <c r="W330" t="e">
        <f>IF($J330&gt;MAX('Match Log'!$A$4:$A$1510),NA(),IFERROR(LOOKUP(2,1/(('Match Log'!$D$4:$D$1510=$W$24)*('Match Log'!$A$4:$A$1510&lt;=$J330)),'Match Log'!$N$4:$N$1510),NA()))</f>
        <v>#N/A</v>
      </c>
      <c r="X330" t="e">
        <f>IF($J330&gt;MAX('Match Log'!$A$4:$A$1510),NA(),IFERROR(LOOKUP(2,1/(('Match Log'!$D$4:$D$1510=$X$24)*('Match Log'!$A$4:$A$1510&lt;=$J330)),'Match Log'!$N$4:$N$1510),NA()))</f>
        <v>#N/A</v>
      </c>
      <c r="Y330" t="str">
        <f t="shared" ca="1" si="31"/>
        <v/>
      </c>
    </row>
    <row r="331" spans="1:25" x14ac:dyDescent="0.2">
      <c r="A331">
        <v>307</v>
      </c>
      <c r="B331" t="str">
        <f>IFERROR(INDEX('Match Log'!$B$4:$B$1510,MATCH($A331,'Match Log'!$A$4:$A$1510,0)),"")</f>
        <v/>
      </c>
      <c r="C331" t="str">
        <f>IFERROR(INDEX('Match Log'!$C$4:$C$1510,MATCH($A331,'Match Log'!$A$4:$A$1510,0)),"")</f>
        <v/>
      </c>
      <c r="D331" t="str">
        <f t="array" ref="D331">IFERROR(_xlfn.TEXTJOIN(" + ",TRUE(),IF(('Match Log'!$A$4:$A$1510=$A331)*('Match Log'!$E$4:$E$1510="Win"),'Match Log'!$D$4:$D$1510,"")),IFERROR(LOOKUP(2,1/(('Match Log'!$A$4:$A$1510=$A331)*('Match Log'!$E$4:$E$1510="Win")),'Match Log'!$D$4:$D$1510),""))</f>
        <v/>
      </c>
      <c r="E331" t="str">
        <f>IFERROR(INDEX('Match Log'!$F$4:$F$1510,MATCH($A331,'Match Log'!$A$4:$A$1510,0)),"")</f>
        <v/>
      </c>
      <c r="F331">
        <f>IFERROR(SUMIFS('Match Log'!$I$4:$I$1510,'Match Log'!$A$4:$A$1510,$A331,'Match Log'!$E$4:$E$1510,"Win"),"")</f>
        <v>0</v>
      </c>
      <c r="G331" t="str">
        <f t="shared" si="29"/>
        <v/>
      </c>
      <c r="H331" t="str">
        <f t="array" ref="H331">IFERROR(IF(COUNTIFS('Match Log'!$A$4:$A$1510,$A331,'Match Log'!$E$4:$E$1510,"Win")&gt;1,_xlfn.TEXTJOIN(" + ",TRUE(),IF(('Match Log'!$A$4:$A$1510=$A331)*('Match Log'!$E$4:$E$1510="Loss"),'Match Log'!$D$4:$D$1510,"")),IF($E331=2,LOOKUP(2,1/(('Match Log'!$A$4:$A$1510=$A331)*('Match Log'!$E$4:$E$1510="Loss")),'Match Log'!$D$4:$D$1510),"the field")),"")</f>
        <v>the field</v>
      </c>
      <c r="I331" t="str">
        <f t="shared" si="30"/>
        <v/>
      </c>
      <c r="J331">
        <v>307</v>
      </c>
      <c r="K331" t="e">
        <f>IF($J331&gt;MAX('Match Log'!$A$4:$A$1510),NA(),IFERROR(LOOKUP(2,1/(('Match Log'!$D$4:$D$1510=$K$24)*('Match Log'!$A$4:$A$1510&lt;=$J331)),'Match Log'!$N$4:$N$1510),NA()))</f>
        <v>#N/A</v>
      </c>
      <c r="L331" t="e">
        <f>IF($J331&gt;MAX('Match Log'!$A$4:$A$1510),NA(),IFERROR(LOOKUP(2,1/(('Match Log'!$D$4:$D$1510=$L$24)*('Match Log'!$A$4:$A$1510&lt;=$J331)),'Match Log'!$N$4:$N$1510),NA()))</f>
        <v>#N/A</v>
      </c>
      <c r="M331" t="e">
        <f>IF($J331&gt;MAX('Match Log'!$A$4:$A$1510),NA(),IFERROR(LOOKUP(2,1/(('Match Log'!$D$4:$D$1510=$M$24)*('Match Log'!$A$4:$A$1510&lt;=$J331)),'Match Log'!$N$4:$N$1510),NA()))</f>
        <v>#N/A</v>
      </c>
      <c r="N331" t="e">
        <f>IF($J331&gt;MAX('Match Log'!$A$4:$A$1510),NA(),IFERROR(LOOKUP(2,1/(('Match Log'!$D$4:$D$1510=$N$24)*('Match Log'!$A$4:$A$1510&lt;=$J331)),'Match Log'!$N$4:$N$1510),NA()))</f>
        <v>#N/A</v>
      </c>
      <c r="O331" t="e">
        <f>IF($J331&gt;MAX('Match Log'!$A$4:$A$1510),NA(),IFERROR(LOOKUP(2,1/(('Match Log'!$D$4:$D$1510=$O$24)*('Match Log'!$A$4:$A$1510&lt;=$J331)),'Match Log'!$N$4:$N$1510),NA()))</f>
        <v>#N/A</v>
      </c>
      <c r="P331" t="e">
        <f>IF($J331&gt;MAX('Match Log'!$A$4:$A$1510),NA(),IFERROR(LOOKUP(2,1/(('Match Log'!$D$4:$D$1510=$P$24)*('Match Log'!$A$4:$A$1510&lt;=$J331)),'Match Log'!$N$4:$N$1510),NA()))</f>
        <v>#N/A</v>
      </c>
      <c r="Q331" t="e">
        <f>IF($J331&gt;MAX('Match Log'!$A$4:$A$1510),NA(),IFERROR(LOOKUP(2,1/(('Match Log'!$D$4:$D$1510=$Q$24)*('Match Log'!$A$4:$A$1510&lt;=$J331)),'Match Log'!$N$4:$N$1510),NA()))</f>
        <v>#N/A</v>
      </c>
      <c r="R331" t="e">
        <f>IF($J331&gt;MAX('Match Log'!$A$4:$A$1510),NA(),IFERROR(LOOKUP(2,1/(('Match Log'!$D$4:$D$1510=$R$24)*('Match Log'!$A$4:$A$1510&lt;=$J331)),'Match Log'!$N$4:$N$1510),NA()))</f>
        <v>#N/A</v>
      </c>
      <c r="S331" t="e">
        <f>IF($J331&gt;MAX('Match Log'!$A$4:$A$1510),NA(),IFERROR(LOOKUP(2,1/(('Match Log'!$D$4:$D$1510=$S$24)*('Match Log'!$A$4:$A$1510&lt;=$J331)),'Match Log'!$N$4:$N$1510),NA()))</f>
        <v>#N/A</v>
      </c>
      <c r="T331" t="e">
        <f>IF($J331&gt;MAX('Match Log'!$A$4:$A$1510),NA(),IFERROR(LOOKUP(2,1/(('Match Log'!$D$4:$D$1510=$T$24)*('Match Log'!$A$4:$A$1510&lt;=$J331)),'Match Log'!$N$4:$N$1510),NA()))</f>
        <v>#N/A</v>
      </c>
      <c r="U331" t="e">
        <f>IF($J331&gt;MAX('Match Log'!$A$4:$A$1510),NA(),IFERROR(LOOKUP(2,1/(('Match Log'!$D$4:$D$1510=$U$24)*('Match Log'!$A$4:$A$1510&lt;=$J331)),'Match Log'!$N$4:$N$1510),NA()))</f>
        <v>#N/A</v>
      </c>
      <c r="V331" t="e">
        <f>IF($J331&gt;MAX('Match Log'!$A$4:$A$1510),NA(),IFERROR(LOOKUP(2,1/(('Match Log'!$D$4:$D$1510=$V$24)*('Match Log'!$A$4:$A$1510&lt;=$J331)),'Match Log'!$N$4:$N$1510),NA()))</f>
        <v>#N/A</v>
      </c>
      <c r="W331" t="e">
        <f>IF($J331&gt;MAX('Match Log'!$A$4:$A$1510),NA(),IFERROR(LOOKUP(2,1/(('Match Log'!$D$4:$D$1510=$W$24)*('Match Log'!$A$4:$A$1510&lt;=$J331)),'Match Log'!$N$4:$N$1510),NA()))</f>
        <v>#N/A</v>
      </c>
      <c r="X331" t="e">
        <f>IF($J331&gt;MAX('Match Log'!$A$4:$A$1510),NA(),IFERROR(LOOKUP(2,1/(('Match Log'!$D$4:$D$1510=$X$24)*('Match Log'!$A$4:$A$1510&lt;=$J331)),'Match Log'!$N$4:$N$1510),NA()))</f>
        <v>#N/A</v>
      </c>
      <c r="Y331" t="str">
        <f t="shared" ca="1" si="31"/>
        <v/>
      </c>
    </row>
    <row r="332" spans="1:25" x14ac:dyDescent="0.2">
      <c r="A332">
        <v>308</v>
      </c>
      <c r="B332" t="str">
        <f>IFERROR(INDEX('Match Log'!$B$4:$B$1510,MATCH($A332,'Match Log'!$A$4:$A$1510,0)),"")</f>
        <v/>
      </c>
      <c r="C332" t="str">
        <f>IFERROR(INDEX('Match Log'!$C$4:$C$1510,MATCH($A332,'Match Log'!$A$4:$A$1510,0)),"")</f>
        <v/>
      </c>
      <c r="D332" t="str">
        <f t="array" ref="D332">IFERROR(_xlfn.TEXTJOIN(" + ",TRUE(),IF(('Match Log'!$A$4:$A$1510=$A332)*('Match Log'!$E$4:$E$1510="Win"),'Match Log'!$D$4:$D$1510,"")),IFERROR(LOOKUP(2,1/(('Match Log'!$A$4:$A$1510=$A332)*('Match Log'!$E$4:$E$1510="Win")),'Match Log'!$D$4:$D$1510),""))</f>
        <v/>
      </c>
      <c r="E332" t="str">
        <f>IFERROR(INDEX('Match Log'!$F$4:$F$1510,MATCH($A332,'Match Log'!$A$4:$A$1510,0)),"")</f>
        <v/>
      </c>
      <c r="F332">
        <f>IFERROR(SUMIFS('Match Log'!$I$4:$I$1510,'Match Log'!$A$4:$A$1510,$A332,'Match Log'!$E$4:$E$1510,"Win"),"")</f>
        <v>0</v>
      </c>
      <c r="G332" t="str">
        <f t="shared" si="29"/>
        <v/>
      </c>
      <c r="H332" t="str">
        <f t="array" ref="H332">IFERROR(IF(COUNTIFS('Match Log'!$A$4:$A$1510,$A332,'Match Log'!$E$4:$E$1510,"Win")&gt;1,_xlfn.TEXTJOIN(" + ",TRUE(),IF(('Match Log'!$A$4:$A$1510=$A332)*('Match Log'!$E$4:$E$1510="Loss"),'Match Log'!$D$4:$D$1510,"")),IF($E332=2,LOOKUP(2,1/(('Match Log'!$A$4:$A$1510=$A332)*('Match Log'!$E$4:$E$1510="Loss")),'Match Log'!$D$4:$D$1510),"the field")),"")</f>
        <v>the field</v>
      </c>
      <c r="I332" t="str">
        <f t="shared" si="30"/>
        <v/>
      </c>
      <c r="J332">
        <v>308</v>
      </c>
      <c r="K332" t="e">
        <f>IF($J332&gt;MAX('Match Log'!$A$4:$A$1510),NA(),IFERROR(LOOKUP(2,1/(('Match Log'!$D$4:$D$1510=$K$24)*('Match Log'!$A$4:$A$1510&lt;=$J332)),'Match Log'!$N$4:$N$1510),NA()))</f>
        <v>#N/A</v>
      </c>
      <c r="L332" t="e">
        <f>IF($J332&gt;MAX('Match Log'!$A$4:$A$1510),NA(),IFERROR(LOOKUP(2,1/(('Match Log'!$D$4:$D$1510=$L$24)*('Match Log'!$A$4:$A$1510&lt;=$J332)),'Match Log'!$N$4:$N$1510),NA()))</f>
        <v>#N/A</v>
      </c>
      <c r="M332" t="e">
        <f>IF($J332&gt;MAX('Match Log'!$A$4:$A$1510),NA(),IFERROR(LOOKUP(2,1/(('Match Log'!$D$4:$D$1510=$M$24)*('Match Log'!$A$4:$A$1510&lt;=$J332)),'Match Log'!$N$4:$N$1510),NA()))</f>
        <v>#N/A</v>
      </c>
      <c r="N332" t="e">
        <f>IF($J332&gt;MAX('Match Log'!$A$4:$A$1510),NA(),IFERROR(LOOKUP(2,1/(('Match Log'!$D$4:$D$1510=$N$24)*('Match Log'!$A$4:$A$1510&lt;=$J332)),'Match Log'!$N$4:$N$1510),NA()))</f>
        <v>#N/A</v>
      </c>
      <c r="O332" t="e">
        <f>IF($J332&gt;MAX('Match Log'!$A$4:$A$1510),NA(),IFERROR(LOOKUP(2,1/(('Match Log'!$D$4:$D$1510=$O$24)*('Match Log'!$A$4:$A$1510&lt;=$J332)),'Match Log'!$N$4:$N$1510),NA()))</f>
        <v>#N/A</v>
      </c>
      <c r="P332" t="e">
        <f>IF($J332&gt;MAX('Match Log'!$A$4:$A$1510),NA(),IFERROR(LOOKUP(2,1/(('Match Log'!$D$4:$D$1510=$P$24)*('Match Log'!$A$4:$A$1510&lt;=$J332)),'Match Log'!$N$4:$N$1510),NA()))</f>
        <v>#N/A</v>
      </c>
      <c r="Q332" t="e">
        <f>IF($J332&gt;MAX('Match Log'!$A$4:$A$1510),NA(),IFERROR(LOOKUP(2,1/(('Match Log'!$D$4:$D$1510=$Q$24)*('Match Log'!$A$4:$A$1510&lt;=$J332)),'Match Log'!$N$4:$N$1510),NA()))</f>
        <v>#N/A</v>
      </c>
      <c r="R332" t="e">
        <f>IF($J332&gt;MAX('Match Log'!$A$4:$A$1510),NA(),IFERROR(LOOKUP(2,1/(('Match Log'!$D$4:$D$1510=$R$24)*('Match Log'!$A$4:$A$1510&lt;=$J332)),'Match Log'!$N$4:$N$1510),NA()))</f>
        <v>#N/A</v>
      </c>
      <c r="S332" t="e">
        <f>IF($J332&gt;MAX('Match Log'!$A$4:$A$1510),NA(),IFERROR(LOOKUP(2,1/(('Match Log'!$D$4:$D$1510=$S$24)*('Match Log'!$A$4:$A$1510&lt;=$J332)),'Match Log'!$N$4:$N$1510),NA()))</f>
        <v>#N/A</v>
      </c>
      <c r="T332" t="e">
        <f>IF($J332&gt;MAX('Match Log'!$A$4:$A$1510),NA(),IFERROR(LOOKUP(2,1/(('Match Log'!$D$4:$D$1510=$T$24)*('Match Log'!$A$4:$A$1510&lt;=$J332)),'Match Log'!$N$4:$N$1510),NA()))</f>
        <v>#N/A</v>
      </c>
      <c r="U332" t="e">
        <f>IF($J332&gt;MAX('Match Log'!$A$4:$A$1510),NA(),IFERROR(LOOKUP(2,1/(('Match Log'!$D$4:$D$1510=$U$24)*('Match Log'!$A$4:$A$1510&lt;=$J332)),'Match Log'!$N$4:$N$1510),NA()))</f>
        <v>#N/A</v>
      </c>
      <c r="V332" t="e">
        <f>IF($J332&gt;MAX('Match Log'!$A$4:$A$1510),NA(),IFERROR(LOOKUP(2,1/(('Match Log'!$D$4:$D$1510=$V$24)*('Match Log'!$A$4:$A$1510&lt;=$J332)),'Match Log'!$N$4:$N$1510),NA()))</f>
        <v>#N/A</v>
      </c>
      <c r="W332" t="e">
        <f>IF($J332&gt;MAX('Match Log'!$A$4:$A$1510),NA(),IFERROR(LOOKUP(2,1/(('Match Log'!$D$4:$D$1510=$W$24)*('Match Log'!$A$4:$A$1510&lt;=$J332)),'Match Log'!$N$4:$N$1510),NA()))</f>
        <v>#N/A</v>
      </c>
      <c r="X332" t="e">
        <f>IF($J332&gt;MAX('Match Log'!$A$4:$A$1510),NA(),IFERROR(LOOKUP(2,1/(('Match Log'!$D$4:$D$1510=$X$24)*('Match Log'!$A$4:$A$1510&lt;=$J332)),'Match Log'!$N$4:$N$1510),NA()))</f>
        <v>#N/A</v>
      </c>
      <c r="Y332" t="str">
        <f t="shared" ca="1" si="31"/>
        <v/>
      </c>
    </row>
    <row r="333" spans="1:25" x14ac:dyDescent="0.2">
      <c r="A333">
        <v>309</v>
      </c>
      <c r="B333" t="str">
        <f>IFERROR(INDEX('Match Log'!$B$4:$B$1510,MATCH($A333,'Match Log'!$A$4:$A$1510,0)),"")</f>
        <v/>
      </c>
      <c r="C333" t="str">
        <f>IFERROR(INDEX('Match Log'!$C$4:$C$1510,MATCH($A333,'Match Log'!$A$4:$A$1510,0)),"")</f>
        <v/>
      </c>
      <c r="D333" t="str">
        <f t="array" ref="D333">IFERROR(_xlfn.TEXTJOIN(" + ",TRUE(),IF(('Match Log'!$A$4:$A$1510=$A333)*('Match Log'!$E$4:$E$1510="Win"),'Match Log'!$D$4:$D$1510,"")),IFERROR(LOOKUP(2,1/(('Match Log'!$A$4:$A$1510=$A333)*('Match Log'!$E$4:$E$1510="Win")),'Match Log'!$D$4:$D$1510),""))</f>
        <v/>
      </c>
      <c r="E333" t="str">
        <f>IFERROR(INDEX('Match Log'!$F$4:$F$1510,MATCH($A333,'Match Log'!$A$4:$A$1510,0)),"")</f>
        <v/>
      </c>
      <c r="F333">
        <f>IFERROR(SUMIFS('Match Log'!$I$4:$I$1510,'Match Log'!$A$4:$A$1510,$A333,'Match Log'!$E$4:$E$1510,"Win"),"")</f>
        <v>0</v>
      </c>
      <c r="G333" t="str">
        <f t="shared" si="29"/>
        <v/>
      </c>
      <c r="H333" t="str">
        <f t="array" ref="H333">IFERROR(IF(COUNTIFS('Match Log'!$A$4:$A$1510,$A333,'Match Log'!$E$4:$E$1510,"Win")&gt;1,_xlfn.TEXTJOIN(" + ",TRUE(),IF(('Match Log'!$A$4:$A$1510=$A333)*('Match Log'!$E$4:$E$1510="Loss"),'Match Log'!$D$4:$D$1510,"")),IF($E333=2,LOOKUP(2,1/(('Match Log'!$A$4:$A$1510=$A333)*('Match Log'!$E$4:$E$1510="Loss")),'Match Log'!$D$4:$D$1510),"the field")),"")</f>
        <v>the field</v>
      </c>
      <c r="I333" t="str">
        <f t="shared" si="30"/>
        <v/>
      </c>
      <c r="J333">
        <v>309</v>
      </c>
      <c r="K333" t="e">
        <f>IF($J333&gt;MAX('Match Log'!$A$4:$A$1510),NA(),IFERROR(LOOKUP(2,1/(('Match Log'!$D$4:$D$1510=$K$24)*('Match Log'!$A$4:$A$1510&lt;=$J333)),'Match Log'!$N$4:$N$1510),NA()))</f>
        <v>#N/A</v>
      </c>
      <c r="L333" t="e">
        <f>IF($J333&gt;MAX('Match Log'!$A$4:$A$1510),NA(),IFERROR(LOOKUP(2,1/(('Match Log'!$D$4:$D$1510=$L$24)*('Match Log'!$A$4:$A$1510&lt;=$J333)),'Match Log'!$N$4:$N$1510),NA()))</f>
        <v>#N/A</v>
      </c>
      <c r="M333" t="e">
        <f>IF($J333&gt;MAX('Match Log'!$A$4:$A$1510),NA(),IFERROR(LOOKUP(2,1/(('Match Log'!$D$4:$D$1510=$M$24)*('Match Log'!$A$4:$A$1510&lt;=$J333)),'Match Log'!$N$4:$N$1510),NA()))</f>
        <v>#N/A</v>
      </c>
      <c r="N333" t="e">
        <f>IF($J333&gt;MAX('Match Log'!$A$4:$A$1510),NA(),IFERROR(LOOKUP(2,1/(('Match Log'!$D$4:$D$1510=$N$24)*('Match Log'!$A$4:$A$1510&lt;=$J333)),'Match Log'!$N$4:$N$1510),NA()))</f>
        <v>#N/A</v>
      </c>
      <c r="O333" t="e">
        <f>IF($J333&gt;MAX('Match Log'!$A$4:$A$1510),NA(),IFERROR(LOOKUP(2,1/(('Match Log'!$D$4:$D$1510=$O$24)*('Match Log'!$A$4:$A$1510&lt;=$J333)),'Match Log'!$N$4:$N$1510),NA()))</f>
        <v>#N/A</v>
      </c>
      <c r="P333" t="e">
        <f>IF($J333&gt;MAX('Match Log'!$A$4:$A$1510),NA(),IFERROR(LOOKUP(2,1/(('Match Log'!$D$4:$D$1510=$P$24)*('Match Log'!$A$4:$A$1510&lt;=$J333)),'Match Log'!$N$4:$N$1510),NA()))</f>
        <v>#N/A</v>
      </c>
      <c r="Q333" t="e">
        <f>IF($J333&gt;MAX('Match Log'!$A$4:$A$1510),NA(),IFERROR(LOOKUP(2,1/(('Match Log'!$D$4:$D$1510=$Q$24)*('Match Log'!$A$4:$A$1510&lt;=$J333)),'Match Log'!$N$4:$N$1510),NA()))</f>
        <v>#N/A</v>
      </c>
      <c r="R333" t="e">
        <f>IF($J333&gt;MAX('Match Log'!$A$4:$A$1510),NA(),IFERROR(LOOKUP(2,1/(('Match Log'!$D$4:$D$1510=$R$24)*('Match Log'!$A$4:$A$1510&lt;=$J333)),'Match Log'!$N$4:$N$1510),NA()))</f>
        <v>#N/A</v>
      </c>
      <c r="S333" t="e">
        <f>IF($J333&gt;MAX('Match Log'!$A$4:$A$1510),NA(),IFERROR(LOOKUP(2,1/(('Match Log'!$D$4:$D$1510=$S$24)*('Match Log'!$A$4:$A$1510&lt;=$J333)),'Match Log'!$N$4:$N$1510),NA()))</f>
        <v>#N/A</v>
      </c>
      <c r="T333" t="e">
        <f>IF($J333&gt;MAX('Match Log'!$A$4:$A$1510),NA(),IFERROR(LOOKUP(2,1/(('Match Log'!$D$4:$D$1510=$T$24)*('Match Log'!$A$4:$A$1510&lt;=$J333)),'Match Log'!$N$4:$N$1510),NA()))</f>
        <v>#N/A</v>
      </c>
      <c r="U333" t="e">
        <f>IF($J333&gt;MAX('Match Log'!$A$4:$A$1510),NA(),IFERROR(LOOKUP(2,1/(('Match Log'!$D$4:$D$1510=$U$24)*('Match Log'!$A$4:$A$1510&lt;=$J333)),'Match Log'!$N$4:$N$1510),NA()))</f>
        <v>#N/A</v>
      </c>
      <c r="V333" t="e">
        <f>IF($J333&gt;MAX('Match Log'!$A$4:$A$1510),NA(),IFERROR(LOOKUP(2,1/(('Match Log'!$D$4:$D$1510=$V$24)*('Match Log'!$A$4:$A$1510&lt;=$J333)),'Match Log'!$N$4:$N$1510),NA()))</f>
        <v>#N/A</v>
      </c>
      <c r="W333" t="e">
        <f>IF($J333&gt;MAX('Match Log'!$A$4:$A$1510),NA(),IFERROR(LOOKUP(2,1/(('Match Log'!$D$4:$D$1510=$W$24)*('Match Log'!$A$4:$A$1510&lt;=$J333)),'Match Log'!$N$4:$N$1510),NA()))</f>
        <v>#N/A</v>
      </c>
      <c r="X333" t="e">
        <f>IF($J333&gt;MAX('Match Log'!$A$4:$A$1510),NA(),IFERROR(LOOKUP(2,1/(('Match Log'!$D$4:$D$1510=$X$24)*('Match Log'!$A$4:$A$1510&lt;=$J333)),'Match Log'!$N$4:$N$1510),NA()))</f>
        <v>#N/A</v>
      </c>
      <c r="Y333" t="str">
        <f t="shared" ca="1" si="31"/>
        <v/>
      </c>
    </row>
    <row r="334" spans="1:25" x14ac:dyDescent="0.2">
      <c r="A334">
        <v>310</v>
      </c>
      <c r="B334" t="str">
        <f>IFERROR(INDEX('Match Log'!$B$4:$B$1510,MATCH($A334,'Match Log'!$A$4:$A$1510,0)),"")</f>
        <v/>
      </c>
      <c r="C334" t="str">
        <f>IFERROR(INDEX('Match Log'!$C$4:$C$1510,MATCH($A334,'Match Log'!$A$4:$A$1510,0)),"")</f>
        <v/>
      </c>
      <c r="D334" t="str">
        <f t="array" ref="D334">IFERROR(_xlfn.TEXTJOIN(" + ",TRUE(),IF(('Match Log'!$A$4:$A$1510=$A334)*('Match Log'!$E$4:$E$1510="Win"),'Match Log'!$D$4:$D$1510,"")),IFERROR(LOOKUP(2,1/(('Match Log'!$A$4:$A$1510=$A334)*('Match Log'!$E$4:$E$1510="Win")),'Match Log'!$D$4:$D$1510),""))</f>
        <v/>
      </c>
      <c r="E334" t="str">
        <f>IFERROR(INDEX('Match Log'!$F$4:$F$1510,MATCH($A334,'Match Log'!$A$4:$A$1510,0)),"")</f>
        <v/>
      </c>
      <c r="F334">
        <f>IFERROR(SUMIFS('Match Log'!$I$4:$I$1510,'Match Log'!$A$4:$A$1510,$A334,'Match Log'!$E$4:$E$1510,"Win"),"")</f>
        <v>0</v>
      </c>
      <c r="G334" t="str">
        <f t="shared" si="29"/>
        <v/>
      </c>
      <c r="H334" t="str">
        <f t="array" ref="H334">IFERROR(IF(COUNTIFS('Match Log'!$A$4:$A$1510,$A334,'Match Log'!$E$4:$E$1510,"Win")&gt;1,_xlfn.TEXTJOIN(" + ",TRUE(),IF(('Match Log'!$A$4:$A$1510=$A334)*('Match Log'!$E$4:$E$1510="Loss"),'Match Log'!$D$4:$D$1510,"")),IF($E334=2,LOOKUP(2,1/(('Match Log'!$A$4:$A$1510=$A334)*('Match Log'!$E$4:$E$1510="Loss")),'Match Log'!$D$4:$D$1510),"the field")),"")</f>
        <v>the field</v>
      </c>
      <c r="I334" t="str">
        <f t="shared" si="30"/>
        <v/>
      </c>
      <c r="J334">
        <v>310</v>
      </c>
      <c r="K334" t="e">
        <f>IF($J334&gt;MAX('Match Log'!$A$4:$A$1510),NA(),IFERROR(LOOKUP(2,1/(('Match Log'!$D$4:$D$1510=$K$24)*('Match Log'!$A$4:$A$1510&lt;=$J334)),'Match Log'!$N$4:$N$1510),NA()))</f>
        <v>#N/A</v>
      </c>
      <c r="L334" t="e">
        <f>IF($J334&gt;MAX('Match Log'!$A$4:$A$1510),NA(),IFERROR(LOOKUP(2,1/(('Match Log'!$D$4:$D$1510=$L$24)*('Match Log'!$A$4:$A$1510&lt;=$J334)),'Match Log'!$N$4:$N$1510),NA()))</f>
        <v>#N/A</v>
      </c>
      <c r="M334" t="e">
        <f>IF($J334&gt;MAX('Match Log'!$A$4:$A$1510),NA(),IFERROR(LOOKUP(2,1/(('Match Log'!$D$4:$D$1510=$M$24)*('Match Log'!$A$4:$A$1510&lt;=$J334)),'Match Log'!$N$4:$N$1510),NA()))</f>
        <v>#N/A</v>
      </c>
      <c r="N334" t="e">
        <f>IF($J334&gt;MAX('Match Log'!$A$4:$A$1510),NA(),IFERROR(LOOKUP(2,1/(('Match Log'!$D$4:$D$1510=$N$24)*('Match Log'!$A$4:$A$1510&lt;=$J334)),'Match Log'!$N$4:$N$1510),NA()))</f>
        <v>#N/A</v>
      </c>
      <c r="O334" t="e">
        <f>IF($J334&gt;MAX('Match Log'!$A$4:$A$1510),NA(),IFERROR(LOOKUP(2,1/(('Match Log'!$D$4:$D$1510=$O$24)*('Match Log'!$A$4:$A$1510&lt;=$J334)),'Match Log'!$N$4:$N$1510),NA()))</f>
        <v>#N/A</v>
      </c>
      <c r="P334" t="e">
        <f>IF($J334&gt;MAX('Match Log'!$A$4:$A$1510),NA(),IFERROR(LOOKUP(2,1/(('Match Log'!$D$4:$D$1510=$P$24)*('Match Log'!$A$4:$A$1510&lt;=$J334)),'Match Log'!$N$4:$N$1510),NA()))</f>
        <v>#N/A</v>
      </c>
      <c r="Q334" t="e">
        <f>IF($J334&gt;MAX('Match Log'!$A$4:$A$1510),NA(),IFERROR(LOOKUP(2,1/(('Match Log'!$D$4:$D$1510=$Q$24)*('Match Log'!$A$4:$A$1510&lt;=$J334)),'Match Log'!$N$4:$N$1510),NA()))</f>
        <v>#N/A</v>
      </c>
      <c r="R334" t="e">
        <f>IF($J334&gt;MAX('Match Log'!$A$4:$A$1510),NA(),IFERROR(LOOKUP(2,1/(('Match Log'!$D$4:$D$1510=$R$24)*('Match Log'!$A$4:$A$1510&lt;=$J334)),'Match Log'!$N$4:$N$1510),NA()))</f>
        <v>#N/A</v>
      </c>
      <c r="S334" t="e">
        <f>IF($J334&gt;MAX('Match Log'!$A$4:$A$1510),NA(),IFERROR(LOOKUP(2,1/(('Match Log'!$D$4:$D$1510=$S$24)*('Match Log'!$A$4:$A$1510&lt;=$J334)),'Match Log'!$N$4:$N$1510),NA()))</f>
        <v>#N/A</v>
      </c>
      <c r="T334" t="e">
        <f>IF($J334&gt;MAX('Match Log'!$A$4:$A$1510),NA(),IFERROR(LOOKUP(2,1/(('Match Log'!$D$4:$D$1510=$T$24)*('Match Log'!$A$4:$A$1510&lt;=$J334)),'Match Log'!$N$4:$N$1510),NA()))</f>
        <v>#N/A</v>
      </c>
      <c r="U334" t="e">
        <f>IF($J334&gt;MAX('Match Log'!$A$4:$A$1510),NA(),IFERROR(LOOKUP(2,1/(('Match Log'!$D$4:$D$1510=$U$24)*('Match Log'!$A$4:$A$1510&lt;=$J334)),'Match Log'!$N$4:$N$1510),NA()))</f>
        <v>#N/A</v>
      </c>
      <c r="V334" t="e">
        <f>IF($J334&gt;MAX('Match Log'!$A$4:$A$1510),NA(),IFERROR(LOOKUP(2,1/(('Match Log'!$D$4:$D$1510=$V$24)*('Match Log'!$A$4:$A$1510&lt;=$J334)),'Match Log'!$N$4:$N$1510),NA()))</f>
        <v>#N/A</v>
      </c>
      <c r="W334" t="e">
        <f>IF($J334&gt;MAX('Match Log'!$A$4:$A$1510),NA(),IFERROR(LOOKUP(2,1/(('Match Log'!$D$4:$D$1510=$W$24)*('Match Log'!$A$4:$A$1510&lt;=$J334)),'Match Log'!$N$4:$N$1510),NA()))</f>
        <v>#N/A</v>
      </c>
      <c r="X334" t="e">
        <f>IF($J334&gt;MAX('Match Log'!$A$4:$A$1510),NA(),IFERROR(LOOKUP(2,1/(('Match Log'!$D$4:$D$1510=$X$24)*('Match Log'!$A$4:$A$1510&lt;=$J334)),'Match Log'!$N$4:$N$1510),NA()))</f>
        <v>#N/A</v>
      </c>
      <c r="Y334" t="str">
        <f t="shared" ca="1" si="31"/>
        <v/>
      </c>
    </row>
    <row r="335" spans="1:25" x14ac:dyDescent="0.2">
      <c r="A335">
        <v>311</v>
      </c>
      <c r="B335" t="str">
        <f>IFERROR(INDEX('Match Log'!$B$4:$B$1510,MATCH($A335,'Match Log'!$A$4:$A$1510,0)),"")</f>
        <v/>
      </c>
      <c r="C335" t="str">
        <f>IFERROR(INDEX('Match Log'!$C$4:$C$1510,MATCH($A335,'Match Log'!$A$4:$A$1510,0)),"")</f>
        <v/>
      </c>
      <c r="D335" t="str">
        <f t="array" ref="D335">IFERROR(_xlfn.TEXTJOIN(" + ",TRUE(),IF(('Match Log'!$A$4:$A$1510=$A335)*('Match Log'!$E$4:$E$1510="Win"),'Match Log'!$D$4:$D$1510,"")),IFERROR(LOOKUP(2,1/(('Match Log'!$A$4:$A$1510=$A335)*('Match Log'!$E$4:$E$1510="Win")),'Match Log'!$D$4:$D$1510),""))</f>
        <v/>
      </c>
      <c r="E335" t="str">
        <f>IFERROR(INDEX('Match Log'!$F$4:$F$1510,MATCH($A335,'Match Log'!$A$4:$A$1510,0)),"")</f>
        <v/>
      </c>
      <c r="F335">
        <f>IFERROR(SUMIFS('Match Log'!$I$4:$I$1510,'Match Log'!$A$4:$A$1510,$A335,'Match Log'!$E$4:$E$1510,"Win"),"")</f>
        <v>0</v>
      </c>
      <c r="G335" t="str">
        <f t="shared" si="29"/>
        <v/>
      </c>
      <c r="H335" t="str">
        <f t="array" ref="H335">IFERROR(IF(COUNTIFS('Match Log'!$A$4:$A$1510,$A335,'Match Log'!$E$4:$E$1510,"Win")&gt;1,_xlfn.TEXTJOIN(" + ",TRUE(),IF(('Match Log'!$A$4:$A$1510=$A335)*('Match Log'!$E$4:$E$1510="Loss"),'Match Log'!$D$4:$D$1510,"")),IF($E335=2,LOOKUP(2,1/(('Match Log'!$A$4:$A$1510=$A335)*('Match Log'!$E$4:$E$1510="Loss")),'Match Log'!$D$4:$D$1510),"the field")),"")</f>
        <v>the field</v>
      </c>
      <c r="I335" t="str">
        <f t="shared" si="30"/>
        <v/>
      </c>
      <c r="J335">
        <v>311</v>
      </c>
      <c r="K335" t="e">
        <f>IF($J335&gt;MAX('Match Log'!$A$4:$A$1510),NA(),IFERROR(LOOKUP(2,1/(('Match Log'!$D$4:$D$1510=$K$24)*('Match Log'!$A$4:$A$1510&lt;=$J335)),'Match Log'!$N$4:$N$1510),NA()))</f>
        <v>#N/A</v>
      </c>
      <c r="L335" t="e">
        <f>IF($J335&gt;MAX('Match Log'!$A$4:$A$1510),NA(),IFERROR(LOOKUP(2,1/(('Match Log'!$D$4:$D$1510=$L$24)*('Match Log'!$A$4:$A$1510&lt;=$J335)),'Match Log'!$N$4:$N$1510),NA()))</f>
        <v>#N/A</v>
      </c>
      <c r="M335" t="e">
        <f>IF($J335&gt;MAX('Match Log'!$A$4:$A$1510),NA(),IFERROR(LOOKUP(2,1/(('Match Log'!$D$4:$D$1510=$M$24)*('Match Log'!$A$4:$A$1510&lt;=$J335)),'Match Log'!$N$4:$N$1510),NA()))</f>
        <v>#N/A</v>
      </c>
      <c r="N335" t="e">
        <f>IF($J335&gt;MAX('Match Log'!$A$4:$A$1510),NA(),IFERROR(LOOKUP(2,1/(('Match Log'!$D$4:$D$1510=$N$24)*('Match Log'!$A$4:$A$1510&lt;=$J335)),'Match Log'!$N$4:$N$1510),NA()))</f>
        <v>#N/A</v>
      </c>
      <c r="O335" t="e">
        <f>IF($J335&gt;MAX('Match Log'!$A$4:$A$1510),NA(),IFERROR(LOOKUP(2,1/(('Match Log'!$D$4:$D$1510=$O$24)*('Match Log'!$A$4:$A$1510&lt;=$J335)),'Match Log'!$N$4:$N$1510),NA()))</f>
        <v>#N/A</v>
      </c>
      <c r="P335" t="e">
        <f>IF($J335&gt;MAX('Match Log'!$A$4:$A$1510),NA(),IFERROR(LOOKUP(2,1/(('Match Log'!$D$4:$D$1510=$P$24)*('Match Log'!$A$4:$A$1510&lt;=$J335)),'Match Log'!$N$4:$N$1510),NA()))</f>
        <v>#N/A</v>
      </c>
      <c r="Q335" t="e">
        <f>IF($J335&gt;MAX('Match Log'!$A$4:$A$1510),NA(),IFERROR(LOOKUP(2,1/(('Match Log'!$D$4:$D$1510=$Q$24)*('Match Log'!$A$4:$A$1510&lt;=$J335)),'Match Log'!$N$4:$N$1510),NA()))</f>
        <v>#N/A</v>
      </c>
      <c r="R335" t="e">
        <f>IF($J335&gt;MAX('Match Log'!$A$4:$A$1510),NA(),IFERROR(LOOKUP(2,1/(('Match Log'!$D$4:$D$1510=$R$24)*('Match Log'!$A$4:$A$1510&lt;=$J335)),'Match Log'!$N$4:$N$1510),NA()))</f>
        <v>#N/A</v>
      </c>
      <c r="S335" t="e">
        <f>IF($J335&gt;MAX('Match Log'!$A$4:$A$1510),NA(),IFERROR(LOOKUP(2,1/(('Match Log'!$D$4:$D$1510=$S$24)*('Match Log'!$A$4:$A$1510&lt;=$J335)),'Match Log'!$N$4:$N$1510),NA()))</f>
        <v>#N/A</v>
      </c>
      <c r="T335" t="e">
        <f>IF($J335&gt;MAX('Match Log'!$A$4:$A$1510),NA(),IFERROR(LOOKUP(2,1/(('Match Log'!$D$4:$D$1510=$T$24)*('Match Log'!$A$4:$A$1510&lt;=$J335)),'Match Log'!$N$4:$N$1510),NA()))</f>
        <v>#N/A</v>
      </c>
      <c r="U335" t="e">
        <f>IF($J335&gt;MAX('Match Log'!$A$4:$A$1510),NA(),IFERROR(LOOKUP(2,1/(('Match Log'!$D$4:$D$1510=$U$24)*('Match Log'!$A$4:$A$1510&lt;=$J335)),'Match Log'!$N$4:$N$1510),NA()))</f>
        <v>#N/A</v>
      </c>
      <c r="V335" t="e">
        <f>IF($J335&gt;MAX('Match Log'!$A$4:$A$1510),NA(),IFERROR(LOOKUP(2,1/(('Match Log'!$D$4:$D$1510=$V$24)*('Match Log'!$A$4:$A$1510&lt;=$J335)),'Match Log'!$N$4:$N$1510),NA()))</f>
        <v>#N/A</v>
      </c>
      <c r="W335" t="e">
        <f>IF($J335&gt;MAX('Match Log'!$A$4:$A$1510),NA(),IFERROR(LOOKUP(2,1/(('Match Log'!$D$4:$D$1510=$W$24)*('Match Log'!$A$4:$A$1510&lt;=$J335)),'Match Log'!$N$4:$N$1510),NA()))</f>
        <v>#N/A</v>
      </c>
      <c r="X335" t="e">
        <f>IF($J335&gt;MAX('Match Log'!$A$4:$A$1510),NA(),IFERROR(LOOKUP(2,1/(('Match Log'!$D$4:$D$1510=$X$24)*('Match Log'!$A$4:$A$1510&lt;=$J335)),'Match Log'!$N$4:$N$1510),NA()))</f>
        <v>#N/A</v>
      </c>
      <c r="Y335" t="str">
        <f t="shared" ca="1" si="31"/>
        <v/>
      </c>
    </row>
    <row r="336" spans="1:25" x14ac:dyDescent="0.2">
      <c r="A336">
        <v>312</v>
      </c>
      <c r="B336" t="str">
        <f>IFERROR(INDEX('Match Log'!$B$4:$B$1510,MATCH($A336,'Match Log'!$A$4:$A$1510,0)),"")</f>
        <v/>
      </c>
      <c r="C336" t="str">
        <f>IFERROR(INDEX('Match Log'!$C$4:$C$1510,MATCH($A336,'Match Log'!$A$4:$A$1510,0)),"")</f>
        <v/>
      </c>
      <c r="D336" t="str">
        <f t="array" ref="D336">IFERROR(_xlfn.TEXTJOIN(" + ",TRUE(),IF(('Match Log'!$A$4:$A$1510=$A336)*('Match Log'!$E$4:$E$1510="Win"),'Match Log'!$D$4:$D$1510,"")),IFERROR(LOOKUP(2,1/(('Match Log'!$A$4:$A$1510=$A336)*('Match Log'!$E$4:$E$1510="Win")),'Match Log'!$D$4:$D$1510),""))</f>
        <v/>
      </c>
      <c r="E336" t="str">
        <f>IFERROR(INDEX('Match Log'!$F$4:$F$1510,MATCH($A336,'Match Log'!$A$4:$A$1510,0)),"")</f>
        <v/>
      </c>
      <c r="F336">
        <f>IFERROR(SUMIFS('Match Log'!$I$4:$I$1510,'Match Log'!$A$4:$A$1510,$A336,'Match Log'!$E$4:$E$1510,"Win"),"")</f>
        <v>0</v>
      </c>
      <c r="G336" t="str">
        <f t="shared" si="29"/>
        <v/>
      </c>
      <c r="H336" t="str">
        <f t="array" ref="H336">IFERROR(IF(COUNTIFS('Match Log'!$A$4:$A$1510,$A336,'Match Log'!$E$4:$E$1510,"Win")&gt;1,_xlfn.TEXTJOIN(" + ",TRUE(),IF(('Match Log'!$A$4:$A$1510=$A336)*('Match Log'!$E$4:$E$1510="Loss"),'Match Log'!$D$4:$D$1510,"")),IF($E336=2,LOOKUP(2,1/(('Match Log'!$A$4:$A$1510=$A336)*('Match Log'!$E$4:$E$1510="Loss")),'Match Log'!$D$4:$D$1510),"the field")),"")</f>
        <v>the field</v>
      </c>
      <c r="I336" t="str">
        <f t="shared" si="30"/>
        <v/>
      </c>
      <c r="J336">
        <v>312</v>
      </c>
      <c r="K336" t="e">
        <f>IF($J336&gt;MAX('Match Log'!$A$4:$A$1510),NA(),IFERROR(LOOKUP(2,1/(('Match Log'!$D$4:$D$1510=$K$24)*('Match Log'!$A$4:$A$1510&lt;=$J336)),'Match Log'!$N$4:$N$1510),NA()))</f>
        <v>#N/A</v>
      </c>
      <c r="L336" t="e">
        <f>IF($J336&gt;MAX('Match Log'!$A$4:$A$1510),NA(),IFERROR(LOOKUP(2,1/(('Match Log'!$D$4:$D$1510=$L$24)*('Match Log'!$A$4:$A$1510&lt;=$J336)),'Match Log'!$N$4:$N$1510),NA()))</f>
        <v>#N/A</v>
      </c>
      <c r="M336" t="e">
        <f>IF($J336&gt;MAX('Match Log'!$A$4:$A$1510),NA(),IFERROR(LOOKUP(2,1/(('Match Log'!$D$4:$D$1510=$M$24)*('Match Log'!$A$4:$A$1510&lt;=$J336)),'Match Log'!$N$4:$N$1510),NA()))</f>
        <v>#N/A</v>
      </c>
      <c r="N336" t="e">
        <f>IF($J336&gt;MAX('Match Log'!$A$4:$A$1510),NA(),IFERROR(LOOKUP(2,1/(('Match Log'!$D$4:$D$1510=$N$24)*('Match Log'!$A$4:$A$1510&lt;=$J336)),'Match Log'!$N$4:$N$1510),NA()))</f>
        <v>#N/A</v>
      </c>
      <c r="O336" t="e">
        <f>IF($J336&gt;MAX('Match Log'!$A$4:$A$1510),NA(),IFERROR(LOOKUP(2,1/(('Match Log'!$D$4:$D$1510=$O$24)*('Match Log'!$A$4:$A$1510&lt;=$J336)),'Match Log'!$N$4:$N$1510),NA()))</f>
        <v>#N/A</v>
      </c>
      <c r="P336" t="e">
        <f>IF($J336&gt;MAX('Match Log'!$A$4:$A$1510),NA(),IFERROR(LOOKUP(2,1/(('Match Log'!$D$4:$D$1510=$P$24)*('Match Log'!$A$4:$A$1510&lt;=$J336)),'Match Log'!$N$4:$N$1510),NA()))</f>
        <v>#N/A</v>
      </c>
      <c r="Q336" t="e">
        <f>IF($J336&gt;MAX('Match Log'!$A$4:$A$1510),NA(),IFERROR(LOOKUP(2,1/(('Match Log'!$D$4:$D$1510=$Q$24)*('Match Log'!$A$4:$A$1510&lt;=$J336)),'Match Log'!$N$4:$N$1510),NA()))</f>
        <v>#N/A</v>
      </c>
      <c r="R336" t="e">
        <f>IF($J336&gt;MAX('Match Log'!$A$4:$A$1510),NA(),IFERROR(LOOKUP(2,1/(('Match Log'!$D$4:$D$1510=$R$24)*('Match Log'!$A$4:$A$1510&lt;=$J336)),'Match Log'!$N$4:$N$1510),NA()))</f>
        <v>#N/A</v>
      </c>
      <c r="S336" t="e">
        <f>IF($J336&gt;MAX('Match Log'!$A$4:$A$1510),NA(),IFERROR(LOOKUP(2,1/(('Match Log'!$D$4:$D$1510=$S$24)*('Match Log'!$A$4:$A$1510&lt;=$J336)),'Match Log'!$N$4:$N$1510),NA()))</f>
        <v>#N/A</v>
      </c>
      <c r="T336" t="e">
        <f>IF($J336&gt;MAX('Match Log'!$A$4:$A$1510),NA(),IFERROR(LOOKUP(2,1/(('Match Log'!$D$4:$D$1510=$T$24)*('Match Log'!$A$4:$A$1510&lt;=$J336)),'Match Log'!$N$4:$N$1510),NA()))</f>
        <v>#N/A</v>
      </c>
      <c r="U336" t="e">
        <f>IF($J336&gt;MAX('Match Log'!$A$4:$A$1510),NA(),IFERROR(LOOKUP(2,1/(('Match Log'!$D$4:$D$1510=$U$24)*('Match Log'!$A$4:$A$1510&lt;=$J336)),'Match Log'!$N$4:$N$1510),NA()))</f>
        <v>#N/A</v>
      </c>
      <c r="V336" t="e">
        <f>IF($J336&gt;MAX('Match Log'!$A$4:$A$1510),NA(),IFERROR(LOOKUP(2,1/(('Match Log'!$D$4:$D$1510=$V$24)*('Match Log'!$A$4:$A$1510&lt;=$J336)),'Match Log'!$N$4:$N$1510),NA()))</f>
        <v>#N/A</v>
      </c>
      <c r="W336" t="e">
        <f>IF($J336&gt;MAX('Match Log'!$A$4:$A$1510),NA(),IFERROR(LOOKUP(2,1/(('Match Log'!$D$4:$D$1510=$W$24)*('Match Log'!$A$4:$A$1510&lt;=$J336)),'Match Log'!$N$4:$N$1510),NA()))</f>
        <v>#N/A</v>
      </c>
      <c r="X336" t="e">
        <f>IF($J336&gt;MAX('Match Log'!$A$4:$A$1510),NA(),IFERROR(LOOKUP(2,1/(('Match Log'!$D$4:$D$1510=$X$24)*('Match Log'!$A$4:$A$1510&lt;=$J336)),'Match Log'!$N$4:$N$1510),NA()))</f>
        <v>#N/A</v>
      </c>
      <c r="Y336" t="str">
        <f t="shared" ca="1" si="31"/>
        <v/>
      </c>
    </row>
    <row r="337" spans="1:25" x14ac:dyDescent="0.2">
      <c r="A337">
        <v>313</v>
      </c>
      <c r="B337" t="str">
        <f>IFERROR(INDEX('Match Log'!$B$4:$B$1510,MATCH($A337,'Match Log'!$A$4:$A$1510,0)),"")</f>
        <v/>
      </c>
      <c r="C337" t="str">
        <f>IFERROR(INDEX('Match Log'!$C$4:$C$1510,MATCH($A337,'Match Log'!$A$4:$A$1510,0)),"")</f>
        <v/>
      </c>
      <c r="D337" t="str">
        <f t="array" ref="D337">IFERROR(_xlfn.TEXTJOIN(" + ",TRUE(),IF(('Match Log'!$A$4:$A$1510=$A337)*('Match Log'!$E$4:$E$1510="Win"),'Match Log'!$D$4:$D$1510,"")),IFERROR(LOOKUP(2,1/(('Match Log'!$A$4:$A$1510=$A337)*('Match Log'!$E$4:$E$1510="Win")),'Match Log'!$D$4:$D$1510),""))</f>
        <v/>
      </c>
      <c r="E337" t="str">
        <f>IFERROR(INDEX('Match Log'!$F$4:$F$1510,MATCH($A337,'Match Log'!$A$4:$A$1510,0)),"")</f>
        <v/>
      </c>
      <c r="F337">
        <f>IFERROR(SUMIFS('Match Log'!$I$4:$I$1510,'Match Log'!$A$4:$A$1510,$A337,'Match Log'!$E$4:$E$1510,"Win"),"")</f>
        <v>0</v>
      </c>
      <c r="G337" t="str">
        <f t="shared" si="29"/>
        <v/>
      </c>
      <c r="H337" t="str">
        <f t="array" ref="H337">IFERROR(IF(COUNTIFS('Match Log'!$A$4:$A$1510,$A337,'Match Log'!$E$4:$E$1510,"Win")&gt;1,_xlfn.TEXTJOIN(" + ",TRUE(),IF(('Match Log'!$A$4:$A$1510=$A337)*('Match Log'!$E$4:$E$1510="Loss"),'Match Log'!$D$4:$D$1510,"")),IF($E337=2,LOOKUP(2,1/(('Match Log'!$A$4:$A$1510=$A337)*('Match Log'!$E$4:$E$1510="Loss")),'Match Log'!$D$4:$D$1510),"the field")),"")</f>
        <v>the field</v>
      </c>
      <c r="I337" t="str">
        <f t="shared" si="30"/>
        <v/>
      </c>
      <c r="J337">
        <v>313</v>
      </c>
      <c r="K337" t="e">
        <f>IF($J337&gt;MAX('Match Log'!$A$4:$A$1510),NA(),IFERROR(LOOKUP(2,1/(('Match Log'!$D$4:$D$1510=$K$24)*('Match Log'!$A$4:$A$1510&lt;=$J337)),'Match Log'!$N$4:$N$1510),NA()))</f>
        <v>#N/A</v>
      </c>
      <c r="L337" t="e">
        <f>IF($J337&gt;MAX('Match Log'!$A$4:$A$1510),NA(),IFERROR(LOOKUP(2,1/(('Match Log'!$D$4:$D$1510=$L$24)*('Match Log'!$A$4:$A$1510&lt;=$J337)),'Match Log'!$N$4:$N$1510),NA()))</f>
        <v>#N/A</v>
      </c>
      <c r="M337" t="e">
        <f>IF($J337&gt;MAX('Match Log'!$A$4:$A$1510),NA(),IFERROR(LOOKUP(2,1/(('Match Log'!$D$4:$D$1510=$M$24)*('Match Log'!$A$4:$A$1510&lt;=$J337)),'Match Log'!$N$4:$N$1510),NA()))</f>
        <v>#N/A</v>
      </c>
      <c r="N337" t="e">
        <f>IF($J337&gt;MAX('Match Log'!$A$4:$A$1510),NA(),IFERROR(LOOKUP(2,1/(('Match Log'!$D$4:$D$1510=$N$24)*('Match Log'!$A$4:$A$1510&lt;=$J337)),'Match Log'!$N$4:$N$1510),NA()))</f>
        <v>#N/A</v>
      </c>
      <c r="O337" t="e">
        <f>IF($J337&gt;MAX('Match Log'!$A$4:$A$1510),NA(),IFERROR(LOOKUP(2,1/(('Match Log'!$D$4:$D$1510=$O$24)*('Match Log'!$A$4:$A$1510&lt;=$J337)),'Match Log'!$N$4:$N$1510),NA()))</f>
        <v>#N/A</v>
      </c>
      <c r="P337" t="e">
        <f>IF($J337&gt;MAX('Match Log'!$A$4:$A$1510),NA(),IFERROR(LOOKUP(2,1/(('Match Log'!$D$4:$D$1510=$P$24)*('Match Log'!$A$4:$A$1510&lt;=$J337)),'Match Log'!$N$4:$N$1510),NA()))</f>
        <v>#N/A</v>
      </c>
      <c r="Q337" t="e">
        <f>IF($J337&gt;MAX('Match Log'!$A$4:$A$1510),NA(),IFERROR(LOOKUP(2,1/(('Match Log'!$D$4:$D$1510=$Q$24)*('Match Log'!$A$4:$A$1510&lt;=$J337)),'Match Log'!$N$4:$N$1510),NA()))</f>
        <v>#N/A</v>
      </c>
      <c r="R337" t="e">
        <f>IF($J337&gt;MAX('Match Log'!$A$4:$A$1510),NA(),IFERROR(LOOKUP(2,1/(('Match Log'!$D$4:$D$1510=$R$24)*('Match Log'!$A$4:$A$1510&lt;=$J337)),'Match Log'!$N$4:$N$1510),NA()))</f>
        <v>#N/A</v>
      </c>
      <c r="S337" t="e">
        <f>IF($J337&gt;MAX('Match Log'!$A$4:$A$1510),NA(),IFERROR(LOOKUP(2,1/(('Match Log'!$D$4:$D$1510=$S$24)*('Match Log'!$A$4:$A$1510&lt;=$J337)),'Match Log'!$N$4:$N$1510),NA()))</f>
        <v>#N/A</v>
      </c>
      <c r="T337" t="e">
        <f>IF($J337&gt;MAX('Match Log'!$A$4:$A$1510),NA(),IFERROR(LOOKUP(2,1/(('Match Log'!$D$4:$D$1510=$T$24)*('Match Log'!$A$4:$A$1510&lt;=$J337)),'Match Log'!$N$4:$N$1510),NA()))</f>
        <v>#N/A</v>
      </c>
      <c r="U337" t="e">
        <f>IF($J337&gt;MAX('Match Log'!$A$4:$A$1510),NA(),IFERROR(LOOKUP(2,1/(('Match Log'!$D$4:$D$1510=$U$24)*('Match Log'!$A$4:$A$1510&lt;=$J337)),'Match Log'!$N$4:$N$1510),NA()))</f>
        <v>#N/A</v>
      </c>
      <c r="V337" t="e">
        <f>IF($J337&gt;MAX('Match Log'!$A$4:$A$1510),NA(),IFERROR(LOOKUP(2,1/(('Match Log'!$D$4:$D$1510=$V$24)*('Match Log'!$A$4:$A$1510&lt;=$J337)),'Match Log'!$N$4:$N$1510),NA()))</f>
        <v>#N/A</v>
      </c>
      <c r="W337" t="e">
        <f>IF($J337&gt;MAX('Match Log'!$A$4:$A$1510),NA(),IFERROR(LOOKUP(2,1/(('Match Log'!$D$4:$D$1510=$W$24)*('Match Log'!$A$4:$A$1510&lt;=$J337)),'Match Log'!$N$4:$N$1510),NA()))</f>
        <v>#N/A</v>
      </c>
      <c r="X337" t="e">
        <f>IF($J337&gt;MAX('Match Log'!$A$4:$A$1510),NA(),IFERROR(LOOKUP(2,1/(('Match Log'!$D$4:$D$1510=$X$24)*('Match Log'!$A$4:$A$1510&lt;=$J337)),'Match Log'!$N$4:$N$1510),NA()))</f>
        <v>#N/A</v>
      </c>
      <c r="Y337" t="str">
        <f t="shared" ca="1" si="31"/>
        <v/>
      </c>
    </row>
    <row r="338" spans="1:25" x14ac:dyDescent="0.2">
      <c r="A338">
        <v>314</v>
      </c>
      <c r="B338" t="str">
        <f>IFERROR(INDEX('Match Log'!$B$4:$B$1510,MATCH($A338,'Match Log'!$A$4:$A$1510,0)),"")</f>
        <v/>
      </c>
      <c r="C338" t="str">
        <f>IFERROR(INDEX('Match Log'!$C$4:$C$1510,MATCH($A338,'Match Log'!$A$4:$A$1510,0)),"")</f>
        <v/>
      </c>
      <c r="D338" t="str">
        <f t="array" ref="D338">IFERROR(_xlfn.TEXTJOIN(" + ",TRUE(),IF(('Match Log'!$A$4:$A$1510=$A338)*('Match Log'!$E$4:$E$1510="Win"),'Match Log'!$D$4:$D$1510,"")),IFERROR(LOOKUP(2,1/(('Match Log'!$A$4:$A$1510=$A338)*('Match Log'!$E$4:$E$1510="Win")),'Match Log'!$D$4:$D$1510),""))</f>
        <v/>
      </c>
      <c r="E338" t="str">
        <f>IFERROR(INDEX('Match Log'!$F$4:$F$1510,MATCH($A338,'Match Log'!$A$4:$A$1510,0)),"")</f>
        <v/>
      </c>
      <c r="F338">
        <f>IFERROR(SUMIFS('Match Log'!$I$4:$I$1510,'Match Log'!$A$4:$A$1510,$A338,'Match Log'!$E$4:$E$1510,"Win"),"")</f>
        <v>0</v>
      </c>
      <c r="G338" t="str">
        <f t="shared" si="29"/>
        <v/>
      </c>
      <c r="H338" t="str">
        <f t="array" ref="H338">IFERROR(IF(COUNTIFS('Match Log'!$A$4:$A$1510,$A338,'Match Log'!$E$4:$E$1510,"Win")&gt;1,_xlfn.TEXTJOIN(" + ",TRUE(),IF(('Match Log'!$A$4:$A$1510=$A338)*('Match Log'!$E$4:$E$1510="Loss"),'Match Log'!$D$4:$D$1510,"")),IF($E338=2,LOOKUP(2,1/(('Match Log'!$A$4:$A$1510=$A338)*('Match Log'!$E$4:$E$1510="Loss")),'Match Log'!$D$4:$D$1510),"the field")),"")</f>
        <v>the field</v>
      </c>
      <c r="I338" t="str">
        <f t="shared" si="30"/>
        <v/>
      </c>
      <c r="J338">
        <v>314</v>
      </c>
      <c r="K338" t="e">
        <f>IF($J338&gt;MAX('Match Log'!$A$4:$A$1510),NA(),IFERROR(LOOKUP(2,1/(('Match Log'!$D$4:$D$1510=$K$24)*('Match Log'!$A$4:$A$1510&lt;=$J338)),'Match Log'!$N$4:$N$1510),NA()))</f>
        <v>#N/A</v>
      </c>
      <c r="L338" t="e">
        <f>IF($J338&gt;MAX('Match Log'!$A$4:$A$1510),NA(),IFERROR(LOOKUP(2,1/(('Match Log'!$D$4:$D$1510=$L$24)*('Match Log'!$A$4:$A$1510&lt;=$J338)),'Match Log'!$N$4:$N$1510),NA()))</f>
        <v>#N/A</v>
      </c>
      <c r="M338" t="e">
        <f>IF($J338&gt;MAX('Match Log'!$A$4:$A$1510),NA(),IFERROR(LOOKUP(2,1/(('Match Log'!$D$4:$D$1510=$M$24)*('Match Log'!$A$4:$A$1510&lt;=$J338)),'Match Log'!$N$4:$N$1510),NA()))</f>
        <v>#N/A</v>
      </c>
      <c r="N338" t="e">
        <f>IF($J338&gt;MAX('Match Log'!$A$4:$A$1510),NA(),IFERROR(LOOKUP(2,1/(('Match Log'!$D$4:$D$1510=$N$24)*('Match Log'!$A$4:$A$1510&lt;=$J338)),'Match Log'!$N$4:$N$1510),NA()))</f>
        <v>#N/A</v>
      </c>
      <c r="O338" t="e">
        <f>IF($J338&gt;MAX('Match Log'!$A$4:$A$1510),NA(),IFERROR(LOOKUP(2,1/(('Match Log'!$D$4:$D$1510=$O$24)*('Match Log'!$A$4:$A$1510&lt;=$J338)),'Match Log'!$N$4:$N$1510),NA()))</f>
        <v>#N/A</v>
      </c>
      <c r="P338" t="e">
        <f>IF($J338&gt;MAX('Match Log'!$A$4:$A$1510),NA(),IFERROR(LOOKUP(2,1/(('Match Log'!$D$4:$D$1510=$P$24)*('Match Log'!$A$4:$A$1510&lt;=$J338)),'Match Log'!$N$4:$N$1510),NA()))</f>
        <v>#N/A</v>
      </c>
      <c r="Q338" t="e">
        <f>IF($J338&gt;MAX('Match Log'!$A$4:$A$1510),NA(),IFERROR(LOOKUP(2,1/(('Match Log'!$D$4:$D$1510=$Q$24)*('Match Log'!$A$4:$A$1510&lt;=$J338)),'Match Log'!$N$4:$N$1510),NA()))</f>
        <v>#N/A</v>
      </c>
      <c r="R338" t="e">
        <f>IF($J338&gt;MAX('Match Log'!$A$4:$A$1510),NA(),IFERROR(LOOKUP(2,1/(('Match Log'!$D$4:$D$1510=$R$24)*('Match Log'!$A$4:$A$1510&lt;=$J338)),'Match Log'!$N$4:$N$1510),NA()))</f>
        <v>#N/A</v>
      </c>
      <c r="S338" t="e">
        <f>IF($J338&gt;MAX('Match Log'!$A$4:$A$1510),NA(),IFERROR(LOOKUP(2,1/(('Match Log'!$D$4:$D$1510=$S$24)*('Match Log'!$A$4:$A$1510&lt;=$J338)),'Match Log'!$N$4:$N$1510),NA()))</f>
        <v>#N/A</v>
      </c>
      <c r="T338" t="e">
        <f>IF($J338&gt;MAX('Match Log'!$A$4:$A$1510),NA(),IFERROR(LOOKUP(2,1/(('Match Log'!$D$4:$D$1510=$T$24)*('Match Log'!$A$4:$A$1510&lt;=$J338)),'Match Log'!$N$4:$N$1510),NA()))</f>
        <v>#N/A</v>
      </c>
      <c r="U338" t="e">
        <f>IF($J338&gt;MAX('Match Log'!$A$4:$A$1510),NA(),IFERROR(LOOKUP(2,1/(('Match Log'!$D$4:$D$1510=$U$24)*('Match Log'!$A$4:$A$1510&lt;=$J338)),'Match Log'!$N$4:$N$1510),NA()))</f>
        <v>#N/A</v>
      </c>
      <c r="V338" t="e">
        <f>IF($J338&gt;MAX('Match Log'!$A$4:$A$1510),NA(),IFERROR(LOOKUP(2,1/(('Match Log'!$D$4:$D$1510=$V$24)*('Match Log'!$A$4:$A$1510&lt;=$J338)),'Match Log'!$N$4:$N$1510),NA()))</f>
        <v>#N/A</v>
      </c>
      <c r="W338" t="e">
        <f>IF($J338&gt;MAX('Match Log'!$A$4:$A$1510),NA(),IFERROR(LOOKUP(2,1/(('Match Log'!$D$4:$D$1510=$W$24)*('Match Log'!$A$4:$A$1510&lt;=$J338)),'Match Log'!$N$4:$N$1510),NA()))</f>
        <v>#N/A</v>
      </c>
      <c r="X338" t="e">
        <f>IF($J338&gt;MAX('Match Log'!$A$4:$A$1510),NA(),IFERROR(LOOKUP(2,1/(('Match Log'!$D$4:$D$1510=$X$24)*('Match Log'!$A$4:$A$1510&lt;=$J338)),'Match Log'!$N$4:$N$1510),NA()))</f>
        <v>#N/A</v>
      </c>
      <c r="Y338" t="str">
        <f t="shared" ca="1" si="31"/>
        <v/>
      </c>
    </row>
    <row r="339" spans="1:25" x14ac:dyDescent="0.2">
      <c r="A339">
        <v>315</v>
      </c>
      <c r="B339" t="str">
        <f>IFERROR(INDEX('Match Log'!$B$4:$B$1510,MATCH($A339,'Match Log'!$A$4:$A$1510,0)),"")</f>
        <v/>
      </c>
      <c r="C339" t="str">
        <f>IFERROR(INDEX('Match Log'!$C$4:$C$1510,MATCH($A339,'Match Log'!$A$4:$A$1510,0)),"")</f>
        <v/>
      </c>
      <c r="D339" t="str">
        <f t="array" ref="D339">IFERROR(_xlfn.TEXTJOIN(" + ",TRUE(),IF(('Match Log'!$A$4:$A$1510=$A339)*('Match Log'!$E$4:$E$1510="Win"),'Match Log'!$D$4:$D$1510,"")),IFERROR(LOOKUP(2,1/(('Match Log'!$A$4:$A$1510=$A339)*('Match Log'!$E$4:$E$1510="Win")),'Match Log'!$D$4:$D$1510),""))</f>
        <v/>
      </c>
      <c r="E339" t="str">
        <f>IFERROR(INDEX('Match Log'!$F$4:$F$1510,MATCH($A339,'Match Log'!$A$4:$A$1510,0)),"")</f>
        <v/>
      </c>
      <c r="F339">
        <f>IFERROR(SUMIFS('Match Log'!$I$4:$I$1510,'Match Log'!$A$4:$A$1510,$A339,'Match Log'!$E$4:$E$1510,"Win"),"")</f>
        <v>0</v>
      </c>
      <c r="G339" t="str">
        <f t="shared" si="29"/>
        <v/>
      </c>
      <c r="H339" t="str">
        <f t="array" ref="H339">IFERROR(IF(COUNTIFS('Match Log'!$A$4:$A$1510,$A339,'Match Log'!$E$4:$E$1510,"Win")&gt;1,_xlfn.TEXTJOIN(" + ",TRUE(),IF(('Match Log'!$A$4:$A$1510=$A339)*('Match Log'!$E$4:$E$1510="Loss"),'Match Log'!$D$4:$D$1510,"")),IF($E339=2,LOOKUP(2,1/(('Match Log'!$A$4:$A$1510=$A339)*('Match Log'!$E$4:$E$1510="Loss")),'Match Log'!$D$4:$D$1510),"the field")),"")</f>
        <v>the field</v>
      </c>
      <c r="I339" t="str">
        <f t="shared" si="30"/>
        <v/>
      </c>
      <c r="J339">
        <v>315</v>
      </c>
      <c r="K339" t="e">
        <f>IF($J339&gt;MAX('Match Log'!$A$4:$A$1510),NA(),IFERROR(LOOKUP(2,1/(('Match Log'!$D$4:$D$1510=$K$24)*('Match Log'!$A$4:$A$1510&lt;=$J339)),'Match Log'!$N$4:$N$1510),NA()))</f>
        <v>#N/A</v>
      </c>
      <c r="L339" t="e">
        <f>IF($J339&gt;MAX('Match Log'!$A$4:$A$1510),NA(),IFERROR(LOOKUP(2,1/(('Match Log'!$D$4:$D$1510=$L$24)*('Match Log'!$A$4:$A$1510&lt;=$J339)),'Match Log'!$N$4:$N$1510),NA()))</f>
        <v>#N/A</v>
      </c>
      <c r="M339" t="e">
        <f>IF($J339&gt;MAX('Match Log'!$A$4:$A$1510),NA(),IFERROR(LOOKUP(2,1/(('Match Log'!$D$4:$D$1510=$M$24)*('Match Log'!$A$4:$A$1510&lt;=$J339)),'Match Log'!$N$4:$N$1510),NA()))</f>
        <v>#N/A</v>
      </c>
      <c r="N339" t="e">
        <f>IF($J339&gt;MAX('Match Log'!$A$4:$A$1510),NA(),IFERROR(LOOKUP(2,1/(('Match Log'!$D$4:$D$1510=$N$24)*('Match Log'!$A$4:$A$1510&lt;=$J339)),'Match Log'!$N$4:$N$1510),NA()))</f>
        <v>#N/A</v>
      </c>
      <c r="O339" t="e">
        <f>IF($J339&gt;MAX('Match Log'!$A$4:$A$1510),NA(),IFERROR(LOOKUP(2,1/(('Match Log'!$D$4:$D$1510=$O$24)*('Match Log'!$A$4:$A$1510&lt;=$J339)),'Match Log'!$N$4:$N$1510),NA()))</f>
        <v>#N/A</v>
      </c>
      <c r="P339" t="e">
        <f>IF($J339&gt;MAX('Match Log'!$A$4:$A$1510),NA(),IFERROR(LOOKUP(2,1/(('Match Log'!$D$4:$D$1510=$P$24)*('Match Log'!$A$4:$A$1510&lt;=$J339)),'Match Log'!$N$4:$N$1510),NA()))</f>
        <v>#N/A</v>
      </c>
      <c r="Q339" t="e">
        <f>IF($J339&gt;MAX('Match Log'!$A$4:$A$1510),NA(),IFERROR(LOOKUP(2,1/(('Match Log'!$D$4:$D$1510=$Q$24)*('Match Log'!$A$4:$A$1510&lt;=$J339)),'Match Log'!$N$4:$N$1510),NA()))</f>
        <v>#N/A</v>
      </c>
      <c r="R339" t="e">
        <f>IF($J339&gt;MAX('Match Log'!$A$4:$A$1510),NA(),IFERROR(LOOKUP(2,1/(('Match Log'!$D$4:$D$1510=$R$24)*('Match Log'!$A$4:$A$1510&lt;=$J339)),'Match Log'!$N$4:$N$1510),NA()))</f>
        <v>#N/A</v>
      </c>
      <c r="S339" t="e">
        <f>IF($J339&gt;MAX('Match Log'!$A$4:$A$1510),NA(),IFERROR(LOOKUP(2,1/(('Match Log'!$D$4:$D$1510=$S$24)*('Match Log'!$A$4:$A$1510&lt;=$J339)),'Match Log'!$N$4:$N$1510),NA()))</f>
        <v>#N/A</v>
      </c>
      <c r="T339" t="e">
        <f>IF($J339&gt;MAX('Match Log'!$A$4:$A$1510),NA(),IFERROR(LOOKUP(2,1/(('Match Log'!$D$4:$D$1510=$T$24)*('Match Log'!$A$4:$A$1510&lt;=$J339)),'Match Log'!$N$4:$N$1510),NA()))</f>
        <v>#N/A</v>
      </c>
      <c r="U339" t="e">
        <f>IF($J339&gt;MAX('Match Log'!$A$4:$A$1510),NA(),IFERROR(LOOKUP(2,1/(('Match Log'!$D$4:$D$1510=$U$24)*('Match Log'!$A$4:$A$1510&lt;=$J339)),'Match Log'!$N$4:$N$1510),NA()))</f>
        <v>#N/A</v>
      </c>
      <c r="V339" t="e">
        <f>IF($J339&gt;MAX('Match Log'!$A$4:$A$1510),NA(),IFERROR(LOOKUP(2,1/(('Match Log'!$D$4:$D$1510=$V$24)*('Match Log'!$A$4:$A$1510&lt;=$J339)),'Match Log'!$N$4:$N$1510),NA()))</f>
        <v>#N/A</v>
      </c>
      <c r="W339" t="e">
        <f>IF($J339&gt;MAX('Match Log'!$A$4:$A$1510),NA(),IFERROR(LOOKUP(2,1/(('Match Log'!$D$4:$D$1510=$W$24)*('Match Log'!$A$4:$A$1510&lt;=$J339)),'Match Log'!$N$4:$N$1510),NA()))</f>
        <v>#N/A</v>
      </c>
      <c r="X339" t="e">
        <f>IF($J339&gt;MAX('Match Log'!$A$4:$A$1510),NA(),IFERROR(LOOKUP(2,1/(('Match Log'!$D$4:$D$1510=$X$24)*('Match Log'!$A$4:$A$1510&lt;=$J339)),'Match Log'!$N$4:$N$1510),NA()))</f>
        <v>#N/A</v>
      </c>
      <c r="Y339" t="str">
        <f t="shared" ca="1" si="31"/>
        <v/>
      </c>
    </row>
    <row r="340" spans="1:25" x14ac:dyDescent="0.2">
      <c r="A340">
        <v>316</v>
      </c>
      <c r="B340" t="str">
        <f>IFERROR(INDEX('Match Log'!$B$4:$B$1510,MATCH($A340,'Match Log'!$A$4:$A$1510,0)),"")</f>
        <v/>
      </c>
      <c r="C340" t="str">
        <f>IFERROR(INDEX('Match Log'!$C$4:$C$1510,MATCH($A340,'Match Log'!$A$4:$A$1510,0)),"")</f>
        <v/>
      </c>
      <c r="D340" t="str">
        <f t="array" ref="D340">IFERROR(_xlfn.TEXTJOIN(" + ",TRUE(),IF(('Match Log'!$A$4:$A$1510=$A340)*('Match Log'!$E$4:$E$1510="Win"),'Match Log'!$D$4:$D$1510,"")),IFERROR(LOOKUP(2,1/(('Match Log'!$A$4:$A$1510=$A340)*('Match Log'!$E$4:$E$1510="Win")),'Match Log'!$D$4:$D$1510),""))</f>
        <v/>
      </c>
      <c r="E340" t="str">
        <f>IFERROR(INDEX('Match Log'!$F$4:$F$1510,MATCH($A340,'Match Log'!$A$4:$A$1510,0)),"")</f>
        <v/>
      </c>
      <c r="F340">
        <f>IFERROR(SUMIFS('Match Log'!$I$4:$I$1510,'Match Log'!$A$4:$A$1510,$A340,'Match Log'!$E$4:$E$1510,"Win"),"")</f>
        <v>0</v>
      </c>
      <c r="G340" t="str">
        <f t="shared" si="29"/>
        <v/>
      </c>
      <c r="H340" t="str">
        <f t="array" ref="H340">IFERROR(IF(COUNTIFS('Match Log'!$A$4:$A$1510,$A340,'Match Log'!$E$4:$E$1510,"Win")&gt;1,_xlfn.TEXTJOIN(" + ",TRUE(),IF(('Match Log'!$A$4:$A$1510=$A340)*('Match Log'!$E$4:$E$1510="Loss"),'Match Log'!$D$4:$D$1510,"")),IF($E340=2,LOOKUP(2,1/(('Match Log'!$A$4:$A$1510=$A340)*('Match Log'!$E$4:$E$1510="Loss")),'Match Log'!$D$4:$D$1510),"the field")),"")</f>
        <v>the field</v>
      </c>
      <c r="I340" t="str">
        <f t="shared" si="30"/>
        <v/>
      </c>
      <c r="J340">
        <v>316</v>
      </c>
      <c r="K340" t="e">
        <f>IF($J340&gt;MAX('Match Log'!$A$4:$A$1510),NA(),IFERROR(LOOKUP(2,1/(('Match Log'!$D$4:$D$1510=$K$24)*('Match Log'!$A$4:$A$1510&lt;=$J340)),'Match Log'!$N$4:$N$1510),NA()))</f>
        <v>#N/A</v>
      </c>
      <c r="L340" t="e">
        <f>IF($J340&gt;MAX('Match Log'!$A$4:$A$1510),NA(),IFERROR(LOOKUP(2,1/(('Match Log'!$D$4:$D$1510=$L$24)*('Match Log'!$A$4:$A$1510&lt;=$J340)),'Match Log'!$N$4:$N$1510),NA()))</f>
        <v>#N/A</v>
      </c>
      <c r="M340" t="e">
        <f>IF($J340&gt;MAX('Match Log'!$A$4:$A$1510),NA(),IFERROR(LOOKUP(2,1/(('Match Log'!$D$4:$D$1510=$M$24)*('Match Log'!$A$4:$A$1510&lt;=$J340)),'Match Log'!$N$4:$N$1510),NA()))</f>
        <v>#N/A</v>
      </c>
      <c r="N340" t="e">
        <f>IF($J340&gt;MAX('Match Log'!$A$4:$A$1510),NA(),IFERROR(LOOKUP(2,1/(('Match Log'!$D$4:$D$1510=$N$24)*('Match Log'!$A$4:$A$1510&lt;=$J340)),'Match Log'!$N$4:$N$1510),NA()))</f>
        <v>#N/A</v>
      </c>
      <c r="O340" t="e">
        <f>IF($J340&gt;MAX('Match Log'!$A$4:$A$1510),NA(),IFERROR(LOOKUP(2,1/(('Match Log'!$D$4:$D$1510=$O$24)*('Match Log'!$A$4:$A$1510&lt;=$J340)),'Match Log'!$N$4:$N$1510),NA()))</f>
        <v>#N/A</v>
      </c>
      <c r="P340" t="e">
        <f>IF($J340&gt;MAX('Match Log'!$A$4:$A$1510),NA(),IFERROR(LOOKUP(2,1/(('Match Log'!$D$4:$D$1510=$P$24)*('Match Log'!$A$4:$A$1510&lt;=$J340)),'Match Log'!$N$4:$N$1510),NA()))</f>
        <v>#N/A</v>
      </c>
      <c r="Q340" t="e">
        <f>IF($J340&gt;MAX('Match Log'!$A$4:$A$1510),NA(),IFERROR(LOOKUP(2,1/(('Match Log'!$D$4:$D$1510=$Q$24)*('Match Log'!$A$4:$A$1510&lt;=$J340)),'Match Log'!$N$4:$N$1510),NA()))</f>
        <v>#N/A</v>
      </c>
      <c r="R340" t="e">
        <f>IF($J340&gt;MAX('Match Log'!$A$4:$A$1510),NA(),IFERROR(LOOKUP(2,1/(('Match Log'!$D$4:$D$1510=$R$24)*('Match Log'!$A$4:$A$1510&lt;=$J340)),'Match Log'!$N$4:$N$1510),NA()))</f>
        <v>#N/A</v>
      </c>
      <c r="S340" t="e">
        <f>IF($J340&gt;MAX('Match Log'!$A$4:$A$1510),NA(),IFERROR(LOOKUP(2,1/(('Match Log'!$D$4:$D$1510=$S$24)*('Match Log'!$A$4:$A$1510&lt;=$J340)),'Match Log'!$N$4:$N$1510),NA()))</f>
        <v>#N/A</v>
      </c>
      <c r="T340" t="e">
        <f>IF($J340&gt;MAX('Match Log'!$A$4:$A$1510),NA(),IFERROR(LOOKUP(2,1/(('Match Log'!$D$4:$D$1510=$T$24)*('Match Log'!$A$4:$A$1510&lt;=$J340)),'Match Log'!$N$4:$N$1510),NA()))</f>
        <v>#N/A</v>
      </c>
      <c r="U340" t="e">
        <f>IF($J340&gt;MAX('Match Log'!$A$4:$A$1510),NA(),IFERROR(LOOKUP(2,1/(('Match Log'!$D$4:$D$1510=$U$24)*('Match Log'!$A$4:$A$1510&lt;=$J340)),'Match Log'!$N$4:$N$1510),NA()))</f>
        <v>#N/A</v>
      </c>
      <c r="V340" t="e">
        <f>IF($J340&gt;MAX('Match Log'!$A$4:$A$1510),NA(),IFERROR(LOOKUP(2,1/(('Match Log'!$D$4:$D$1510=$V$24)*('Match Log'!$A$4:$A$1510&lt;=$J340)),'Match Log'!$N$4:$N$1510),NA()))</f>
        <v>#N/A</v>
      </c>
      <c r="W340" t="e">
        <f>IF($J340&gt;MAX('Match Log'!$A$4:$A$1510),NA(),IFERROR(LOOKUP(2,1/(('Match Log'!$D$4:$D$1510=$W$24)*('Match Log'!$A$4:$A$1510&lt;=$J340)),'Match Log'!$N$4:$N$1510),NA()))</f>
        <v>#N/A</v>
      </c>
      <c r="X340" t="e">
        <f>IF($J340&gt;MAX('Match Log'!$A$4:$A$1510),NA(),IFERROR(LOOKUP(2,1/(('Match Log'!$D$4:$D$1510=$X$24)*('Match Log'!$A$4:$A$1510&lt;=$J340)),'Match Log'!$N$4:$N$1510),NA()))</f>
        <v>#N/A</v>
      </c>
      <c r="Y340" t="str">
        <f t="shared" ca="1" si="31"/>
        <v/>
      </c>
    </row>
    <row r="341" spans="1:25" x14ac:dyDescent="0.2">
      <c r="A341">
        <v>317</v>
      </c>
      <c r="B341" t="str">
        <f>IFERROR(INDEX('Match Log'!$B$4:$B$1510,MATCH($A341,'Match Log'!$A$4:$A$1510,0)),"")</f>
        <v/>
      </c>
      <c r="C341" t="str">
        <f>IFERROR(INDEX('Match Log'!$C$4:$C$1510,MATCH($A341,'Match Log'!$A$4:$A$1510,0)),"")</f>
        <v/>
      </c>
      <c r="D341" t="str">
        <f t="array" ref="D341">IFERROR(_xlfn.TEXTJOIN(" + ",TRUE(),IF(('Match Log'!$A$4:$A$1510=$A341)*('Match Log'!$E$4:$E$1510="Win"),'Match Log'!$D$4:$D$1510,"")),IFERROR(LOOKUP(2,1/(('Match Log'!$A$4:$A$1510=$A341)*('Match Log'!$E$4:$E$1510="Win")),'Match Log'!$D$4:$D$1510),""))</f>
        <v/>
      </c>
      <c r="E341" t="str">
        <f>IFERROR(INDEX('Match Log'!$F$4:$F$1510,MATCH($A341,'Match Log'!$A$4:$A$1510,0)),"")</f>
        <v/>
      </c>
      <c r="F341">
        <f>IFERROR(SUMIFS('Match Log'!$I$4:$I$1510,'Match Log'!$A$4:$A$1510,$A341,'Match Log'!$E$4:$E$1510,"Win"),"")</f>
        <v>0</v>
      </c>
      <c r="G341" t="str">
        <f t="shared" si="29"/>
        <v/>
      </c>
      <c r="H341" t="str">
        <f t="array" ref="H341">IFERROR(IF(COUNTIFS('Match Log'!$A$4:$A$1510,$A341,'Match Log'!$E$4:$E$1510,"Win")&gt;1,_xlfn.TEXTJOIN(" + ",TRUE(),IF(('Match Log'!$A$4:$A$1510=$A341)*('Match Log'!$E$4:$E$1510="Loss"),'Match Log'!$D$4:$D$1510,"")),IF($E341=2,LOOKUP(2,1/(('Match Log'!$A$4:$A$1510=$A341)*('Match Log'!$E$4:$E$1510="Loss")),'Match Log'!$D$4:$D$1510),"the field")),"")</f>
        <v>the field</v>
      </c>
      <c r="I341" t="str">
        <f t="shared" si="30"/>
        <v/>
      </c>
      <c r="J341">
        <v>317</v>
      </c>
      <c r="K341" t="e">
        <f>IF($J341&gt;MAX('Match Log'!$A$4:$A$1510),NA(),IFERROR(LOOKUP(2,1/(('Match Log'!$D$4:$D$1510=$K$24)*('Match Log'!$A$4:$A$1510&lt;=$J341)),'Match Log'!$N$4:$N$1510),NA()))</f>
        <v>#N/A</v>
      </c>
      <c r="L341" t="e">
        <f>IF($J341&gt;MAX('Match Log'!$A$4:$A$1510),NA(),IFERROR(LOOKUP(2,1/(('Match Log'!$D$4:$D$1510=$L$24)*('Match Log'!$A$4:$A$1510&lt;=$J341)),'Match Log'!$N$4:$N$1510),NA()))</f>
        <v>#N/A</v>
      </c>
      <c r="M341" t="e">
        <f>IF($J341&gt;MAX('Match Log'!$A$4:$A$1510),NA(),IFERROR(LOOKUP(2,1/(('Match Log'!$D$4:$D$1510=$M$24)*('Match Log'!$A$4:$A$1510&lt;=$J341)),'Match Log'!$N$4:$N$1510),NA()))</f>
        <v>#N/A</v>
      </c>
      <c r="N341" t="e">
        <f>IF($J341&gt;MAX('Match Log'!$A$4:$A$1510),NA(),IFERROR(LOOKUP(2,1/(('Match Log'!$D$4:$D$1510=$N$24)*('Match Log'!$A$4:$A$1510&lt;=$J341)),'Match Log'!$N$4:$N$1510),NA()))</f>
        <v>#N/A</v>
      </c>
      <c r="O341" t="e">
        <f>IF($J341&gt;MAX('Match Log'!$A$4:$A$1510),NA(),IFERROR(LOOKUP(2,1/(('Match Log'!$D$4:$D$1510=$O$24)*('Match Log'!$A$4:$A$1510&lt;=$J341)),'Match Log'!$N$4:$N$1510),NA()))</f>
        <v>#N/A</v>
      </c>
      <c r="P341" t="e">
        <f>IF($J341&gt;MAX('Match Log'!$A$4:$A$1510),NA(),IFERROR(LOOKUP(2,1/(('Match Log'!$D$4:$D$1510=$P$24)*('Match Log'!$A$4:$A$1510&lt;=$J341)),'Match Log'!$N$4:$N$1510),NA()))</f>
        <v>#N/A</v>
      </c>
      <c r="Q341" t="e">
        <f>IF($J341&gt;MAX('Match Log'!$A$4:$A$1510),NA(),IFERROR(LOOKUP(2,1/(('Match Log'!$D$4:$D$1510=$Q$24)*('Match Log'!$A$4:$A$1510&lt;=$J341)),'Match Log'!$N$4:$N$1510),NA()))</f>
        <v>#N/A</v>
      </c>
      <c r="R341" t="e">
        <f>IF($J341&gt;MAX('Match Log'!$A$4:$A$1510),NA(),IFERROR(LOOKUP(2,1/(('Match Log'!$D$4:$D$1510=$R$24)*('Match Log'!$A$4:$A$1510&lt;=$J341)),'Match Log'!$N$4:$N$1510),NA()))</f>
        <v>#N/A</v>
      </c>
      <c r="S341" t="e">
        <f>IF($J341&gt;MAX('Match Log'!$A$4:$A$1510),NA(),IFERROR(LOOKUP(2,1/(('Match Log'!$D$4:$D$1510=$S$24)*('Match Log'!$A$4:$A$1510&lt;=$J341)),'Match Log'!$N$4:$N$1510),NA()))</f>
        <v>#N/A</v>
      </c>
      <c r="T341" t="e">
        <f>IF($J341&gt;MAX('Match Log'!$A$4:$A$1510),NA(),IFERROR(LOOKUP(2,1/(('Match Log'!$D$4:$D$1510=$T$24)*('Match Log'!$A$4:$A$1510&lt;=$J341)),'Match Log'!$N$4:$N$1510),NA()))</f>
        <v>#N/A</v>
      </c>
      <c r="U341" t="e">
        <f>IF($J341&gt;MAX('Match Log'!$A$4:$A$1510),NA(),IFERROR(LOOKUP(2,1/(('Match Log'!$D$4:$D$1510=$U$24)*('Match Log'!$A$4:$A$1510&lt;=$J341)),'Match Log'!$N$4:$N$1510),NA()))</f>
        <v>#N/A</v>
      </c>
      <c r="V341" t="e">
        <f>IF($J341&gt;MAX('Match Log'!$A$4:$A$1510),NA(),IFERROR(LOOKUP(2,1/(('Match Log'!$D$4:$D$1510=$V$24)*('Match Log'!$A$4:$A$1510&lt;=$J341)),'Match Log'!$N$4:$N$1510),NA()))</f>
        <v>#N/A</v>
      </c>
      <c r="W341" t="e">
        <f>IF($J341&gt;MAX('Match Log'!$A$4:$A$1510),NA(),IFERROR(LOOKUP(2,1/(('Match Log'!$D$4:$D$1510=$W$24)*('Match Log'!$A$4:$A$1510&lt;=$J341)),'Match Log'!$N$4:$N$1510),NA()))</f>
        <v>#N/A</v>
      </c>
      <c r="X341" t="e">
        <f>IF($J341&gt;MAX('Match Log'!$A$4:$A$1510),NA(),IFERROR(LOOKUP(2,1/(('Match Log'!$D$4:$D$1510=$X$24)*('Match Log'!$A$4:$A$1510&lt;=$J341)),'Match Log'!$N$4:$N$1510),NA()))</f>
        <v>#N/A</v>
      </c>
      <c r="Y341" t="str">
        <f t="shared" ca="1" si="31"/>
        <v/>
      </c>
    </row>
    <row r="342" spans="1:25" x14ac:dyDescent="0.2">
      <c r="A342">
        <v>318</v>
      </c>
      <c r="B342" t="str">
        <f>IFERROR(INDEX('Match Log'!$B$4:$B$1510,MATCH($A342,'Match Log'!$A$4:$A$1510,0)),"")</f>
        <v/>
      </c>
      <c r="C342" t="str">
        <f>IFERROR(INDEX('Match Log'!$C$4:$C$1510,MATCH($A342,'Match Log'!$A$4:$A$1510,0)),"")</f>
        <v/>
      </c>
      <c r="D342" t="str">
        <f t="array" ref="D342">IFERROR(_xlfn.TEXTJOIN(" + ",TRUE(),IF(('Match Log'!$A$4:$A$1510=$A342)*('Match Log'!$E$4:$E$1510="Win"),'Match Log'!$D$4:$D$1510,"")),IFERROR(LOOKUP(2,1/(('Match Log'!$A$4:$A$1510=$A342)*('Match Log'!$E$4:$E$1510="Win")),'Match Log'!$D$4:$D$1510),""))</f>
        <v/>
      </c>
      <c r="E342" t="str">
        <f>IFERROR(INDEX('Match Log'!$F$4:$F$1510,MATCH($A342,'Match Log'!$A$4:$A$1510,0)),"")</f>
        <v/>
      </c>
      <c r="F342">
        <f>IFERROR(SUMIFS('Match Log'!$I$4:$I$1510,'Match Log'!$A$4:$A$1510,$A342,'Match Log'!$E$4:$E$1510,"Win"),"")</f>
        <v>0</v>
      </c>
      <c r="G342" t="str">
        <f t="shared" si="29"/>
        <v/>
      </c>
      <c r="H342" t="str">
        <f t="array" ref="H342">IFERROR(IF(COUNTIFS('Match Log'!$A$4:$A$1510,$A342,'Match Log'!$E$4:$E$1510,"Win")&gt;1,_xlfn.TEXTJOIN(" + ",TRUE(),IF(('Match Log'!$A$4:$A$1510=$A342)*('Match Log'!$E$4:$E$1510="Loss"),'Match Log'!$D$4:$D$1510,"")),IF($E342=2,LOOKUP(2,1/(('Match Log'!$A$4:$A$1510=$A342)*('Match Log'!$E$4:$E$1510="Loss")),'Match Log'!$D$4:$D$1510),"the field")),"")</f>
        <v>the field</v>
      </c>
      <c r="I342" t="str">
        <f t="shared" si="30"/>
        <v/>
      </c>
      <c r="J342">
        <v>318</v>
      </c>
      <c r="K342" t="e">
        <f>IF($J342&gt;MAX('Match Log'!$A$4:$A$1510),NA(),IFERROR(LOOKUP(2,1/(('Match Log'!$D$4:$D$1510=$K$24)*('Match Log'!$A$4:$A$1510&lt;=$J342)),'Match Log'!$N$4:$N$1510),NA()))</f>
        <v>#N/A</v>
      </c>
      <c r="L342" t="e">
        <f>IF($J342&gt;MAX('Match Log'!$A$4:$A$1510),NA(),IFERROR(LOOKUP(2,1/(('Match Log'!$D$4:$D$1510=$L$24)*('Match Log'!$A$4:$A$1510&lt;=$J342)),'Match Log'!$N$4:$N$1510),NA()))</f>
        <v>#N/A</v>
      </c>
      <c r="M342" t="e">
        <f>IF($J342&gt;MAX('Match Log'!$A$4:$A$1510),NA(),IFERROR(LOOKUP(2,1/(('Match Log'!$D$4:$D$1510=$M$24)*('Match Log'!$A$4:$A$1510&lt;=$J342)),'Match Log'!$N$4:$N$1510),NA()))</f>
        <v>#N/A</v>
      </c>
      <c r="N342" t="e">
        <f>IF($J342&gt;MAX('Match Log'!$A$4:$A$1510),NA(),IFERROR(LOOKUP(2,1/(('Match Log'!$D$4:$D$1510=$N$24)*('Match Log'!$A$4:$A$1510&lt;=$J342)),'Match Log'!$N$4:$N$1510),NA()))</f>
        <v>#N/A</v>
      </c>
      <c r="O342" t="e">
        <f>IF($J342&gt;MAX('Match Log'!$A$4:$A$1510),NA(),IFERROR(LOOKUP(2,1/(('Match Log'!$D$4:$D$1510=$O$24)*('Match Log'!$A$4:$A$1510&lt;=$J342)),'Match Log'!$N$4:$N$1510),NA()))</f>
        <v>#N/A</v>
      </c>
      <c r="P342" t="e">
        <f>IF($J342&gt;MAX('Match Log'!$A$4:$A$1510),NA(),IFERROR(LOOKUP(2,1/(('Match Log'!$D$4:$D$1510=$P$24)*('Match Log'!$A$4:$A$1510&lt;=$J342)),'Match Log'!$N$4:$N$1510),NA()))</f>
        <v>#N/A</v>
      </c>
      <c r="Q342" t="e">
        <f>IF($J342&gt;MAX('Match Log'!$A$4:$A$1510),NA(),IFERROR(LOOKUP(2,1/(('Match Log'!$D$4:$D$1510=$Q$24)*('Match Log'!$A$4:$A$1510&lt;=$J342)),'Match Log'!$N$4:$N$1510),NA()))</f>
        <v>#N/A</v>
      </c>
      <c r="R342" t="e">
        <f>IF($J342&gt;MAX('Match Log'!$A$4:$A$1510),NA(),IFERROR(LOOKUP(2,1/(('Match Log'!$D$4:$D$1510=$R$24)*('Match Log'!$A$4:$A$1510&lt;=$J342)),'Match Log'!$N$4:$N$1510),NA()))</f>
        <v>#N/A</v>
      </c>
      <c r="S342" t="e">
        <f>IF($J342&gt;MAX('Match Log'!$A$4:$A$1510),NA(),IFERROR(LOOKUP(2,1/(('Match Log'!$D$4:$D$1510=$S$24)*('Match Log'!$A$4:$A$1510&lt;=$J342)),'Match Log'!$N$4:$N$1510),NA()))</f>
        <v>#N/A</v>
      </c>
      <c r="T342" t="e">
        <f>IF($J342&gt;MAX('Match Log'!$A$4:$A$1510),NA(),IFERROR(LOOKUP(2,1/(('Match Log'!$D$4:$D$1510=$T$24)*('Match Log'!$A$4:$A$1510&lt;=$J342)),'Match Log'!$N$4:$N$1510),NA()))</f>
        <v>#N/A</v>
      </c>
      <c r="U342" t="e">
        <f>IF($J342&gt;MAX('Match Log'!$A$4:$A$1510),NA(),IFERROR(LOOKUP(2,1/(('Match Log'!$D$4:$D$1510=$U$24)*('Match Log'!$A$4:$A$1510&lt;=$J342)),'Match Log'!$N$4:$N$1510),NA()))</f>
        <v>#N/A</v>
      </c>
      <c r="V342" t="e">
        <f>IF($J342&gt;MAX('Match Log'!$A$4:$A$1510),NA(),IFERROR(LOOKUP(2,1/(('Match Log'!$D$4:$D$1510=$V$24)*('Match Log'!$A$4:$A$1510&lt;=$J342)),'Match Log'!$N$4:$N$1510),NA()))</f>
        <v>#N/A</v>
      </c>
      <c r="W342" t="e">
        <f>IF($J342&gt;MAX('Match Log'!$A$4:$A$1510),NA(),IFERROR(LOOKUP(2,1/(('Match Log'!$D$4:$D$1510=$W$24)*('Match Log'!$A$4:$A$1510&lt;=$J342)),'Match Log'!$N$4:$N$1510),NA()))</f>
        <v>#N/A</v>
      </c>
      <c r="X342" t="e">
        <f>IF($J342&gt;MAX('Match Log'!$A$4:$A$1510),NA(),IFERROR(LOOKUP(2,1/(('Match Log'!$D$4:$D$1510=$X$24)*('Match Log'!$A$4:$A$1510&lt;=$J342)),'Match Log'!$N$4:$N$1510),NA()))</f>
        <v>#N/A</v>
      </c>
      <c r="Y342" t="str">
        <f t="shared" ca="1" si="31"/>
        <v/>
      </c>
    </row>
    <row r="343" spans="1:25" x14ac:dyDescent="0.2">
      <c r="A343">
        <v>319</v>
      </c>
      <c r="B343" t="str">
        <f>IFERROR(INDEX('Match Log'!$B$4:$B$1510,MATCH($A343,'Match Log'!$A$4:$A$1510,0)),"")</f>
        <v/>
      </c>
      <c r="C343" t="str">
        <f>IFERROR(INDEX('Match Log'!$C$4:$C$1510,MATCH($A343,'Match Log'!$A$4:$A$1510,0)),"")</f>
        <v/>
      </c>
      <c r="D343" t="str">
        <f t="array" ref="D343">IFERROR(_xlfn.TEXTJOIN(" + ",TRUE(),IF(('Match Log'!$A$4:$A$1510=$A343)*('Match Log'!$E$4:$E$1510="Win"),'Match Log'!$D$4:$D$1510,"")),IFERROR(LOOKUP(2,1/(('Match Log'!$A$4:$A$1510=$A343)*('Match Log'!$E$4:$E$1510="Win")),'Match Log'!$D$4:$D$1510),""))</f>
        <v/>
      </c>
      <c r="E343" t="str">
        <f>IFERROR(INDEX('Match Log'!$F$4:$F$1510,MATCH($A343,'Match Log'!$A$4:$A$1510,0)),"")</f>
        <v/>
      </c>
      <c r="F343">
        <f>IFERROR(SUMIFS('Match Log'!$I$4:$I$1510,'Match Log'!$A$4:$A$1510,$A343,'Match Log'!$E$4:$E$1510,"Win"),"")</f>
        <v>0</v>
      </c>
      <c r="G343" t="str">
        <f t="shared" si="29"/>
        <v/>
      </c>
      <c r="H343" t="str">
        <f t="array" ref="H343">IFERROR(IF(COUNTIFS('Match Log'!$A$4:$A$1510,$A343,'Match Log'!$E$4:$E$1510,"Win")&gt;1,_xlfn.TEXTJOIN(" + ",TRUE(),IF(('Match Log'!$A$4:$A$1510=$A343)*('Match Log'!$E$4:$E$1510="Loss"),'Match Log'!$D$4:$D$1510,"")),IF($E343=2,LOOKUP(2,1/(('Match Log'!$A$4:$A$1510=$A343)*('Match Log'!$E$4:$E$1510="Loss")),'Match Log'!$D$4:$D$1510),"the field")),"")</f>
        <v>the field</v>
      </c>
      <c r="I343" t="str">
        <f t="shared" si="30"/>
        <v/>
      </c>
      <c r="J343">
        <v>319</v>
      </c>
      <c r="K343" t="e">
        <f>IF($J343&gt;MAX('Match Log'!$A$4:$A$1510),NA(),IFERROR(LOOKUP(2,1/(('Match Log'!$D$4:$D$1510=$K$24)*('Match Log'!$A$4:$A$1510&lt;=$J343)),'Match Log'!$N$4:$N$1510),NA()))</f>
        <v>#N/A</v>
      </c>
      <c r="L343" t="e">
        <f>IF($J343&gt;MAX('Match Log'!$A$4:$A$1510),NA(),IFERROR(LOOKUP(2,1/(('Match Log'!$D$4:$D$1510=$L$24)*('Match Log'!$A$4:$A$1510&lt;=$J343)),'Match Log'!$N$4:$N$1510),NA()))</f>
        <v>#N/A</v>
      </c>
      <c r="M343" t="e">
        <f>IF($J343&gt;MAX('Match Log'!$A$4:$A$1510),NA(),IFERROR(LOOKUP(2,1/(('Match Log'!$D$4:$D$1510=$M$24)*('Match Log'!$A$4:$A$1510&lt;=$J343)),'Match Log'!$N$4:$N$1510),NA()))</f>
        <v>#N/A</v>
      </c>
      <c r="N343" t="e">
        <f>IF($J343&gt;MAX('Match Log'!$A$4:$A$1510),NA(),IFERROR(LOOKUP(2,1/(('Match Log'!$D$4:$D$1510=$N$24)*('Match Log'!$A$4:$A$1510&lt;=$J343)),'Match Log'!$N$4:$N$1510),NA()))</f>
        <v>#N/A</v>
      </c>
      <c r="O343" t="e">
        <f>IF($J343&gt;MAX('Match Log'!$A$4:$A$1510),NA(),IFERROR(LOOKUP(2,1/(('Match Log'!$D$4:$D$1510=$O$24)*('Match Log'!$A$4:$A$1510&lt;=$J343)),'Match Log'!$N$4:$N$1510),NA()))</f>
        <v>#N/A</v>
      </c>
      <c r="P343" t="e">
        <f>IF($J343&gt;MAX('Match Log'!$A$4:$A$1510),NA(),IFERROR(LOOKUP(2,1/(('Match Log'!$D$4:$D$1510=$P$24)*('Match Log'!$A$4:$A$1510&lt;=$J343)),'Match Log'!$N$4:$N$1510),NA()))</f>
        <v>#N/A</v>
      </c>
      <c r="Q343" t="e">
        <f>IF($J343&gt;MAX('Match Log'!$A$4:$A$1510),NA(),IFERROR(LOOKUP(2,1/(('Match Log'!$D$4:$D$1510=$Q$24)*('Match Log'!$A$4:$A$1510&lt;=$J343)),'Match Log'!$N$4:$N$1510),NA()))</f>
        <v>#N/A</v>
      </c>
      <c r="R343" t="e">
        <f>IF($J343&gt;MAX('Match Log'!$A$4:$A$1510),NA(),IFERROR(LOOKUP(2,1/(('Match Log'!$D$4:$D$1510=$R$24)*('Match Log'!$A$4:$A$1510&lt;=$J343)),'Match Log'!$N$4:$N$1510),NA()))</f>
        <v>#N/A</v>
      </c>
      <c r="S343" t="e">
        <f>IF($J343&gt;MAX('Match Log'!$A$4:$A$1510),NA(),IFERROR(LOOKUP(2,1/(('Match Log'!$D$4:$D$1510=$S$24)*('Match Log'!$A$4:$A$1510&lt;=$J343)),'Match Log'!$N$4:$N$1510),NA()))</f>
        <v>#N/A</v>
      </c>
      <c r="T343" t="e">
        <f>IF($J343&gt;MAX('Match Log'!$A$4:$A$1510),NA(),IFERROR(LOOKUP(2,1/(('Match Log'!$D$4:$D$1510=$T$24)*('Match Log'!$A$4:$A$1510&lt;=$J343)),'Match Log'!$N$4:$N$1510),NA()))</f>
        <v>#N/A</v>
      </c>
      <c r="U343" t="e">
        <f>IF($J343&gt;MAX('Match Log'!$A$4:$A$1510),NA(),IFERROR(LOOKUP(2,1/(('Match Log'!$D$4:$D$1510=$U$24)*('Match Log'!$A$4:$A$1510&lt;=$J343)),'Match Log'!$N$4:$N$1510),NA()))</f>
        <v>#N/A</v>
      </c>
      <c r="V343" t="e">
        <f>IF($J343&gt;MAX('Match Log'!$A$4:$A$1510),NA(),IFERROR(LOOKUP(2,1/(('Match Log'!$D$4:$D$1510=$V$24)*('Match Log'!$A$4:$A$1510&lt;=$J343)),'Match Log'!$N$4:$N$1510),NA()))</f>
        <v>#N/A</v>
      </c>
      <c r="W343" t="e">
        <f>IF($J343&gt;MAX('Match Log'!$A$4:$A$1510),NA(),IFERROR(LOOKUP(2,1/(('Match Log'!$D$4:$D$1510=$W$24)*('Match Log'!$A$4:$A$1510&lt;=$J343)),'Match Log'!$N$4:$N$1510),NA()))</f>
        <v>#N/A</v>
      </c>
      <c r="X343" t="e">
        <f>IF($J343&gt;MAX('Match Log'!$A$4:$A$1510),NA(),IFERROR(LOOKUP(2,1/(('Match Log'!$D$4:$D$1510=$X$24)*('Match Log'!$A$4:$A$1510&lt;=$J343)),'Match Log'!$N$4:$N$1510),NA()))</f>
        <v>#N/A</v>
      </c>
      <c r="Y343" t="str">
        <f t="shared" ca="1" si="31"/>
        <v/>
      </c>
    </row>
    <row r="344" spans="1:25" x14ac:dyDescent="0.2">
      <c r="A344">
        <v>320</v>
      </c>
      <c r="B344" t="str">
        <f>IFERROR(INDEX('Match Log'!$B$4:$B$1510,MATCH($A344,'Match Log'!$A$4:$A$1510,0)),"")</f>
        <v/>
      </c>
      <c r="C344" t="str">
        <f>IFERROR(INDEX('Match Log'!$C$4:$C$1510,MATCH($A344,'Match Log'!$A$4:$A$1510,0)),"")</f>
        <v/>
      </c>
      <c r="D344" t="str">
        <f t="array" ref="D344">IFERROR(_xlfn.TEXTJOIN(" + ",TRUE(),IF(('Match Log'!$A$4:$A$1510=$A344)*('Match Log'!$E$4:$E$1510="Win"),'Match Log'!$D$4:$D$1510,"")),IFERROR(LOOKUP(2,1/(('Match Log'!$A$4:$A$1510=$A344)*('Match Log'!$E$4:$E$1510="Win")),'Match Log'!$D$4:$D$1510),""))</f>
        <v/>
      </c>
      <c r="E344" t="str">
        <f>IFERROR(INDEX('Match Log'!$F$4:$F$1510,MATCH($A344,'Match Log'!$A$4:$A$1510,0)),"")</f>
        <v/>
      </c>
      <c r="F344">
        <f>IFERROR(SUMIFS('Match Log'!$I$4:$I$1510,'Match Log'!$A$4:$A$1510,$A344,'Match Log'!$E$4:$E$1510,"Win"),"")</f>
        <v>0</v>
      </c>
      <c r="G344" t="str">
        <f t="shared" si="29"/>
        <v/>
      </c>
      <c r="H344" t="str">
        <f t="array" ref="H344">IFERROR(IF(COUNTIFS('Match Log'!$A$4:$A$1510,$A344,'Match Log'!$E$4:$E$1510,"Win")&gt;1,_xlfn.TEXTJOIN(" + ",TRUE(),IF(('Match Log'!$A$4:$A$1510=$A344)*('Match Log'!$E$4:$E$1510="Loss"),'Match Log'!$D$4:$D$1510,"")),IF($E344=2,LOOKUP(2,1/(('Match Log'!$A$4:$A$1510=$A344)*('Match Log'!$E$4:$E$1510="Loss")),'Match Log'!$D$4:$D$1510),"the field")),"")</f>
        <v>the field</v>
      </c>
      <c r="I344" t="str">
        <f t="shared" si="30"/>
        <v/>
      </c>
      <c r="J344">
        <v>320</v>
      </c>
      <c r="K344" t="e">
        <f>IF($J344&gt;MAX('Match Log'!$A$4:$A$1510),NA(),IFERROR(LOOKUP(2,1/(('Match Log'!$D$4:$D$1510=$K$24)*('Match Log'!$A$4:$A$1510&lt;=$J344)),'Match Log'!$N$4:$N$1510),NA()))</f>
        <v>#N/A</v>
      </c>
      <c r="L344" t="e">
        <f>IF($J344&gt;MAX('Match Log'!$A$4:$A$1510),NA(),IFERROR(LOOKUP(2,1/(('Match Log'!$D$4:$D$1510=$L$24)*('Match Log'!$A$4:$A$1510&lt;=$J344)),'Match Log'!$N$4:$N$1510),NA()))</f>
        <v>#N/A</v>
      </c>
      <c r="M344" t="e">
        <f>IF($J344&gt;MAX('Match Log'!$A$4:$A$1510),NA(),IFERROR(LOOKUP(2,1/(('Match Log'!$D$4:$D$1510=$M$24)*('Match Log'!$A$4:$A$1510&lt;=$J344)),'Match Log'!$N$4:$N$1510),NA()))</f>
        <v>#N/A</v>
      </c>
      <c r="N344" t="e">
        <f>IF($J344&gt;MAX('Match Log'!$A$4:$A$1510),NA(),IFERROR(LOOKUP(2,1/(('Match Log'!$D$4:$D$1510=$N$24)*('Match Log'!$A$4:$A$1510&lt;=$J344)),'Match Log'!$N$4:$N$1510),NA()))</f>
        <v>#N/A</v>
      </c>
      <c r="O344" t="e">
        <f>IF($J344&gt;MAX('Match Log'!$A$4:$A$1510),NA(),IFERROR(LOOKUP(2,1/(('Match Log'!$D$4:$D$1510=$O$24)*('Match Log'!$A$4:$A$1510&lt;=$J344)),'Match Log'!$N$4:$N$1510),NA()))</f>
        <v>#N/A</v>
      </c>
      <c r="P344" t="e">
        <f>IF($J344&gt;MAX('Match Log'!$A$4:$A$1510),NA(),IFERROR(LOOKUP(2,1/(('Match Log'!$D$4:$D$1510=$P$24)*('Match Log'!$A$4:$A$1510&lt;=$J344)),'Match Log'!$N$4:$N$1510),NA()))</f>
        <v>#N/A</v>
      </c>
      <c r="Q344" t="e">
        <f>IF($J344&gt;MAX('Match Log'!$A$4:$A$1510),NA(),IFERROR(LOOKUP(2,1/(('Match Log'!$D$4:$D$1510=$Q$24)*('Match Log'!$A$4:$A$1510&lt;=$J344)),'Match Log'!$N$4:$N$1510),NA()))</f>
        <v>#N/A</v>
      </c>
      <c r="R344" t="e">
        <f>IF($J344&gt;MAX('Match Log'!$A$4:$A$1510),NA(),IFERROR(LOOKUP(2,1/(('Match Log'!$D$4:$D$1510=$R$24)*('Match Log'!$A$4:$A$1510&lt;=$J344)),'Match Log'!$N$4:$N$1510),NA()))</f>
        <v>#N/A</v>
      </c>
      <c r="S344" t="e">
        <f>IF($J344&gt;MAX('Match Log'!$A$4:$A$1510),NA(),IFERROR(LOOKUP(2,1/(('Match Log'!$D$4:$D$1510=$S$24)*('Match Log'!$A$4:$A$1510&lt;=$J344)),'Match Log'!$N$4:$N$1510),NA()))</f>
        <v>#N/A</v>
      </c>
      <c r="T344" t="e">
        <f>IF($J344&gt;MAX('Match Log'!$A$4:$A$1510),NA(),IFERROR(LOOKUP(2,1/(('Match Log'!$D$4:$D$1510=$T$24)*('Match Log'!$A$4:$A$1510&lt;=$J344)),'Match Log'!$N$4:$N$1510),NA()))</f>
        <v>#N/A</v>
      </c>
      <c r="U344" t="e">
        <f>IF($J344&gt;MAX('Match Log'!$A$4:$A$1510),NA(),IFERROR(LOOKUP(2,1/(('Match Log'!$D$4:$D$1510=$U$24)*('Match Log'!$A$4:$A$1510&lt;=$J344)),'Match Log'!$N$4:$N$1510),NA()))</f>
        <v>#N/A</v>
      </c>
      <c r="V344" t="e">
        <f>IF($J344&gt;MAX('Match Log'!$A$4:$A$1510),NA(),IFERROR(LOOKUP(2,1/(('Match Log'!$D$4:$D$1510=$V$24)*('Match Log'!$A$4:$A$1510&lt;=$J344)),'Match Log'!$N$4:$N$1510),NA()))</f>
        <v>#N/A</v>
      </c>
      <c r="W344" t="e">
        <f>IF($J344&gt;MAX('Match Log'!$A$4:$A$1510),NA(),IFERROR(LOOKUP(2,1/(('Match Log'!$D$4:$D$1510=$W$24)*('Match Log'!$A$4:$A$1510&lt;=$J344)),'Match Log'!$N$4:$N$1510),NA()))</f>
        <v>#N/A</v>
      </c>
      <c r="X344" t="e">
        <f>IF($J344&gt;MAX('Match Log'!$A$4:$A$1510),NA(),IFERROR(LOOKUP(2,1/(('Match Log'!$D$4:$D$1510=$X$24)*('Match Log'!$A$4:$A$1510&lt;=$J344)),'Match Log'!$N$4:$N$1510),NA()))</f>
        <v>#N/A</v>
      </c>
      <c r="Y344" t="str">
        <f t="shared" ca="1" si="31"/>
        <v/>
      </c>
    </row>
    <row r="345" spans="1:25" x14ac:dyDescent="0.2">
      <c r="A345">
        <v>321</v>
      </c>
      <c r="B345" t="str">
        <f>IFERROR(INDEX('Match Log'!$B$4:$B$1510,MATCH($A345,'Match Log'!$A$4:$A$1510,0)),"")</f>
        <v/>
      </c>
      <c r="C345" t="str">
        <f>IFERROR(INDEX('Match Log'!$C$4:$C$1510,MATCH($A345,'Match Log'!$A$4:$A$1510,0)),"")</f>
        <v/>
      </c>
      <c r="D345" t="str">
        <f t="array" ref="D345">IFERROR(_xlfn.TEXTJOIN(" + ",TRUE(),IF(('Match Log'!$A$4:$A$1510=$A345)*('Match Log'!$E$4:$E$1510="Win"),'Match Log'!$D$4:$D$1510,"")),IFERROR(LOOKUP(2,1/(('Match Log'!$A$4:$A$1510=$A345)*('Match Log'!$E$4:$E$1510="Win")),'Match Log'!$D$4:$D$1510),""))</f>
        <v/>
      </c>
      <c r="E345" t="str">
        <f>IFERROR(INDEX('Match Log'!$F$4:$F$1510,MATCH($A345,'Match Log'!$A$4:$A$1510,0)),"")</f>
        <v/>
      </c>
      <c r="F345">
        <f>IFERROR(SUMIFS('Match Log'!$I$4:$I$1510,'Match Log'!$A$4:$A$1510,$A345,'Match Log'!$E$4:$E$1510,"Win"),"")</f>
        <v>0</v>
      </c>
      <c r="G345" t="str">
        <f t="shared" ref="G345:G408" si="32">IF($D345="","",1-$F345*$E345)</f>
        <v/>
      </c>
      <c r="H345" t="str">
        <f t="array" ref="H345">IFERROR(IF(COUNTIFS('Match Log'!$A$4:$A$1510,$A345,'Match Log'!$E$4:$E$1510,"Win")&gt;1,_xlfn.TEXTJOIN(" + ",TRUE(),IF(('Match Log'!$A$4:$A$1510=$A345)*('Match Log'!$E$4:$E$1510="Loss"),'Match Log'!$D$4:$D$1510,"")),IF($E345=2,LOOKUP(2,1/(('Match Log'!$A$4:$A$1510=$A345)*('Match Log'!$E$4:$E$1510="Loss")),'Match Log'!$D$4:$D$1510),"the field")),"")</f>
        <v>the field</v>
      </c>
      <c r="I345" t="str">
        <f t="shared" ref="I345:I408" si="33">IF($G345="","",$G345-$A345/1000000)</f>
        <v/>
      </c>
      <c r="J345">
        <v>321</v>
      </c>
      <c r="K345" t="e">
        <f>IF($J345&gt;MAX('Match Log'!$A$4:$A$1510),NA(),IFERROR(LOOKUP(2,1/(('Match Log'!$D$4:$D$1510=$K$24)*('Match Log'!$A$4:$A$1510&lt;=$J345)),'Match Log'!$N$4:$N$1510),NA()))</f>
        <v>#N/A</v>
      </c>
      <c r="L345" t="e">
        <f>IF($J345&gt;MAX('Match Log'!$A$4:$A$1510),NA(),IFERROR(LOOKUP(2,1/(('Match Log'!$D$4:$D$1510=$L$24)*('Match Log'!$A$4:$A$1510&lt;=$J345)),'Match Log'!$N$4:$N$1510),NA()))</f>
        <v>#N/A</v>
      </c>
      <c r="M345" t="e">
        <f>IF($J345&gt;MAX('Match Log'!$A$4:$A$1510),NA(),IFERROR(LOOKUP(2,1/(('Match Log'!$D$4:$D$1510=$M$24)*('Match Log'!$A$4:$A$1510&lt;=$J345)),'Match Log'!$N$4:$N$1510),NA()))</f>
        <v>#N/A</v>
      </c>
      <c r="N345" t="e">
        <f>IF($J345&gt;MAX('Match Log'!$A$4:$A$1510),NA(),IFERROR(LOOKUP(2,1/(('Match Log'!$D$4:$D$1510=$N$24)*('Match Log'!$A$4:$A$1510&lt;=$J345)),'Match Log'!$N$4:$N$1510),NA()))</f>
        <v>#N/A</v>
      </c>
      <c r="O345" t="e">
        <f>IF($J345&gt;MAX('Match Log'!$A$4:$A$1510),NA(),IFERROR(LOOKUP(2,1/(('Match Log'!$D$4:$D$1510=$O$24)*('Match Log'!$A$4:$A$1510&lt;=$J345)),'Match Log'!$N$4:$N$1510),NA()))</f>
        <v>#N/A</v>
      </c>
      <c r="P345" t="e">
        <f>IF($J345&gt;MAX('Match Log'!$A$4:$A$1510),NA(),IFERROR(LOOKUP(2,1/(('Match Log'!$D$4:$D$1510=$P$24)*('Match Log'!$A$4:$A$1510&lt;=$J345)),'Match Log'!$N$4:$N$1510),NA()))</f>
        <v>#N/A</v>
      </c>
      <c r="Q345" t="e">
        <f>IF($J345&gt;MAX('Match Log'!$A$4:$A$1510),NA(),IFERROR(LOOKUP(2,1/(('Match Log'!$D$4:$D$1510=$Q$24)*('Match Log'!$A$4:$A$1510&lt;=$J345)),'Match Log'!$N$4:$N$1510),NA()))</f>
        <v>#N/A</v>
      </c>
      <c r="R345" t="e">
        <f>IF($J345&gt;MAX('Match Log'!$A$4:$A$1510),NA(),IFERROR(LOOKUP(2,1/(('Match Log'!$D$4:$D$1510=$R$24)*('Match Log'!$A$4:$A$1510&lt;=$J345)),'Match Log'!$N$4:$N$1510),NA()))</f>
        <v>#N/A</v>
      </c>
      <c r="S345" t="e">
        <f>IF($J345&gt;MAX('Match Log'!$A$4:$A$1510),NA(),IFERROR(LOOKUP(2,1/(('Match Log'!$D$4:$D$1510=$S$24)*('Match Log'!$A$4:$A$1510&lt;=$J345)),'Match Log'!$N$4:$N$1510),NA()))</f>
        <v>#N/A</v>
      </c>
      <c r="T345" t="e">
        <f>IF($J345&gt;MAX('Match Log'!$A$4:$A$1510),NA(),IFERROR(LOOKUP(2,1/(('Match Log'!$D$4:$D$1510=$T$24)*('Match Log'!$A$4:$A$1510&lt;=$J345)),'Match Log'!$N$4:$N$1510),NA()))</f>
        <v>#N/A</v>
      </c>
      <c r="U345" t="e">
        <f>IF($J345&gt;MAX('Match Log'!$A$4:$A$1510),NA(),IFERROR(LOOKUP(2,1/(('Match Log'!$D$4:$D$1510=$U$24)*('Match Log'!$A$4:$A$1510&lt;=$J345)),'Match Log'!$N$4:$N$1510),NA()))</f>
        <v>#N/A</v>
      </c>
      <c r="V345" t="e">
        <f>IF($J345&gt;MAX('Match Log'!$A$4:$A$1510),NA(),IFERROR(LOOKUP(2,1/(('Match Log'!$D$4:$D$1510=$V$24)*('Match Log'!$A$4:$A$1510&lt;=$J345)),'Match Log'!$N$4:$N$1510),NA()))</f>
        <v>#N/A</v>
      </c>
      <c r="W345" t="e">
        <f>IF($J345&gt;MAX('Match Log'!$A$4:$A$1510),NA(),IFERROR(LOOKUP(2,1/(('Match Log'!$D$4:$D$1510=$W$24)*('Match Log'!$A$4:$A$1510&lt;=$J345)),'Match Log'!$N$4:$N$1510),NA()))</f>
        <v>#N/A</v>
      </c>
      <c r="X345" t="e">
        <f>IF($J345&gt;MAX('Match Log'!$A$4:$A$1510),NA(),IFERROR(LOOKUP(2,1/(('Match Log'!$D$4:$D$1510=$X$24)*('Match Log'!$A$4:$A$1510&lt;=$J345)),'Match Log'!$N$4:$N$1510),NA()))</f>
        <v>#N/A</v>
      </c>
      <c r="Y345" t="str">
        <f t="shared" ref="Y345:Y408" ca="1" si="34">IF(AND($B345&lt;&gt;"",$B345&gt;=$B$5,$I345&lt;&gt;""),$I345,"")</f>
        <v/>
      </c>
    </row>
    <row r="346" spans="1:25" x14ac:dyDescent="0.2">
      <c r="A346">
        <v>322</v>
      </c>
      <c r="B346" t="str">
        <f>IFERROR(INDEX('Match Log'!$B$4:$B$1510,MATCH($A346,'Match Log'!$A$4:$A$1510,0)),"")</f>
        <v/>
      </c>
      <c r="C346" t="str">
        <f>IFERROR(INDEX('Match Log'!$C$4:$C$1510,MATCH($A346,'Match Log'!$A$4:$A$1510,0)),"")</f>
        <v/>
      </c>
      <c r="D346" t="str">
        <f t="array" ref="D346">IFERROR(_xlfn.TEXTJOIN(" + ",TRUE(),IF(('Match Log'!$A$4:$A$1510=$A346)*('Match Log'!$E$4:$E$1510="Win"),'Match Log'!$D$4:$D$1510,"")),IFERROR(LOOKUP(2,1/(('Match Log'!$A$4:$A$1510=$A346)*('Match Log'!$E$4:$E$1510="Win")),'Match Log'!$D$4:$D$1510),""))</f>
        <v/>
      </c>
      <c r="E346" t="str">
        <f>IFERROR(INDEX('Match Log'!$F$4:$F$1510,MATCH($A346,'Match Log'!$A$4:$A$1510,0)),"")</f>
        <v/>
      </c>
      <c r="F346">
        <f>IFERROR(SUMIFS('Match Log'!$I$4:$I$1510,'Match Log'!$A$4:$A$1510,$A346,'Match Log'!$E$4:$E$1510,"Win"),"")</f>
        <v>0</v>
      </c>
      <c r="G346" t="str">
        <f t="shared" si="32"/>
        <v/>
      </c>
      <c r="H346" t="str">
        <f t="array" ref="H346">IFERROR(IF(COUNTIFS('Match Log'!$A$4:$A$1510,$A346,'Match Log'!$E$4:$E$1510,"Win")&gt;1,_xlfn.TEXTJOIN(" + ",TRUE(),IF(('Match Log'!$A$4:$A$1510=$A346)*('Match Log'!$E$4:$E$1510="Loss"),'Match Log'!$D$4:$D$1510,"")),IF($E346=2,LOOKUP(2,1/(('Match Log'!$A$4:$A$1510=$A346)*('Match Log'!$E$4:$E$1510="Loss")),'Match Log'!$D$4:$D$1510),"the field")),"")</f>
        <v>the field</v>
      </c>
      <c r="I346" t="str">
        <f t="shared" si="33"/>
        <v/>
      </c>
      <c r="J346">
        <v>322</v>
      </c>
      <c r="K346" t="e">
        <f>IF($J346&gt;MAX('Match Log'!$A$4:$A$1510),NA(),IFERROR(LOOKUP(2,1/(('Match Log'!$D$4:$D$1510=$K$24)*('Match Log'!$A$4:$A$1510&lt;=$J346)),'Match Log'!$N$4:$N$1510),NA()))</f>
        <v>#N/A</v>
      </c>
      <c r="L346" t="e">
        <f>IF($J346&gt;MAX('Match Log'!$A$4:$A$1510),NA(),IFERROR(LOOKUP(2,1/(('Match Log'!$D$4:$D$1510=$L$24)*('Match Log'!$A$4:$A$1510&lt;=$J346)),'Match Log'!$N$4:$N$1510),NA()))</f>
        <v>#N/A</v>
      </c>
      <c r="M346" t="e">
        <f>IF($J346&gt;MAX('Match Log'!$A$4:$A$1510),NA(),IFERROR(LOOKUP(2,1/(('Match Log'!$D$4:$D$1510=$M$24)*('Match Log'!$A$4:$A$1510&lt;=$J346)),'Match Log'!$N$4:$N$1510),NA()))</f>
        <v>#N/A</v>
      </c>
      <c r="N346" t="e">
        <f>IF($J346&gt;MAX('Match Log'!$A$4:$A$1510),NA(),IFERROR(LOOKUP(2,1/(('Match Log'!$D$4:$D$1510=$N$24)*('Match Log'!$A$4:$A$1510&lt;=$J346)),'Match Log'!$N$4:$N$1510),NA()))</f>
        <v>#N/A</v>
      </c>
      <c r="O346" t="e">
        <f>IF($J346&gt;MAX('Match Log'!$A$4:$A$1510),NA(),IFERROR(LOOKUP(2,1/(('Match Log'!$D$4:$D$1510=$O$24)*('Match Log'!$A$4:$A$1510&lt;=$J346)),'Match Log'!$N$4:$N$1510),NA()))</f>
        <v>#N/A</v>
      </c>
      <c r="P346" t="e">
        <f>IF($J346&gt;MAX('Match Log'!$A$4:$A$1510),NA(),IFERROR(LOOKUP(2,1/(('Match Log'!$D$4:$D$1510=$P$24)*('Match Log'!$A$4:$A$1510&lt;=$J346)),'Match Log'!$N$4:$N$1510),NA()))</f>
        <v>#N/A</v>
      </c>
      <c r="Q346" t="e">
        <f>IF($J346&gt;MAX('Match Log'!$A$4:$A$1510),NA(),IFERROR(LOOKUP(2,1/(('Match Log'!$D$4:$D$1510=$Q$24)*('Match Log'!$A$4:$A$1510&lt;=$J346)),'Match Log'!$N$4:$N$1510),NA()))</f>
        <v>#N/A</v>
      </c>
      <c r="R346" t="e">
        <f>IF($J346&gt;MAX('Match Log'!$A$4:$A$1510),NA(),IFERROR(LOOKUP(2,1/(('Match Log'!$D$4:$D$1510=$R$24)*('Match Log'!$A$4:$A$1510&lt;=$J346)),'Match Log'!$N$4:$N$1510),NA()))</f>
        <v>#N/A</v>
      </c>
      <c r="S346" t="e">
        <f>IF($J346&gt;MAX('Match Log'!$A$4:$A$1510),NA(),IFERROR(LOOKUP(2,1/(('Match Log'!$D$4:$D$1510=$S$24)*('Match Log'!$A$4:$A$1510&lt;=$J346)),'Match Log'!$N$4:$N$1510),NA()))</f>
        <v>#N/A</v>
      </c>
      <c r="T346" t="e">
        <f>IF($J346&gt;MAX('Match Log'!$A$4:$A$1510),NA(),IFERROR(LOOKUP(2,1/(('Match Log'!$D$4:$D$1510=$T$24)*('Match Log'!$A$4:$A$1510&lt;=$J346)),'Match Log'!$N$4:$N$1510),NA()))</f>
        <v>#N/A</v>
      </c>
      <c r="U346" t="e">
        <f>IF($J346&gt;MAX('Match Log'!$A$4:$A$1510),NA(),IFERROR(LOOKUP(2,1/(('Match Log'!$D$4:$D$1510=$U$24)*('Match Log'!$A$4:$A$1510&lt;=$J346)),'Match Log'!$N$4:$N$1510),NA()))</f>
        <v>#N/A</v>
      </c>
      <c r="V346" t="e">
        <f>IF($J346&gt;MAX('Match Log'!$A$4:$A$1510),NA(),IFERROR(LOOKUP(2,1/(('Match Log'!$D$4:$D$1510=$V$24)*('Match Log'!$A$4:$A$1510&lt;=$J346)),'Match Log'!$N$4:$N$1510),NA()))</f>
        <v>#N/A</v>
      </c>
      <c r="W346" t="e">
        <f>IF($J346&gt;MAX('Match Log'!$A$4:$A$1510),NA(),IFERROR(LOOKUP(2,1/(('Match Log'!$D$4:$D$1510=$W$24)*('Match Log'!$A$4:$A$1510&lt;=$J346)),'Match Log'!$N$4:$N$1510),NA()))</f>
        <v>#N/A</v>
      </c>
      <c r="X346" t="e">
        <f>IF($J346&gt;MAX('Match Log'!$A$4:$A$1510),NA(),IFERROR(LOOKUP(2,1/(('Match Log'!$D$4:$D$1510=$X$24)*('Match Log'!$A$4:$A$1510&lt;=$J346)),'Match Log'!$N$4:$N$1510),NA()))</f>
        <v>#N/A</v>
      </c>
      <c r="Y346" t="str">
        <f t="shared" ca="1" si="34"/>
        <v/>
      </c>
    </row>
    <row r="347" spans="1:25" x14ac:dyDescent="0.2">
      <c r="A347">
        <v>323</v>
      </c>
      <c r="B347" t="str">
        <f>IFERROR(INDEX('Match Log'!$B$4:$B$1510,MATCH($A347,'Match Log'!$A$4:$A$1510,0)),"")</f>
        <v/>
      </c>
      <c r="C347" t="str">
        <f>IFERROR(INDEX('Match Log'!$C$4:$C$1510,MATCH($A347,'Match Log'!$A$4:$A$1510,0)),"")</f>
        <v/>
      </c>
      <c r="D347" t="str">
        <f t="array" ref="D347">IFERROR(_xlfn.TEXTJOIN(" + ",TRUE(),IF(('Match Log'!$A$4:$A$1510=$A347)*('Match Log'!$E$4:$E$1510="Win"),'Match Log'!$D$4:$D$1510,"")),IFERROR(LOOKUP(2,1/(('Match Log'!$A$4:$A$1510=$A347)*('Match Log'!$E$4:$E$1510="Win")),'Match Log'!$D$4:$D$1510),""))</f>
        <v/>
      </c>
      <c r="E347" t="str">
        <f>IFERROR(INDEX('Match Log'!$F$4:$F$1510,MATCH($A347,'Match Log'!$A$4:$A$1510,0)),"")</f>
        <v/>
      </c>
      <c r="F347">
        <f>IFERROR(SUMIFS('Match Log'!$I$4:$I$1510,'Match Log'!$A$4:$A$1510,$A347,'Match Log'!$E$4:$E$1510,"Win"),"")</f>
        <v>0</v>
      </c>
      <c r="G347" t="str">
        <f t="shared" si="32"/>
        <v/>
      </c>
      <c r="H347" t="str">
        <f t="array" ref="H347">IFERROR(IF(COUNTIFS('Match Log'!$A$4:$A$1510,$A347,'Match Log'!$E$4:$E$1510,"Win")&gt;1,_xlfn.TEXTJOIN(" + ",TRUE(),IF(('Match Log'!$A$4:$A$1510=$A347)*('Match Log'!$E$4:$E$1510="Loss"),'Match Log'!$D$4:$D$1510,"")),IF($E347=2,LOOKUP(2,1/(('Match Log'!$A$4:$A$1510=$A347)*('Match Log'!$E$4:$E$1510="Loss")),'Match Log'!$D$4:$D$1510),"the field")),"")</f>
        <v>the field</v>
      </c>
      <c r="I347" t="str">
        <f t="shared" si="33"/>
        <v/>
      </c>
      <c r="J347">
        <v>323</v>
      </c>
      <c r="K347" t="e">
        <f>IF($J347&gt;MAX('Match Log'!$A$4:$A$1510),NA(),IFERROR(LOOKUP(2,1/(('Match Log'!$D$4:$D$1510=$K$24)*('Match Log'!$A$4:$A$1510&lt;=$J347)),'Match Log'!$N$4:$N$1510),NA()))</f>
        <v>#N/A</v>
      </c>
      <c r="L347" t="e">
        <f>IF($J347&gt;MAX('Match Log'!$A$4:$A$1510),NA(),IFERROR(LOOKUP(2,1/(('Match Log'!$D$4:$D$1510=$L$24)*('Match Log'!$A$4:$A$1510&lt;=$J347)),'Match Log'!$N$4:$N$1510),NA()))</f>
        <v>#N/A</v>
      </c>
      <c r="M347" t="e">
        <f>IF($J347&gt;MAX('Match Log'!$A$4:$A$1510),NA(),IFERROR(LOOKUP(2,1/(('Match Log'!$D$4:$D$1510=$M$24)*('Match Log'!$A$4:$A$1510&lt;=$J347)),'Match Log'!$N$4:$N$1510),NA()))</f>
        <v>#N/A</v>
      </c>
      <c r="N347" t="e">
        <f>IF($J347&gt;MAX('Match Log'!$A$4:$A$1510),NA(),IFERROR(LOOKUP(2,1/(('Match Log'!$D$4:$D$1510=$N$24)*('Match Log'!$A$4:$A$1510&lt;=$J347)),'Match Log'!$N$4:$N$1510),NA()))</f>
        <v>#N/A</v>
      </c>
      <c r="O347" t="e">
        <f>IF($J347&gt;MAX('Match Log'!$A$4:$A$1510),NA(),IFERROR(LOOKUP(2,1/(('Match Log'!$D$4:$D$1510=$O$24)*('Match Log'!$A$4:$A$1510&lt;=$J347)),'Match Log'!$N$4:$N$1510),NA()))</f>
        <v>#N/A</v>
      </c>
      <c r="P347" t="e">
        <f>IF($J347&gt;MAX('Match Log'!$A$4:$A$1510),NA(),IFERROR(LOOKUP(2,1/(('Match Log'!$D$4:$D$1510=$P$24)*('Match Log'!$A$4:$A$1510&lt;=$J347)),'Match Log'!$N$4:$N$1510),NA()))</f>
        <v>#N/A</v>
      </c>
      <c r="Q347" t="e">
        <f>IF($J347&gt;MAX('Match Log'!$A$4:$A$1510),NA(),IFERROR(LOOKUP(2,1/(('Match Log'!$D$4:$D$1510=$Q$24)*('Match Log'!$A$4:$A$1510&lt;=$J347)),'Match Log'!$N$4:$N$1510),NA()))</f>
        <v>#N/A</v>
      </c>
      <c r="R347" t="e">
        <f>IF($J347&gt;MAX('Match Log'!$A$4:$A$1510),NA(),IFERROR(LOOKUP(2,1/(('Match Log'!$D$4:$D$1510=$R$24)*('Match Log'!$A$4:$A$1510&lt;=$J347)),'Match Log'!$N$4:$N$1510),NA()))</f>
        <v>#N/A</v>
      </c>
      <c r="S347" t="e">
        <f>IF($J347&gt;MAX('Match Log'!$A$4:$A$1510),NA(),IFERROR(LOOKUP(2,1/(('Match Log'!$D$4:$D$1510=$S$24)*('Match Log'!$A$4:$A$1510&lt;=$J347)),'Match Log'!$N$4:$N$1510),NA()))</f>
        <v>#N/A</v>
      </c>
      <c r="T347" t="e">
        <f>IF($J347&gt;MAX('Match Log'!$A$4:$A$1510),NA(),IFERROR(LOOKUP(2,1/(('Match Log'!$D$4:$D$1510=$T$24)*('Match Log'!$A$4:$A$1510&lt;=$J347)),'Match Log'!$N$4:$N$1510),NA()))</f>
        <v>#N/A</v>
      </c>
      <c r="U347" t="e">
        <f>IF($J347&gt;MAX('Match Log'!$A$4:$A$1510),NA(),IFERROR(LOOKUP(2,1/(('Match Log'!$D$4:$D$1510=$U$24)*('Match Log'!$A$4:$A$1510&lt;=$J347)),'Match Log'!$N$4:$N$1510),NA()))</f>
        <v>#N/A</v>
      </c>
      <c r="V347" t="e">
        <f>IF($J347&gt;MAX('Match Log'!$A$4:$A$1510),NA(),IFERROR(LOOKUP(2,1/(('Match Log'!$D$4:$D$1510=$V$24)*('Match Log'!$A$4:$A$1510&lt;=$J347)),'Match Log'!$N$4:$N$1510),NA()))</f>
        <v>#N/A</v>
      </c>
      <c r="W347" t="e">
        <f>IF($J347&gt;MAX('Match Log'!$A$4:$A$1510),NA(),IFERROR(LOOKUP(2,1/(('Match Log'!$D$4:$D$1510=$W$24)*('Match Log'!$A$4:$A$1510&lt;=$J347)),'Match Log'!$N$4:$N$1510),NA()))</f>
        <v>#N/A</v>
      </c>
      <c r="X347" t="e">
        <f>IF($J347&gt;MAX('Match Log'!$A$4:$A$1510),NA(),IFERROR(LOOKUP(2,1/(('Match Log'!$D$4:$D$1510=$X$24)*('Match Log'!$A$4:$A$1510&lt;=$J347)),'Match Log'!$N$4:$N$1510),NA()))</f>
        <v>#N/A</v>
      </c>
      <c r="Y347" t="str">
        <f t="shared" ca="1" si="34"/>
        <v/>
      </c>
    </row>
    <row r="348" spans="1:25" x14ac:dyDescent="0.2">
      <c r="A348">
        <v>324</v>
      </c>
      <c r="B348" t="str">
        <f>IFERROR(INDEX('Match Log'!$B$4:$B$1510,MATCH($A348,'Match Log'!$A$4:$A$1510,0)),"")</f>
        <v/>
      </c>
      <c r="C348" t="str">
        <f>IFERROR(INDEX('Match Log'!$C$4:$C$1510,MATCH($A348,'Match Log'!$A$4:$A$1510,0)),"")</f>
        <v/>
      </c>
      <c r="D348" t="str">
        <f t="array" ref="D348">IFERROR(_xlfn.TEXTJOIN(" + ",TRUE(),IF(('Match Log'!$A$4:$A$1510=$A348)*('Match Log'!$E$4:$E$1510="Win"),'Match Log'!$D$4:$D$1510,"")),IFERROR(LOOKUP(2,1/(('Match Log'!$A$4:$A$1510=$A348)*('Match Log'!$E$4:$E$1510="Win")),'Match Log'!$D$4:$D$1510),""))</f>
        <v/>
      </c>
      <c r="E348" t="str">
        <f>IFERROR(INDEX('Match Log'!$F$4:$F$1510,MATCH($A348,'Match Log'!$A$4:$A$1510,0)),"")</f>
        <v/>
      </c>
      <c r="F348">
        <f>IFERROR(SUMIFS('Match Log'!$I$4:$I$1510,'Match Log'!$A$4:$A$1510,$A348,'Match Log'!$E$4:$E$1510,"Win"),"")</f>
        <v>0</v>
      </c>
      <c r="G348" t="str">
        <f t="shared" si="32"/>
        <v/>
      </c>
      <c r="H348" t="str">
        <f t="array" ref="H348">IFERROR(IF(COUNTIFS('Match Log'!$A$4:$A$1510,$A348,'Match Log'!$E$4:$E$1510,"Win")&gt;1,_xlfn.TEXTJOIN(" + ",TRUE(),IF(('Match Log'!$A$4:$A$1510=$A348)*('Match Log'!$E$4:$E$1510="Loss"),'Match Log'!$D$4:$D$1510,"")),IF($E348=2,LOOKUP(2,1/(('Match Log'!$A$4:$A$1510=$A348)*('Match Log'!$E$4:$E$1510="Loss")),'Match Log'!$D$4:$D$1510),"the field")),"")</f>
        <v>the field</v>
      </c>
      <c r="I348" t="str">
        <f t="shared" si="33"/>
        <v/>
      </c>
      <c r="J348">
        <v>324</v>
      </c>
      <c r="K348" t="e">
        <f>IF($J348&gt;MAX('Match Log'!$A$4:$A$1510),NA(),IFERROR(LOOKUP(2,1/(('Match Log'!$D$4:$D$1510=$K$24)*('Match Log'!$A$4:$A$1510&lt;=$J348)),'Match Log'!$N$4:$N$1510),NA()))</f>
        <v>#N/A</v>
      </c>
      <c r="L348" t="e">
        <f>IF($J348&gt;MAX('Match Log'!$A$4:$A$1510),NA(),IFERROR(LOOKUP(2,1/(('Match Log'!$D$4:$D$1510=$L$24)*('Match Log'!$A$4:$A$1510&lt;=$J348)),'Match Log'!$N$4:$N$1510),NA()))</f>
        <v>#N/A</v>
      </c>
      <c r="M348" t="e">
        <f>IF($J348&gt;MAX('Match Log'!$A$4:$A$1510),NA(),IFERROR(LOOKUP(2,1/(('Match Log'!$D$4:$D$1510=$M$24)*('Match Log'!$A$4:$A$1510&lt;=$J348)),'Match Log'!$N$4:$N$1510),NA()))</f>
        <v>#N/A</v>
      </c>
      <c r="N348" t="e">
        <f>IF($J348&gt;MAX('Match Log'!$A$4:$A$1510),NA(),IFERROR(LOOKUP(2,1/(('Match Log'!$D$4:$D$1510=$N$24)*('Match Log'!$A$4:$A$1510&lt;=$J348)),'Match Log'!$N$4:$N$1510),NA()))</f>
        <v>#N/A</v>
      </c>
      <c r="O348" t="e">
        <f>IF($J348&gt;MAX('Match Log'!$A$4:$A$1510),NA(),IFERROR(LOOKUP(2,1/(('Match Log'!$D$4:$D$1510=$O$24)*('Match Log'!$A$4:$A$1510&lt;=$J348)),'Match Log'!$N$4:$N$1510),NA()))</f>
        <v>#N/A</v>
      </c>
      <c r="P348" t="e">
        <f>IF($J348&gt;MAX('Match Log'!$A$4:$A$1510),NA(),IFERROR(LOOKUP(2,1/(('Match Log'!$D$4:$D$1510=$P$24)*('Match Log'!$A$4:$A$1510&lt;=$J348)),'Match Log'!$N$4:$N$1510),NA()))</f>
        <v>#N/A</v>
      </c>
      <c r="Q348" t="e">
        <f>IF($J348&gt;MAX('Match Log'!$A$4:$A$1510),NA(),IFERROR(LOOKUP(2,1/(('Match Log'!$D$4:$D$1510=$Q$24)*('Match Log'!$A$4:$A$1510&lt;=$J348)),'Match Log'!$N$4:$N$1510),NA()))</f>
        <v>#N/A</v>
      </c>
      <c r="R348" t="e">
        <f>IF($J348&gt;MAX('Match Log'!$A$4:$A$1510),NA(),IFERROR(LOOKUP(2,1/(('Match Log'!$D$4:$D$1510=$R$24)*('Match Log'!$A$4:$A$1510&lt;=$J348)),'Match Log'!$N$4:$N$1510),NA()))</f>
        <v>#N/A</v>
      </c>
      <c r="S348" t="e">
        <f>IF($J348&gt;MAX('Match Log'!$A$4:$A$1510),NA(),IFERROR(LOOKUP(2,1/(('Match Log'!$D$4:$D$1510=$S$24)*('Match Log'!$A$4:$A$1510&lt;=$J348)),'Match Log'!$N$4:$N$1510),NA()))</f>
        <v>#N/A</v>
      </c>
      <c r="T348" t="e">
        <f>IF($J348&gt;MAX('Match Log'!$A$4:$A$1510),NA(),IFERROR(LOOKUP(2,1/(('Match Log'!$D$4:$D$1510=$T$24)*('Match Log'!$A$4:$A$1510&lt;=$J348)),'Match Log'!$N$4:$N$1510),NA()))</f>
        <v>#N/A</v>
      </c>
      <c r="U348" t="e">
        <f>IF($J348&gt;MAX('Match Log'!$A$4:$A$1510),NA(),IFERROR(LOOKUP(2,1/(('Match Log'!$D$4:$D$1510=$U$24)*('Match Log'!$A$4:$A$1510&lt;=$J348)),'Match Log'!$N$4:$N$1510),NA()))</f>
        <v>#N/A</v>
      </c>
      <c r="V348" t="e">
        <f>IF($J348&gt;MAX('Match Log'!$A$4:$A$1510),NA(),IFERROR(LOOKUP(2,1/(('Match Log'!$D$4:$D$1510=$V$24)*('Match Log'!$A$4:$A$1510&lt;=$J348)),'Match Log'!$N$4:$N$1510),NA()))</f>
        <v>#N/A</v>
      </c>
      <c r="W348" t="e">
        <f>IF($J348&gt;MAX('Match Log'!$A$4:$A$1510),NA(),IFERROR(LOOKUP(2,1/(('Match Log'!$D$4:$D$1510=$W$24)*('Match Log'!$A$4:$A$1510&lt;=$J348)),'Match Log'!$N$4:$N$1510),NA()))</f>
        <v>#N/A</v>
      </c>
      <c r="X348" t="e">
        <f>IF($J348&gt;MAX('Match Log'!$A$4:$A$1510),NA(),IFERROR(LOOKUP(2,1/(('Match Log'!$D$4:$D$1510=$X$24)*('Match Log'!$A$4:$A$1510&lt;=$J348)),'Match Log'!$N$4:$N$1510),NA()))</f>
        <v>#N/A</v>
      </c>
      <c r="Y348" t="str">
        <f t="shared" ca="1" si="34"/>
        <v/>
      </c>
    </row>
    <row r="349" spans="1:25" x14ac:dyDescent="0.2">
      <c r="A349">
        <v>325</v>
      </c>
      <c r="B349" t="str">
        <f>IFERROR(INDEX('Match Log'!$B$4:$B$1510,MATCH($A349,'Match Log'!$A$4:$A$1510,0)),"")</f>
        <v/>
      </c>
      <c r="C349" t="str">
        <f>IFERROR(INDEX('Match Log'!$C$4:$C$1510,MATCH($A349,'Match Log'!$A$4:$A$1510,0)),"")</f>
        <v/>
      </c>
      <c r="D349" t="str">
        <f t="array" ref="D349">IFERROR(_xlfn.TEXTJOIN(" + ",TRUE(),IF(('Match Log'!$A$4:$A$1510=$A349)*('Match Log'!$E$4:$E$1510="Win"),'Match Log'!$D$4:$D$1510,"")),IFERROR(LOOKUP(2,1/(('Match Log'!$A$4:$A$1510=$A349)*('Match Log'!$E$4:$E$1510="Win")),'Match Log'!$D$4:$D$1510),""))</f>
        <v/>
      </c>
      <c r="E349" t="str">
        <f>IFERROR(INDEX('Match Log'!$F$4:$F$1510,MATCH($A349,'Match Log'!$A$4:$A$1510,0)),"")</f>
        <v/>
      </c>
      <c r="F349">
        <f>IFERROR(SUMIFS('Match Log'!$I$4:$I$1510,'Match Log'!$A$4:$A$1510,$A349,'Match Log'!$E$4:$E$1510,"Win"),"")</f>
        <v>0</v>
      </c>
      <c r="G349" t="str">
        <f t="shared" si="32"/>
        <v/>
      </c>
      <c r="H349" t="str">
        <f t="array" ref="H349">IFERROR(IF(COUNTIFS('Match Log'!$A$4:$A$1510,$A349,'Match Log'!$E$4:$E$1510,"Win")&gt;1,_xlfn.TEXTJOIN(" + ",TRUE(),IF(('Match Log'!$A$4:$A$1510=$A349)*('Match Log'!$E$4:$E$1510="Loss"),'Match Log'!$D$4:$D$1510,"")),IF($E349=2,LOOKUP(2,1/(('Match Log'!$A$4:$A$1510=$A349)*('Match Log'!$E$4:$E$1510="Loss")),'Match Log'!$D$4:$D$1510),"the field")),"")</f>
        <v>the field</v>
      </c>
      <c r="I349" t="str">
        <f t="shared" si="33"/>
        <v/>
      </c>
      <c r="J349">
        <v>325</v>
      </c>
      <c r="K349" t="e">
        <f>IF($J349&gt;MAX('Match Log'!$A$4:$A$1510),NA(),IFERROR(LOOKUP(2,1/(('Match Log'!$D$4:$D$1510=$K$24)*('Match Log'!$A$4:$A$1510&lt;=$J349)),'Match Log'!$N$4:$N$1510),NA()))</f>
        <v>#N/A</v>
      </c>
      <c r="L349" t="e">
        <f>IF($J349&gt;MAX('Match Log'!$A$4:$A$1510),NA(),IFERROR(LOOKUP(2,1/(('Match Log'!$D$4:$D$1510=$L$24)*('Match Log'!$A$4:$A$1510&lt;=$J349)),'Match Log'!$N$4:$N$1510),NA()))</f>
        <v>#N/A</v>
      </c>
      <c r="M349" t="e">
        <f>IF($J349&gt;MAX('Match Log'!$A$4:$A$1510),NA(),IFERROR(LOOKUP(2,1/(('Match Log'!$D$4:$D$1510=$M$24)*('Match Log'!$A$4:$A$1510&lt;=$J349)),'Match Log'!$N$4:$N$1510),NA()))</f>
        <v>#N/A</v>
      </c>
      <c r="N349" t="e">
        <f>IF($J349&gt;MAX('Match Log'!$A$4:$A$1510),NA(),IFERROR(LOOKUP(2,1/(('Match Log'!$D$4:$D$1510=$N$24)*('Match Log'!$A$4:$A$1510&lt;=$J349)),'Match Log'!$N$4:$N$1510),NA()))</f>
        <v>#N/A</v>
      </c>
      <c r="O349" t="e">
        <f>IF($J349&gt;MAX('Match Log'!$A$4:$A$1510),NA(),IFERROR(LOOKUP(2,1/(('Match Log'!$D$4:$D$1510=$O$24)*('Match Log'!$A$4:$A$1510&lt;=$J349)),'Match Log'!$N$4:$N$1510),NA()))</f>
        <v>#N/A</v>
      </c>
      <c r="P349" t="e">
        <f>IF($J349&gt;MAX('Match Log'!$A$4:$A$1510),NA(),IFERROR(LOOKUP(2,1/(('Match Log'!$D$4:$D$1510=$P$24)*('Match Log'!$A$4:$A$1510&lt;=$J349)),'Match Log'!$N$4:$N$1510),NA()))</f>
        <v>#N/A</v>
      </c>
      <c r="Q349" t="e">
        <f>IF($J349&gt;MAX('Match Log'!$A$4:$A$1510),NA(),IFERROR(LOOKUP(2,1/(('Match Log'!$D$4:$D$1510=$Q$24)*('Match Log'!$A$4:$A$1510&lt;=$J349)),'Match Log'!$N$4:$N$1510),NA()))</f>
        <v>#N/A</v>
      </c>
      <c r="R349" t="e">
        <f>IF($J349&gt;MAX('Match Log'!$A$4:$A$1510),NA(),IFERROR(LOOKUP(2,1/(('Match Log'!$D$4:$D$1510=$R$24)*('Match Log'!$A$4:$A$1510&lt;=$J349)),'Match Log'!$N$4:$N$1510),NA()))</f>
        <v>#N/A</v>
      </c>
      <c r="S349" t="e">
        <f>IF($J349&gt;MAX('Match Log'!$A$4:$A$1510),NA(),IFERROR(LOOKUP(2,1/(('Match Log'!$D$4:$D$1510=$S$24)*('Match Log'!$A$4:$A$1510&lt;=$J349)),'Match Log'!$N$4:$N$1510),NA()))</f>
        <v>#N/A</v>
      </c>
      <c r="T349" t="e">
        <f>IF($J349&gt;MAX('Match Log'!$A$4:$A$1510),NA(),IFERROR(LOOKUP(2,1/(('Match Log'!$D$4:$D$1510=$T$24)*('Match Log'!$A$4:$A$1510&lt;=$J349)),'Match Log'!$N$4:$N$1510),NA()))</f>
        <v>#N/A</v>
      </c>
      <c r="U349" t="e">
        <f>IF($J349&gt;MAX('Match Log'!$A$4:$A$1510),NA(),IFERROR(LOOKUP(2,1/(('Match Log'!$D$4:$D$1510=$U$24)*('Match Log'!$A$4:$A$1510&lt;=$J349)),'Match Log'!$N$4:$N$1510),NA()))</f>
        <v>#N/A</v>
      </c>
      <c r="V349" t="e">
        <f>IF($J349&gt;MAX('Match Log'!$A$4:$A$1510),NA(),IFERROR(LOOKUP(2,1/(('Match Log'!$D$4:$D$1510=$V$24)*('Match Log'!$A$4:$A$1510&lt;=$J349)),'Match Log'!$N$4:$N$1510),NA()))</f>
        <v>#N/A</v>
      </c>
      <c r="W349" t="e">
        <f>IF($J349&gt;MAX('Match Log'!$A$4:$A$1510),NA(),IFERROR(LOOKUP(2,1/(('Match Log'!$D$4:$D$1510=$W$24)*('Match Log'!$A$4:$A$1510&lt;=$J349)),'Match Log'!$N$4:$N$1510),NA()))</f>
        <v>#N/A</v>
      </c>
      <c r="X349" t="e">
        <f>IF($J349&gt;MAX('Match Log'!$A$4:$A$1510),NA(),IFERROR(LOOKUP(2,1/(('Match Log'!$D$4:$D$1510=$X$24)*('Match Log'!$A$4:$A$1510&lt;=$J349)),'Match Log'!$N$4:$N$1510),NA()))</f>
        <v>#N/A</v>
      </c>
      <c r="Y349" t="str">
        <f t="shared" ca="1" si="34"/>
        <v/>
      </c>
    </row>
    <row r="350" spans="1:25" x14ac:dyDescent="0.2">
      <c r="A350">
        <v>326</v>
      </c>
      <c r="B350" t="str">
        <f>IFERROR(INDEX('Match Log'!$B$4:$B$1510,MATCH($A350,'Match Log'!$A$4:$A$1510,0)),"")</f>
        <v/>
      </c>
      <c r="C350" t="str">
        <f>IFERROR(INDEX('Match Log'!$C$4:$C$1510,MATCH($A350,'Match Log'!$A$4:$A$1510,0)),"")</f>
        <v/>
      </c>
      <c r="D350" t="str">
        <f t="array" ref="D350">IFERROR(_xlfn.TEXTJOIN(" + ",TRUE(),IF(('Match Log'!$A$4:$A$1510=$A350)*('Match Log'!$E$4:$E$1510="Win"),'Match Log'!$D$4:$D$1510,"")),IFERROR(LOOKUP(2,1/(('Match Log'!$A$4:$A$1510=$A350)*('Match Log'!$E$4:$E$1510="Win")),'Match Log'!$D$4:$D$1510),""))</f>
        <v/>
      </c>
      <c r="E350" t="str">
        <f>IFERROR(INDEX('Match Log'!$F$4:$F$1510,MATCH($A350,'Match Log'!$A$4:$A$1510,0)),"")</f>
        <v/>
      </c>
      <c r="F350">
        <f>IFERROR(SUMIFS('Match Log'!$I$4:$I$1510,'Match Log'!$A$4:$A$1510,$A350,'Match Log'!$E$4:$E$1510,"Win"),"")</f>
        <v>0</v>
      </c>
      <c r="G350" t="str">
        <f t="shared" si="32"/>
        <v/>
      </c>
      <c r="H350" t="str">
        <f t="array" ref="H350">IFERROR(IF(COUNTIFS('Match Log'!$A$4:$A$1510,$A350,'Match Log'!$E$4:$E$1510,"Win")&gt;1,_xlfn.TEXTJOIN(" + ",TRUE(),IF(('Match Log'!$A$4:$A$1510=$A350)*('Match Log'!$E$4:$E$1510="Loss"),'Match Log'!$D$4:$D$1510,"")),IF($E350=2,LOOKUP(2,1/(('Match Log'!$A$4:$A$1510=$A350)*('Match Log'!$E$4:$E$1510="Loss")),'Match Log'!$D$4:$D$1510),"the field")),"")</f>
        <v>the field</v>
      </c>
      <c r="I350" t="str">
        <f t="shared" si="33"/>
        <v/>
      </c>
      <c r="J350">
        <v>326</v>
      </c>
      <c r="K350" t="e">
        <f>IF($J350&gt;MAX('Match Log'!$A$4:$A$1510),NA(),IFERROR(LOOKUP(2,1/(('Match Log'!$D$4:$D$1510=$K$24)*('Match Log'!$A$4:$A$1510&lt;=$J350)),'Match Log'!$N$4:$N$1510),NA()))</f>
        <v>#N/A</v>
      </c>
      <c r="L350" t="e">
        <f>IF($J350&gt;MAX('Match Log'!$A$4:$A$1510),NA(),IFERROR(LOOKUP(2,1/(('Match Log'!$D$4:$D$1510=$L$24)*('Match Log'!$A$4:$A$1510&lt;=$J350)),'Match Log'!$N$4:$N$1510),NA()))</f>
        <v>#N/A</v>
      </c>
      <c r="M350" t="e">
        <f>IF($J350&gt;MAX('Match Log'!$A$4:$A$1510),NA(),IFERROR(LOOKUP(2,1/(('Match Log'!$D$4:$D$1510=$M$24)*('Match Log'!$A$4:$A$1510&lt;=$J350)),'Match Log'!$N$4:$N$1510),NA()))</f>
        <v>#N/A</v>
      </c>
      <c r="N350" t="e">
        <f>IF($J350&gt;MAX('Match Log'!$A$4:$A$1510),NA(),IFERROR(LOOKUP(2,1/(('Match Log'!$D$4:$D$1510=$N$24)*('Match Log'!$A$4:$A$1510&lt;=$J350)),'Match Log'!$N$4:$N$1510),NA()))</f>
        <v>#N/A</v>
      </c>
      <c r="O350" t="e">
        <f>IF($J350&gt;MAX('Match Log'!$A$4:$A$1510),NA(),IFERROR(LOOKUP(2,1/(('Match Log'!$D$4:$D$1510=$O$24)*('Match Log'!$A$4:$A$1510&lt;=$J350)),'Match Log'!$N$4:$N$1510),NA()))</f>
        <v>#N/A</v>
      </c>
      <c r="P350" t="e">
        <f>IF($J350&gt;MAX('Match Log'!$A$4:$A$1510),NA(),IFERROR(LOOKUP(2,1/(('Match Log'!$D$4:$D$1510=$P$24)*('Match Log'!$A$4:$A$1510&lt;=$J350)),'Match Log'!$N$4:$N$1510),NA()))</f>
        <v>#N/A</v>
      </c>
      <c r="Q350" t="e">
        <f>IF($J350&gt;MAX('Match Log'!$A$4:$A$1510),NA(),IFERROR(LOOKUP(2,1/(('Match Log'!$D$4:$D$1510=$Q$24)*('Match Log'!$A$4:$A$1510&lt;=$J350)),'Match Log'!$N$4:$N$1510),NA()))</f>
        <v>#N/A</v>
      </c>
      <c r="R350" t="e">
        <f>IF($J350&gt;MAX('Match Log'!$A$4:$A$1510),NA(),IFERROR(LOOKUP(2,1/(('Match Log'!$D$4:$D$1510=$R$24)*('Match Log'!$A$4:$A$1510&lt;=$J350)),'Match Log'!$N$4:$N$1510),NA()))</f>
        <v>#N/A</v>
      </c>
      <c r="S350" t="e">
        <f>IF($J350&gt;MAX('Match Log'!$A$4:$A$1510),NA(),IFERROR(LOOKUP(2,1/(('Match Log'!$D$4:$D$1510=$S$24)*('Match Log'!$A$4:$A$1510&lt;=$J350)),'Match Log'!$N$4:$N$1510),NA()))</f>
        <v>#N/A</v>
      </c>
      <c r="T350" t="e">
        <f>IF($J350&gt;MAX('Match Log'!$A$4:$A$1510),NA(),IFERROR(LOOKUP(2,1/(('Match Log'!$D$4:$D$1510=$T$24)*('Match Log'!$A$4:$A$1510&lt;=$J350)),'Match Log'!$N$4:$N$1510),NA()))</f>
        <v>#N/A</v>
      </c>
      <c r="U350" t="e">
        <f>IF($J350&gt;MAX('Match Log'!$A$4:$A$1510),NA(),IFERROR(LOOKUP(2,1/(('Match Log'!$D$4:$D$1510=$U$24)*('Match Log'!$A$4:$A$1510&lt;=$J350)),'Match Log'!$N$4:$N$1510),NA()))</f>
        <v>#N/A</v>
      </c>
      <c r="V350" t="e">
        <f>IF($J350&gt;MAX('Match Log'!$A$4:$A$1510),NA(),IFERROR(LOOKUP(2,1/(('Match Log'!$D$4:$D$1510=$V$24)*('Match Log'!$A$4:$A$1510&lt;=$J350)),'Match Log'!$N$4:$N$1510),NA()))</f>
        <v>#N/A</v>
      </c>
      <c r="W350" t="e">
        <f>IF($J350&gt;MAX('Match Log'!$A$4:$A$1510),NA(),IFERROR(LOOKUP(2,1/(('Match Log'!$D$4:$D$1510=$W$24)*('Match Log'!$A$4:$A$1510&lt;=$J350)),'Match Log'!$N$4:$N$1510),NA()))</f>
        <v>#N/A</v>
      </c>
      <c r="X350" t="e">
        <f>IF($J350&gt;MAX('Match Log'!$A$4:$A$1510),NA(),IFERROR(LOOKUP(2,1/(('Match Log'!$D$4:$D$1510=$X$24)*('Match Log'!$A$4:$A$1510&lt;=$J350)),'Match Log'!$N$4:$N$1510),NA()))</f>
        <v>#N/A</v>
      </c>
      <c r="Y350" t="str">
        <f t="shared" ca="1" si="34"/>
        <v/>
      </c>
    </row>
    <row r="351" spans="1:25" x14ac:dyDescent="0.2">
      <c r="A351">
        <v>327</v>
      </c>
      <c r="B351" t="str">
        <f>IFERROR(INDEX('Match Log'!$B$4:$B$1510,MATCH($A351,'Match Log'!$A$4:$A$1510,0)),"")</f>
        <v/>
      </c>
      <c r="C351" t="str">
        <f>IFERROR(INDEX('Match Log'!$C$4:$C$1510,MATCH($A351,'Match Log'!$A$4:$A$1510,0)),"")</f>
        <v/>
      </c>
      <c r="D351" t="str">
        <f t="array" ref="D351">IFERROR(_xlfn.TEXTJOIN(" + ",TRUE(),IF(('Match Log'!$A$4:$A$1510=$A351)*('Match Log'!$E$4:$E$1510="Win"),'Match Log'!$D$4:$D$1510,"")),IFERROR(LOOKUP(2,1/(('Match Log'!$A$4:$A$1510=$A351)*('Match Log'!$E$4:$E$1510="Win")),'Match Log'!$D$4:$D$1510),""))</f>
        <v/>
      </c>
      <c r="E351" t="str">
        <f>IFERROR(INDEX('Match Log'!$F$4:$F$1510,MATCH($A351,'Match Log'!$A$4:$A$1510,0)),"")</f>
        <v/>
      </c>
      <c r="F351">
        <f>IFERROR(SUMIFS('Match Log'!$I$4:$I$1510,'Match Log'!$A$4:$A$1510,$A351,'Match Log'!$E$4:$E$1510,"Win"),"")</f>
        <v>0</v>
      </c>
      <c r="G351" t="str">
        <f t="shared" si="32"/>
        <v/>
      </c>
      <c r="H351" t="str">
        <f t="array" ref="H351">IFERROR(IF(COUNTIFS('Match Log'!$A$4:$A$1510,$A351,'Match Log'!$E$4:$E$1510,"Win")&gt;1,_xlfn.TEXTJOIN(" + ",TRUE(),IF(('Match Log'!$A$4:$A$1510=$A351)*('Match Log'!$E$4:$E$1510="Loss"),'Match Log'!$D$4:$D$1510,"")),IF($E351=2,LOOKUP(2,1/(('Match Log'!$A$4:$A$1510=$A351)*('Match Log'!$E$4:$E$1510="Loss")),'Match Log'!$D$4:$D$1510),"the field")),"")</f>
        <v>the field</v>
      </c>
      <c r="I351" t="str">
        <f t="shared" si="33"/>
        <v/>
      </c>
      <c r="J351">
        <v>327</v>
      </c>
      <c r="K351" t="e">
        <f>IF($J351&gt;MAX('Match Log'!$A$4:$A$1510),NA(),IFERROR(LOOKUP(2,1/(('Match Log'!$D$4:$D$1510=$K$24)*('Match Log'!$A$4:$A$1510&lt;=$J351)),'Match Log'!$N$4:$N$1510),NA()))</f>
        <v>#N/A</v>
      </c>
      <c r="L351" t="e">
        <f>IF($J351&gt;MAX('Match Log'!$A$4:$A$1510),NA(),IFERROR(LOOKUP(2,1/(('Match Log'!$D$4:$D$1510=$L$24)*('Match Log'!$A$4:$A$1510&lt;=$J351)),'Match Log'!$N$4:$N$1510),NA()))</f>
        <v>#N/A</v>
      </c>
      <c r="M351" t="e">
        <f>IF($J351&gt;MAX('Match Log'!$A$4:$A$1510),NA(),IFERROR(LOOKUP(2,1/(('Match Log'!$D$4:$D$1510=$M$24)*('Match Log'!$A$4:$A$1510&lt;=$J351)),'Match Log'!$N$4:$N$1510),NA()))</f>
        <v>#N/A</v>
      </c>
      <c r="N351" t="e">
        <f>IF($J351&gt;MAX('Match Log'!$A$4:$A$1510),NA(),IFERROR(LOOKUP(2,1/(('Match Log'!$D$4:$D$1510=$N$24)*('Match Log'!$A$4:$A$1510&lt;=$J351)),'Match Log'!$N$4:$N$1510),NA()))</f>
        <v>#N/A</v>
      </c>
      <c r="O351" t="e">
        <f>IF($J351&gt;MAX('Match Log'!$A$4:$A$1510),NA(),IFERROR(LOOKUP(2,1/(('Match Log'!$D$4:$D$1510=$O$24)*('Match Log'!$A$4:$A$1510&lt;=$J351)),'Match Log'!$N$4:$N$1510),NA()))</f>
        <v>#N/A</v>
      </c>
      <c r="P351" t="e">
        <f>IF($J351&gt;MAX('Match Log'!$A$4:$A$1510),NA(),IFERROR(LOOKUP(2,1/(('Match Log'!$D$4:$D$1510=$P$24)*('Match Log'!$A$4:$A$1510&lt;=$J351)),'Match Log'!$N$4:$N$1510),NA()))</f>
        <v>#N/A</v>
      </c>
      <c r="Q351" t="e">
        <f>IF($J351&gt;MAX('Match Log'!$A$4:$A$1510),NA(),IFERROR(LOOKUP(2,1/(('Match Log'!$D$4:$D$1510=$Q$24)*('Match Log'!$A$4:$A$1510&lt;=$J351)),'Match Log'!$N$4:$N$1510),NA()))</f>
        <v>#N/A</v>
      </c>
      <c r="R351" t="e">
        <f>IF($J351&gt;MAX('Match Log'!$A$4:$A$1510),NA(),IFERROR(LOOKUP(2,1/(('Match Log'!$D$4:$D$1510=$R$24)*('Match Log'!$A$4:$A$1510&lt;=$J351)),'Match Log'!$N$4:$N$1510),NA()))</f>
        <v>#N/A</v>
      </c>
      <c r="S351" t="e">
        <f>IF($J351&gt;MAX('Match Log'!$A$4:$A$1510),NA(),IFERROR(LOOKUP(2,1/(('Match Log'!$D$4:$D$1510=$S$24)*('Match Log'!$A$4:$A$1510&lt;=$J351)),'Match Log'!$N$4:$N$1510),NA()))</f>
        <v>#N/A</v>
      </c>
      <c r="T351" t="e">
        <f>IF($J351&gt;MAX('Match Log'!$A$4:$A$1510),NA(),IFERROR(LOOKUP(2,1/(('Match Log'!$D$4:$D$1510=$T$24)*('Match Log'!$A$4:$A$1510&lt;=$J351)),'Match Log'!$N$4:$N$1510),NA()))</f>
        <v>#N/A</v>
      </c>
      <c r="U351" t="e">
        <f>IF($J351&gt;MAX('Match Log'!$A$4:$A$1510),NA(),IFERROR(LOOKUP(2,1/(('Match Log'!$D$4:$D$1510=$U$24)*('Match Log'!$A$4:$A$1510&lt;=$J351)),'Match Log'!$N$4:$N$1510),NA()))</f>
        <v>#N/A</v>
      </c>
      <c r="V351" t="e">
        <f>IF($J351&gt;MAX('Match Log'!$A$4:$A$1510),NA(),IFERROR(LOOKUP(2,1/(('Match Log'!$D$4:$D$1510=$V$24)*('Match Log'!$A$4:$A$1510&lt;=$J351)),'Match Log'!$N$4:$N$1510),NA()))</f>
        <v>#N/A</v>
      </c>
      <c r="W351" t="e">
        <f>IF($J351&gt;MAX('Match Log'!$A$4:$A$1510),NA(),IFERROR(LOOKUP(2,1/(('Match Log'!$D$4:$D$1510=$W$24)*('Match Log'!$A$4:$A$1510&lt;=$J351)),'Match Log'!$N$4:$N$1510),NA()))</f>
        <v>#N/A</v>
      </c>
      <c r="X351" t="e">
        <f>IF($J351&gt;MAX('Match Log'!$A$4:$A$1510),NA(),IFERROR(LOOKUP(2,1/(('Match Log'!$D$4:$D$1510=$X$24)*('Match Log'!$A$4:$A$1510&lt;=$J351)),'Match Log'!$N$4:$N$1510),NA()))</f>
        <v>#N/A</v>
      </c>
      <c r="Y351" t="str">
        <f t="shared" ca="1" si="34"/>
        <v/>
      </c>
    </row>
    <row r="352" spans="1:25" x14ac:dyDescent="0.2">
      <c r="A352">
        <v>328</v>
      </c>
      <c r="B352" t="str">
        <f>IFERROR(INDEX('Match Log'!$B$4:$B$1510,MATCH($A352,'Match Log'!$A$4:$A$1510,0)),"")</f>
        <v/>
      </c>
      <c r="C352" t="str">
        <f>IFERROR(INDEX('Match Log'!$C$4:$C$1510,MATCH($A352,'Match Log'!$A$4:$A$1510,0)),"")</f>
        <v/>
      </c>
      <c r="D352" t="str">
        <f t="array" ref="D352">IFERROR(_xlfn.TEXTJOIN(" + ",TRUE(),IF(('Match Log'!$A$4:$A$1510=$A352)*('Match Log'!$E$4:$E$1510="Win"),'Match Log'!$D$4:$D$1510,"")),IFERROR(LOOKUP(2,1/(('Match Log'!$A$4:$A$1510=$A352)*('Match Log'!$E$4:$E$1510="Win")),'Match Log'!$D$4:$D$1510),""))</f>
        <v/>
      </c>
      <c r="E352" t="str">
        <f>IFERROR(INDEX('Match Log'!$F$4:$F$1510,MATCH($A352,'Match Log'!$A$4:$A$1510,0)),"")</f>
        <v/>
      </c>
      <c r="F352">
        <f>IFERROR(SUMIFS('Match Log'!$I$4:$I$1510,'Match Log'!$A$4:$A$1510,$A352,'Match Log'!$E$4:$E$1510,"Win"),"")</f>
        <v>0</v>
      </c>
      <c r="G352" t="str">
        <f t="shared" si="32"/>
        <v/>
      </c>
      <c r="H352" t="str">
        <f t="array" ref="H352">IFERROR(IF(COUNTIFS('Match Log'!$A$4:$A$1510,$A352,'Match Log'!$E$4:$E$1510,"Win")&gt;1,_xlfn.TEXTJOIN(" + ",TRUE(),IF(('Match Log'!$A$4:$A$1510=$A352)*('Match Log'!$E$4:$E$1510="Loss"),'Match Log'!$D$4:$D$1510,"")),IF($E352=2,LOOKUP(2,1/(('Match Log'!$A$4:$A$1510=$A352)*('Match Log'!$E$4:$E$1510="Loss")),'Match Log'!$D$4:$D$1510),"the field")),"")</f>
        <v>the field</v>
      </c>
      <c r="I352" t="str">
        <f t="shared" si="33"/>
        <v/>
      </c>
      <c r="J352">
        <v>328</v>
      </c>
      <c r="K352" t="e">
        <f>IF($J352&gt;MAX('Match Log'!$A$4:$A$1510),NA(),IFERROR(LOOKUP(2,1/(('Match Log'!$D$4:$D$1510=$K$24)*('Match Log'!$A$4:$A$1510&lt;=$J352)),'Match Log'!$N$4:$N$1510),NA()))</f>
        <v>#N/A</v>
      </c>
      <c r="L352" t="e">
        <f>IF($J352&gt;MAX('Match Log'!$A$4:$A$1510),NA(),IFERROR(LOOKUP(2,1/(('Match Log'!$D$4:$D$1510=$L$24)*('Match Log'!$A$4:$A$1510&lt;=$J352)),'Match Log'!$N$4:$N$1510),NA()))</f>
        <v>#N/A</v>
      </c>
      <c r="M352" t="e">
        <f>IF($J352&gt;MAX('Match Log'!$A$4:$A$1510),NA(),IFERROR(LOOKUP(2,1/(('Match Log'!$D$4:$D$1510=$M$24)*('Match Log'!$A$4:$A$1510&lt;=$J352)),'Match Log'!$N$4:$N$1510),NA()))</f>
        <v>#N/A</v>
      </c>
      <c r="N352" t="e">
        <f>IF($J352&gt;MAX('Match Log'!$A$4:$A$1510),NA(),IFERROR(LOOKUP(2,1/(('Match Log'!$D$4:$D$1510=$N$24)*('Match Log'!$A$4:$A$1510&lt;=$J352)),'Match Log'!$N$4:$N$1510),NA()))</f>
        <v>#N/A</v>
      </c>
      <c r="O352" t="e">
        <f>IF($J352&gt;MAX('Match Log'!$A$4:$A$1510),NA(),IFERROR(LOOKUP(2,1/(('Match Log'!$D$4:$D$1510=$O$24)*('Match Log'!$A$4:$A$1510&lt;=$J352)),'Match Log'!$N$4:$N$1510),NA()))</f>
        <v>#N/A</v>
      </c>
      <c r="P352" t="e">
        <f>IF($J352&gt;MAX('Match Log'!$A$4:$A$1510),NA(),IFERROR(LOOKUP(2,1/(('Match Log'!$D$4:$D$1510=$P$24)*('Match Log'!$A$4:$A$1510&lt;=$J352)),'Match Log'!$N$4:$N$1510),NA()))</f>
        <v>#N/A</v>
      </c>
      <c r="Q352" t="e">
        <f>IF($J352&gt;MAX('Match Log'!$A$4:$A$1510),NA(),IFERROR(LOOKUP(2,1/(('Match Log'!$D$4:$D$1510=$Q$24)*('Match Log'!$A$4:$A$1510&lt;=$J352)),'Match Log'!$N$4:$N$1510),NA()))</f>
        <v>#N/A</v>
      </c>
      <c r="R352" t="e">
        <f>IF($J352&gt;MAX('Match Log'!$A$4:$A$1510),NA(),IFERROR(LOOKUP(2,1/(('Match Log'!$D$4:$D$1510=$R$24)*('Match Log'!$A$4:$A$1510&lt;=$J352)),'Match Log'!$N$4:$N$1510),NA()))</f>
        <v>#N/A</v>
      </c>
      <c r="S352" t="e">
        <f>IF($J352&gt;MAX('Match Log'!$A$4:$A$1510),NA(),IFERROR(LOOKUP(2,1/(('Match Log'!$D$4:$D$1510=$S$24)*('Match Log'!$A$4:$A$1510&lt;=$J352)),'Match Log'!$N$4:$N$1510),NA()))</f>
        <v>#N/A</v>
      </c>
      <c r="T352" t="e">
        <f>IF($J352&gt;MAX('Match Log'!$A$4:$A$1510),NA(),IFERROR(LOOKUP(2,1/(('Match Log'!$D$4:$D$1510=$T$24)*('Match Log'!$A$4:$A$1510&lt;=$J352)),'Match Log'!$N$4:$N$1510),NA()))</f>
        <v>#N/A</v>
      </c>
      <c r="U352" t="e">
        <f>IF($J352&gt;MAX('Match Log'!$A$4:$A$1510),NA(),IFERROR(LOOKUP(2,1/(('Match Log'!$D$4:$D$1510=$U$24)*('Match Log'!$A$4:$A$1510&lt;=$J352)),'Match Log'!$N$4:$N$1510),NA()))</f>
        <v>#N/A</v>
      </c>
      <c r="V352" t="e">
        <f>IF($J352&gt;MAX('Match Log'!$A$4:$A$1510),NA(),IFERROR(LOOKUP(2,1/(('Match Log'!$D$4:$D$1510=$V$24)*('Match Log'!$A$4:$A$1510&lt;=$J352)),'Match Log'!$N$4:$N$1510),NA()))</f>
        <v>#N/A</v>
      </c>
      <c r="W352" t="e">
        <f>IF($J352&gt;MAX('Match Log'!$A$4:$A$1510),NA(),IFERROR(LOOKUP(2,1/(('Match Log'!$D$4:$D$1510=$W$24)*('Match Log'!$A$4:$A$1510&lt;=$J352)),'Match Log'!$N$4:$N$1510),NA()))</f>
        <v>#N/A</v>
      </c>
      <c r="X352" t="e">
        <f>IF($J352&gt;MAX('Match Log'!$A$4:$A$1510),NA(),IFERROR(LOOKUP(2,1/(('Match Log'!$D$4:$D$1510=$X$24)*('Match Log'!$A$4:$A$1510&lt;=$J352)),'Match Log'!$N$4:$N$1510),NA()))</f>
        <v>#N/A</v>
      </c>
      <c r="Y352" t="str">
        <f t="shared" ca="1" si="34"/>
        <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1217.5573388632245</v>
      </c>
      <c r="C2">
        <f>IFERROR(SUMPRODUCT(INDEX('Head-to-Head'!$B$22:$O$35,1,0),$D$2:$Q$2)/SUM(INDEX('Head-to-Head'!$B$22:$O$35,1,0)),"")</f>
        <v>1141.1025297673987</v>
      </c>
      <c r="D2">
        <f>$B$2</f>
        <v>1217.5573388632245</v>
      </c>
      <c r="E2">
        <f>$B$3</f>
        <v>1029.5175965335138</v>
      </c>
      <c r="F2">
        <f>$B$4</f>
        <v>1081.2287215286424</v>
      </c>
      <c r="G2">
        <f>$B$5</f>
        <v>907.03133644117429</v>
      </c>
      <c r="H2">
        <f>$B$6</f>
        <v>1192.3121492095624</v>
      </c>
      <c r="I2">
        <f>$B$7</f>
        <v>1156.7205039890414</v>
      </c>
      <c r="J2">
        <f>$B$8</f>
        <v>1215.996181687143</v>
      </c>
      <c r="K2">
        <f>$B$9</f>
        <v>1221.3489842732085</v>
      </c>
      <c r="L2">
        <f>$B$10</f>
        <v>1217.9015417269482</v>
      </c>
      <c r="M2">
        <f>$B$11</f>
        <v>862.22294373677494</v>
      </c>
      <c r="N2">
        <f>$B$12</f>
        <v>944.39454678356583</v>
      </c>
      <c r="O2">
        <f>$B$13</f>
        <v>1087.5488947064855</v>
      </c>
      <c r="P2">
        <f>$B$14</f>
        <v>1023.2192605207141</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1091.6603007389642</v>
      </c>
    </row>
    <row r="4" spans="1:17" ht="15" customHeight="1" x14ac:dyDescent="0.2">
      <c r="A4" t="s">
        <v>17</v>
      </c>
      <c r="B4">
        <f>IF(COUNTIF('Match Log'!$D$4:$D$1510,$A4)=0,'Guide &amp; Settings'!$C$41,IFERROR(LOOKUP(2,1/('Match Log'!$D$4:$D$1510=$A4),'Match Log'!$N$4:$N$1510),'Guide &amp; Settings'!$C$41))</f>
        <v>1081.2287215286424</v>
      </c>
      <c r="C4">
        <f>IFERROR(SUMPRODUCT(INDEX('Head-to-Head'!$B$22:$O$35,3,0),$D$2:$Q$2)/SUM(INDEX('Head-to-Head'!$B$22:$O$35,3,0)),"")</f>
        <v>1137.4276677442306</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1160.7770929859353</v>
      </c>
    </row>
    <row r="6" spans="1:17" ht="15" customHeight="1" x14ac:dyDescent="0.2">
      <c r="A6" t="s">
        <v>19</v>
      </c>
      <c r="B6">
        <f>IF(COUNTIF('Match Log'!$D$4:$D$1510,$A6)=0,'Guide &amp; Settings'!$C$41,IFERROR(LOOKUP(2,1/('Match Log'!$D$4:$D$1510=$A6),'Match Log'!$N$4:$N$1510),'Guide &amp; Settings'!$C$41))</f>
        <v>1192.3121492095624</v>
      </c>
      <c r="C6">
        <f>IFERROR(SUMPRODUCT(INDEX('Head-to-Head'!$B$22:$O$35,5,0),$D$2:$Q$2)/SUM(INDEX('Head-to-Head'!$B$22:$O$35,5,0)),"")</f>
        <v>1139.8905869641942</v>
      </c>
    </row>
    <row r="7" spans="1:17" ht="15" customHeight="1" x14ac:dyDescent="0.2">
      <c r="A7" t="s">
        <v>20</v>
      </c>
      <c r="B7">
        <f>IF(COUNTIF('Match Log'!$D$4:$D$1510,$A7)=0,'Guide &amp; Settings'!$C$41,IFERROR(LOOKUP(2,1/('Match Log'!$D$4:$D$1510=$A7),'Match Log'!$N$4:$N$1510),'Guide &amp; Settings'!$C$41))</f>
        <v>1156.7205039890414</v>
      </c>
      <c r="C7">
        <f>IFERROR(SUMPRODUCT(INDEX('Head-to-Head'!$B$22:$O$35,6,0),$D$2:$Q$2)/SUM(INDEX('Head-to-Head'!$B$22:$O$35,6,0)),"")</f>
        <v>1149.597475959707</v>
      </c>
    </row>
    <row r="8" spans="1:17" ht="15" customHeight="1" x14ac:dyDescent="0.2">
      <c r="A8" t="s">
        <v>21</v>
      </c>
      <c r="B8">
        <f>IF(COUNTIF('Match Log'!$D$4:$D$1510,$A8)=0,'Guide &amp; Settings'!$C$41,IFERROR(LOOKUP(2,1/('Match Log'!$D$4:$D$1510=$A8),'Match Log'!$N$4:$N$1510),'Guide &amp; Settings'!$C$41))</f>
        <v>1215.996181687143</v>
      </c>
      <c r="C8">
        <f>IFERROR(SUMPRODUCT(INDEX('Head-to-Head'!$B$22:$O$35,7,0),$D$2:$Q$2)/SUM(INDEX('Head-to-Head'!$B$22:$O$35,7,0)),"")</f>
        <v>1068.2185956896708</v>
      </c>
    </row>
    <row r="9" spans="1:17" ht="15" customHeight="1" x14ac:dyDescent="0.2">
      <c r="A9" t="s">
        <v>22</v>
      </c>
      <c r="B9">
        <f>IF(COUNTIF('Match Log'!$D$4:$D$1510,$A9)=0,'Guide &amp; Settings'!$C$41,IFERROR(LOOKUP(2,1/('Match Log'!$D$4:$D$1510=$A9),'Match Log'!$N$4:$N$1510),'Guide &amp; Settings'!$C$41))</f>
        <v>1221.3489842732085</v>
      </c>
      <c r="C9">
        <f>IFERROR(SUMPRODUCT(INDEX('Head-to-Head'!$B$22:$O$35,8,0),$D$2:$Q$2)/SUM(INDEX('Head-to-Head'!$B$22:$O$35,8,0)),"")</f>
        <v>1142.5891000464189</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1138.3708635308883</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1118.8781367522934</v>
      </c>
    </row>
    <row r="12" spans="1:17" ht="15" customHeight="1" x14ac:dyDescent="0.2">
      <c r="A12" t="s">
        <v>25</v>
      </c>
      <c r="B12">
        <f>IF(COUNTIF('Match Log'!$D$4:$D$1510,$A12)=0,'Guide &amp; Settings'!$C$41,IFERROR(LOOKUP(2,1/('Match Log'!$D$4:$D$1510=$A12),'Match Log'!$N$4:$N$1510),'Guide &amp; Settings'!$C$41))</f>
        <v>944.39454678356583</v>
      </c>
      <c r="C12">
        <f>IFERROR(SUMPRODUCT(INDEX('Head-to-Head'!$B$22:$O$35,11,0),$D$2:$Q$2)/SUM(INDEX('Head-to-Head'!$B$22:$O$35,11,0)),"")</f>
        <v>1163.4049423395463</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1078.2699087020494</v>
      </c>
    </row>
    <row r="14" spans="1:17" ht="15" customHeight="1" x14ac:dyDescent="0.2">
      <c r="A14" t="s">
        <v>27</v>
      </c>
      <c r="B14">
        <f>IF(COUNTIF('Match Log'!$D$4:$D$1510,$A14)=0,'Guide &amp; Settings'!$C$41,IFERROR(LOOKUP(2,1/('Match Log'!$D$4:$D$1510=$A14),'Match Log'!$N$4:$N$1510),'Guide &amp; Settings'!$C$41))</f>
        <v>1023.2192605207141</v>
      </c>
      <c r="C14">
        <f>IFERROR(SUMPRODUCT(INDEX('Head-to-Head'!$B$22:$O$35,13,0),$D$2:$Q$2)/SUM(INDEX('Head-to-Head'!$B$22:$O$35,13,0)),"")</f>
        <v>1114.4782830003082</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2026-09-25T05:37:28Z</dcterms:modified>
  <dc:language>en-US</dc:language>
</cp:coreProperties>
</file>