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5AA7E310-B402-8541-9D4C-34953DFE461A}"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H505" i="13" s="1" a="1"/>
  <c r="H505" i="13" s="1"/>
  <c r="E506" i="13"/>
  <c r="H506" i="13" s="1" a="1"/>
  <c r="H506" i="13" s="1"/>
  <c r="E507" i="13"/>
  <c r="H507" i="13" s="1" a="1"/>
  <c r="H507" i="13" s="1"/>
  <c r="E508" i="13"/>
  <c r="H508" i="13" s="1" a="1"/>
  <c r="H508" i="13" s="1"/>
  <c r="E509" i="13"/>
  <c r="H509" i="13" s="1" a="1"/>
  <c r="H509" i="13" s="1"/>
  <c r="E510" i="13"/>
  <c r="H510" i="13" s="1" a="1"/>
  <c r="H510" i="13" s="1"/>
  <c r="E511" i="13"/>
  <c r="H511" i="13" s="1" a="1"/>
  <c r="H511" i="13" s="1"/>
  <c r="E512" i="13"/>
  <c r="H512" i="13" s="1" a="1"/>
  <c r="H512" i="13" s="1"/>
  <c r="E513" i="13"/>
  <c r="H513" i="13" s="1" a="1"/>
  <c r="H513" i="13" s="1"/>
  <c r="E514" i="13"/>
  <c r="H514" i="13" s="1" a="1"/>
  <c r="H514" i="13" s="1"/>
  <c r="E515" i="13"/>
  <c r="H515" i="13" s="1" a="1"/>
  <c r="H515" i="13" s="1"/>
  <c r="E516" i="13"/>
  <c r="H516" i="13" s="1" a="1"/>
  <c r="H516" i="13" s="1"/>
  <c r="E517" i="13"/>
  <c r="H517" i="13" s="1" a="1"/>
  <c r="H517" i="13" s="1"/>
  <c r="E518" i="13"/>
  <c r="H518" i="13" s="1" a="1"/>
  <c r="H518" i="13" s="1"/>
  <c r="E519" i="13"/>
  <c r="H519" i="13" s="1" a="1"/>
  <c r="H519" i="13" s="1"/>
  <c r="E520" i="13"/>
  <c r="H520" i="13" s="1" a="1"/>
  <c r="H520" i="13" s="1"/>
  <c r="E521" i="13"/>
  <c r="H521" i="13" s="1" a="1"/>
  <c r="H521" i="13" s="1"/>
  <c r="E522" i="13"/>
  <c r="H522" i="13" s="1" a="1"/>
  <c r="H522" i="13" s="1"/>
  <c r="E523" i="13"/>
  <c r="H523" i="13" s="1" a="1"/>
  <c r="H523" i="13" s="1"/>
  <c r="E524" i="13"/>
  <c r="H524" i="13" s="1" a="1"/>
  <c r="H524" i="13" s="1"/>
  <c r="E525" i="13"/>
  <c r="H525" i="13" s="1" a="1"/>
  <c r="H525" i="13" s="1"/>
  <c r="E526" i="13"/>
  <c r="H526" i="13" s="1" a="1"/>
  <c r="H526" i="13" s="1"/>
  <c r="E527" i="13"/>
  <c r="H527" i="13" s="1" a="1"/>
  <c r="H527" i="13" s="1"/>
  <c r="E528" i="13"/>
  <c r="H528" i="13" s="1" a="1"/>
  <c r="H528" i="13" s="1"/>
  <c r="E529" i="13"/>
  <c r="H529" i="13" s="1" a="1"/>
  <c r="H529" i="13" s="1"/>
  <c r="E530" i="13"/>
  <c r="H530" i="13" s="1" a="1"/>
  <c r="H530" i="13" s="1"/>
  <c r="E531" i="13"/>
  <c r="H531" i="13" s="1" a="1"/>
  <c r="H531" i="13" s="1"/>
  <c r="E532" i="13"/>
  <c r="H532" i="13" s="1" a="1"/>
  <c r="H532" i="13" s="1"/>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H546" i="13" s="1" a="1"/>
  <c r="H546" i="13" s="1"/>
  <c r="E547" i="13"/>
  <c r="H547" i="13" s="1" a="1"/>
  <c r="H547" i="13" s="1"/>
  <c r="E548" i="13"/>
  <c r="H548" i="13" s="1" a="1"/>
  <c r="H548" i="13" s="1"/>
  <c r="E549" i="13"/>
  <c r="H549" i="13" s="1" a="1"/>
  <c r="H549" i="13" s="1"/>
  <c r="E550" i="13"/>
  <c r="H550" i="13" s="1" a="1"/>
  <c r="H550" i="13" s="1"/>
  <c r="E551" i="13"/>
  <c r="H551" i="13" s="1" a="1"/>
  <c r="H551" i="13" s="1"/>
  <c r="E552" i="13"/>
  <c r="H552" i="13" s="1" a="1"/>
  <c r="H552" i="13" s="1"/>
  <c r="E553" i="13"/>
  <c r="H553" i="13" s="1" a="1"/>
  <c r="H553" i="13" s="1"/>
  <c r="E554" i="13"/>
  <c r="H554" i="13" s="1" a="1"/>
  <c r="H554" i="13" s="1"/>
  <c r="E555" i="13"/>
  <c r="H555" i="13" s="1" a="1"/>
  <c r="H555" i="13" s="1"/>
  <c r="E556" i="13"/>
  <c r="H556" i="13" s="1" a="1"/>
  <c r="H556" i="13" s="1"/>
  <c r="E557" i="13"/>
  <c r="H557" i="13" s="1" a="1"/>
  <c r="H557" i="13" s="1"/>
  <c r="E558" i="13"/>
  <c r="H558" i="13" s="1" a="1"/>
  <c r="H558" i="13" s="1"/>
  <c r="E559" i="13"/>
  <c r="H559" i="13" s="1" a="1"/>
  <c r="H559" i="13" s="1"/>
  <c r="E560" i="13"/>
  <c r="H560" i="13" s="1" a="1"/>
  <c r="H560" i="13" s="1"/>
  <c r="E561" i="13"/>
  <c r="H561" i="13" s="1" a="1"/>
  <c r="H561" i="13" s="1"/>
  <c r="E562" i="13"/>
  <c r="H562" i="13" s="1" a="1"/>
  <c r="H562" i="13" s="1"/>
  <c r="E563" i="13"/>
  <c r="E564" i="13"/>
  <c r="H564" i="13" s="1" a="1"/>
  <c r="H564" i="13" s="1"/>
  <c r="E565" i="13"/>
  <c r="H565" i="13" s="1" a="1"/>
  <c r="H565" i="13" s="1"/>
  <c r="E566" i="13"/>
  <c r="H566" i="13" s="1" a="1"/>
  <c r="H566" i="13" s="1"/>
  <c r="E567" i="13"/>
  <c r="H567" i="13" s="1" a="1"/>
  <c r="H567" i="13" s="1"/>
  <c r="E568" i="13"/>
  <c r="H568" i="13" s="1" a="1"/>
  <c r="H568" i="13" s="1"/>
  <c r="E569" i="13"/>
  <c r="H569" i="13" s="1" a="1"/>
  <c r="H569" i="13" s="1"/>
  <c r="E570" i="13"/>
  <c r="H570" i="13" s="1" a="1"/>
  <c r="H570" i="13" s="1"/>
  <c r="E571" i="13"/>
  <c r="H571" i="13" s="1" a="1"/>
  <c r="H571" i="13" s="1"/>
  <c r="E572" i="13"/>
  <c r="H572" i="13" s="1" a="1"/>
  <c r="H572" i="13" s="1"/>
  <c r="E573" i="13"/>
  <c r="H573" i="13" s="1" a="1"/>
  <c r="H573" i="13" s="1"/>
  <c r="E574" i="13"/>
  <c r="H574" i="13" s="1" a="1"/>
  <c r="H574" i="13" s="1"/>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H628" i="13" s="1" a="1"/>
  <c r="H628" i="13" s="1"/>
  <c r="E629" i="13"/>
  <c r="H629" i="13" s="1" a="1"/>
  <c r="H629" i="13" s="1"/>
  <c r="E630" i="13"/>
  <c r="H630" i="13" s="1" a="1"/>
  <c r="H630" i="13" s="1"/>
  <c r="E631" i="13"/>
  <c r="H631" i="13" s="1" a="1"/>
  <c r="H631" i="13" s="1"/>
  <c r="E632" i="13"/>
  <c r="H632" i="13" s="1" a="1"/>
  <c r="H632" i="13" s="1"/>
  <c r="E633" i="13"/>
  <c r="H633" i="13" s="1" a="1"/>
  <c r="H633" i="13" s="1"/>
  <c r="E634" i="13"/>
  <c r="H634" i="13" s="1" a="1"/>
  <c r="H634" i="13" s="1"/>
  <c r="E635" i="13"/>
  <c r="E636" i="13"/>
  <c r="E637" i="13"/>
  <c r="H637" i="13" s="1" a="1"/>
  <c r="H637" i="13" s="1"/>
  <c r="E638" i="13"/>
  <c r="H638" i="13" s="1" a="1"/>
  <c r="H638" i="13" s="1"/>
  <c r="E639" i="13"/>
  <c r="H639" i="13" s="1" a="1"/>
  <c r="H639" i="13" s="1"/>
  <c r="E640" i="13"/>
  <c r="H640" i="13" s="1" a="1"/>
  <c r="H640" i="13" s="1"/>
  <c r="E641" i="13"/>
  <c r="H641" i="13" s="1" a="1"/>
  <c r="H641" i="13" s="1"/>
  <c r="E642" i="13"/>
  <c r="H642" i="13" s="1" a="1"/>
  <c r="H642" i="13" s="1"/>
  <c r="E643" i="13"/>
  <c r="H643" i="13" s="1" a="1"/>
  <c r="H643" i="13" s="1"/>
  <c r="E644" i="13"/>
  <c r="H644" i="13" s="1" a="1"/>
  <c r="H644" i="13" s="1"/>
  <c r="E645" i="13"/>
  <c r="H645" i="13" s="1" a="1"/>
  <c r="H645" i="13" s="1"/>
  <c r="E646" i="13"/>
  <c r="H646" i="13" s="1" a="1"/>
  <c r="H646" i="13" s="1"/>
  <c r="E647" i="13"/>
  <c r="H647" i="13" s="1" a="1"/>
  <c r="H647" i="13" s="1"/>
  <c r="E648" i="13"/>
  <c r="H648" i="13" s="1" a="1"/>
  <c r="H648" i="13" s="1"/>
  <c r="E649" i="13"/>
  <c r="H649" i="13" s="1" a="1"/>
  <c r="H649" i="13" s="1"/>
  <c r="E650" i="13"/>
  <c r="H650" i="13" s="1" a="1"/>
  <c r="H650" i="13" s="1"/>
  <c r="E651" i="13"/>
  <c r="H651" i="13" s="1" a="1"/>
  <c r="H651" i="13" s="1"/>
  <c r="E652" i="13"/>
  <c r="E653" i="13"/>
  <c r="H653" i="13" s="1" a="1"/>
  <c r="H653" i="13" s="1"/>
  <c r="E654" i="13"/>
  <c r="H654" i="13" s="1" a="1"/>
  <c r="H654" i="13" s="1"/>
  <c r="E655" i="13"/>
  <c r="H655" i="13" s="1" a="1"/>
  <c r="H655" i="13" s="1"/>
  <c r="E656" i="13"/>
  <c r="H656" i="13" s="1" a="1"/>
  <c r="H656" i="13" s="1"/>
  <c r="E657" i="13"/>
  <c r="H657" i="13" s="1" a="1"/>
  <c r="H657" i="13" s="1"/>
  <c r="E658" i="13"/>
  <c r="H658" i="13" s="1" a="1"/>
  <c r="H658" i="13" s="1"/>
  <c r="E659" i="13"/>
  <c r="E660" i="13"/>
  <c r="H660" i="13" s="1" a="1"/>
  <c r="H660" i="13" s="1"/>
  <c r="E661" i="13"/>
  <c r="H661" i="13" s="1" a="1"/>
  <c r="H661" i="13" s="1"/>
  <c r="E662" i="13"/>
  <c r="H662" i="13" s="1" a="1"/>
  <c r="H662" i="13" s="1"/>
  <c r="E663" i="13"/>
  <c r="H663" i="13" s="1" a="1"/>
  <c r="H663" i="13" s="1"/>
  <c r="E664" i="13"/>
  <c r="H664" i="13" s="1" a="1"/>
  <c r="H664" i="13" s="1"/>
  <c r="E665" i="13"/>
  <c r="H665" i="13" s="1" a="1"/>
  <c r="H665" i="13" s="1"/>
  <c r="E666" i="13"/>
  <c r="H666" i="13" s="1" a="1"/>
  <c r="H666" i="13" s="1"/>
  <c r="E667" i="13"/>
  <c r="E668" i="13"/>
  <c r="E669" i="13"/>
  <c r="H669" i="13" s="1" a="1"/>
  <c r="H669" i="13" s="1"/>
  <c r="E670" i="13"/>
  <c r="E671" i="13"/>
  <c r="H671" i="13" s="1" a="1"/>
  <c r="H671" i="13" s="1"/>
  <c r="E672" i="13"/>
  <c r="H672" i="13" s="1" a="1"/>
  <c r="H672" i="13" s="1"/>
  <c r="E673" i="13"/>
  <c r="H673" i="13" s="1" a="1"/>
  <c r="H673" i="13" s="1"/>
  <c r="E674" i="13"/>
  <c r="H674" i="13" s="1" a="1"/>
  <c r="H674" i="13" s="1"/>
  <c r="E675" i="13"/>
  <c r="H675" i="13" s="1" a="1"/>
  <c r="H675" i="13" s="1"/>
  <c r="E676" i="13"/>
  <c r="H676" i="13" s="1" a="1"/>
  <c r="H676" i="13" s="1"/>
  <c r="E677" i="13"/>
  <c r="E678" i="13"/>
  <c r="H678" i="13" s="1" a="1"/>
  <c r="H678" i="13" s="1"/>
  <c r="E679" i="13"/>
  <c r="H679" i="13" s="1" a="1"/>
  <c r="H679" i="13" s="1"/>
  <c r="E680" i="13"/>
  <c r="H680" i="13" s="1" a="1"/>
  <c r="H680" i="13" s="1"/>
  <c r="E681" i="13"/>
  <c r="H681" i="13" s="1" a="1"/>
  <c r="H681" i="13" s="1"/>
  <c r="E682" i="13"/>
  <c r="H682" i="13" s="1" a="1"/>
  <c r="H682" i="13" s="1"/>
  <c r="E683" i="13"/>
  <c r="H683" i="13" s="1" a="1"/>
  <c r="H683" i="13" s="1"/>
  <c r="E684" i="13"/>
  <c r="E685" i="13"/>
  <c r="E686" i="13"/>
  <c r="H686" i="13" s="1" a="1"/>
  <c r="H686" i="13" s="1"/>
  <c r="E687" i="13"/>
  <c r="H687" i="13" s="1" a="1"/>
  <c r="H687" i="13" s="1"/>
  <c r="E688" i="13"/>
  <c r="H688" i="13" s="1" a="1"/>
  <c r="H688" i="13" s="1"/>
  <c r="E689" i="13"/>
  <c r="H689" i="13" s="1" a="1"/>
  <c r="H689" i="13" s="1"/>
  <c r="E690" i="13"/>
  <c r="H690" i="13" s="1" a="1"/>
  <c r="H690" i="13" s="1"/>
  <c r="E691" i="13"/>
  <c r="E692" i="13"/>
  <c r="H692" i="13" s="1" a="1"/>
  <c r="H692" i="13" s="1"/>
  <c r="E693" i="13"/>
  <c r="H693" i="13" s="1" a="1"/>
  <c r="H693" i="13" s="1"/>
  <c r="E694" i="13"/>
  <c r="H694" i="13" s="1" a="1"/>
  <c r="H694" i="13" s="1"/>
  <c r="E695" i="13"/>
  <c r="H695" i="13" s="1" a="1"/>
  <c r="H695" i="13" s="1"/>
  <c r="E696" i="13"/>
  <c r="H696" i="13" s="1" a="1"/>
  <c r="H696" i="13" s="1"/>
  <c r="E697" i="13"/>
  <c r="H697" i="13" s="1" a="1"/>
  <c r="H697" i="13" s="1"/>
  <c r="E698" i="13"/>
  <c r="H698" i="13" s="1" a="1"/>
  <c r="H698" i="13" s="1"/>
  <c r="E699" i="13"/>
  <c r="H699" i="13" s="1" a="1"/>
  <c r="H699" i="13" s="1"/>
  <c r="E700" i="13"/>
  <c r="E701" i="13"/>
  <c r="H701" i="13" s="1" a="1"/>
  <c r="H701" i="13" s="1"/>
  <c r="E702" i="13"/>
  <c r="H702" i="13" s="1" a="1"/>
  <c r="H702" i="13" s="1"/>
  <c r="E703" i="13"/>
  <c r="E704" i="13"/>
  <c r="H704" i="13" s="1" a="1"/>
  <c r="H704" i="13" s="1"/>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K505" i="13"/>
  <c r="L505" i="13"/>
  <c r="M505" i="13"/>
  <c r="N505" i="13"/>
  <c r="O505" i="13"/>
  <c r="P505" i="13"/>
  <c r="Q505" i="13"/>
  <c r="R505" i="13"/>
  <c r="S505" i="13"/>
  <c r="T505" i="13"/>
  <c r="U505" i="13"/>
  <c r="V505" i="13"/>
  <c r="W505" i="13"/>
  <c r="X505" i="13"/>
  <c r="D506" i="13" a="1"/>
  <c r="D506" i="13" s="1"/>
  <c r="G506" i="13" s="1"/>
  <c r="I506" i="13" s="1"/>
  <c r="K506" i="13"/>
  <c r="L506" i="13"/>
  <c r="M506" i="13"/>
  <c r="N506" i="13"/>
  <c r="O506" i="13"/>
  <c r="P506" i="13"/>
  <c r="Q506" i="13"/>
  <c r="R506" i="13"/>
  <c r="S506" i="13"/>
  <c r="T506" i="13"/>
  <c r="U506" i="13"/>
  <c r="V506" i="13"/>
  <c r="W506" i="13"/>
  <c r="X506" i="13"/>
  <c r="D507" i="13" a="1"/>
  <c r="D507" i="13" s="1"/>
  <c r="G507" i="13" s="1"/>
  <c r="I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K511" i="13"/>
  <c r="L511" i="13"/>
  <c r="M511" i="13"/>
  <c r="N511" i="13"/>
  <c r="O511" i="13"/>
  <c r="P511" i="13"/>
  <c r="Q511" i="13"/>
  <c r="R511" i="13"/>
  <c r="S511" i="13"/>
  <c r="T511" i="13"/>
  <c r="U511" i="13"/>
  <c r="V511" i="13"/>
  <c r="W511" i="13"/>
  <c r="X511" i="13"/>
  <c r="D512" i="13" a="1"/>
  <c r="D512" i="13" s="1"/>
  <c r="G512" i="13" s="1"/>
  <c r="I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K523" i="13"/>
  <c r="L523" i="13"/>
  <c r="M523" i="13"/>
  <c r="N523" i="13"/>
  <c r="O523" i="13"/>
  <c r="P523" i="13"/>
  <c r="Q523" i="13"/>
  <c r="R523" i="13"/>
  <c r="S523" i="13"/>
  <c r="T523" i="13"/>
  <c r="U523" i="13"/>
  <c r="V523" i="13"/>
  <c r="W523" i="13"/>
  <c r="X523" i="13"/>
  <c r="D524" i="13" a="1"/>
  <c r="D524" i="13" s="1"/>
  <c r="G524" i="13" s="1"/>
  <c r="I524" i="13" s="1"/>
  <c r="K524" i="13"/>
  <c r="L524" i="13"/>
  <c r="M524" i="13"/>
  <c r="N524" i="13"/>
  <c r="O524" i="13"/>
  <c r="P524" i="13"/>
  <c r="Q524" i="13"/>
  <c r="R524" i="13"/>
  <c r="S524" i="13"/>
  <c r="T524" i="13"/>
  <c r="U524" i="13"/>
  <c r="V524" i="13"/>
  <c r="W524" i="13"/>
  <c r="X524" i="13"/>
  <c r="D525" i="13" a="1"/>
  <c r="D525" i="13" s="1"/>
  <c r="G525" i="13" s="1"/>
  <c r="I525" i="13" s="1"/>
  <c r="K525" i="13"/>
  <c r="L525" i="13"/>
  <c r="M525" i="13"/>
  <c r="N525" i="13"/>
  <c r="O525" i="13"/>
  <c r="P525" i="13"/>
  <c r="Q525" i="13"/>
  <c r="R525" i="13"/>
  <c r="S525" i="13"/>
  <c r="T525" i="13"/>
  <c r="U525" i="13"/>
  <c r="V525" i="13"/>
  <c r="W525" i="13"/>
  <c r="X525" i="13"/>
  <c r="D526" i="13" a="1"/>
  <c r="D526" i="13" s="1"/>
  <c r="G526" i="13" s="1"/>
  <c r="I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K546" i="13"/>
  <c r="L546" i="13"/>
  <c r="M546" i="13"/>
  <c r="N546" i="13"/>
  <c r="O546" i="13"/>
  <c r="P546" i="13"/>
  <c r="Q546" i="13"/>
  <c r="R546" i="13"/>
  <c r="S546" i="13"/>
  <c r="T546" i="13"/>
  <c r="U546" i="13"/>
  <c r="V546" i="13"/>
  <c r="W546" i="13"/>
  <c r="X546" i="13"/>
  <c r="D547" i="13" a="1"/>
  <c r="D547" i="13" s="1"/>
  <c r="G547" i="13" s="1"/>
  <c r="I547" i="13" s="1"/>
  <c r="K547" i="13"/>
  <c r="L547" i="13"/>
  <c r="M547" i="13"/>
  <c r="N547" i="13"/>
  <c r="O547" i="13"/>
  <c r="P547" i="13"/>
  <c r="Q547" i="13"/>
  <c r="R547" i="13"/>
  <c r="S547" i="13"/>
  <c r="T547" i="13"/>
  <c r="U547" i="13"/>
  <c r="V547" i="13"/>
  <c r="W547" i="13"/>
  <c r="X547" i="13"/>
  <c r="D548" i="13" a="1"/>
  <c r="D548" i="13" s="1"/>
  <c r="G548" i="13" s="1"/>
  <c r="I548" i="13" s="1"/>
  <c r="K548" i="13"/>
  <c r="L548" i="13"/>
  <c r="M548" i="13"/>
  <c r="N548" i="13"/>
  <c r="O548" i="13"/>
  <c r="P548" i="13"/>
  <c r="Q548" i="13"/>
  <c r="R548" i="13"/>
  <c r="S548" i="13"/>
  <c r="T548" i="13"/>
  <c r="U548" i="13"/>
  <c r="V548" i="13"/>
  <c r="W548" i="13"/>
  <c r="X548" i="13"/>
  <c r="D549" i="13" a="1"/>
  <c r="D549" i="13" s="1"/>
  <c r="G549" i="13" s="1"/>
  <c r="I549" i="13" s="1"/>
  <c r="K549" i="13"/>
  <c r="L549" i="13"/>
  <c r="M549" i="13"/>
  <c r="N549" i="13"/>
  <c r="O549" i="13"/>
  <c r="P549" i="13"/>
  <c r="Q549" i="13"/>
  <c r="R549" i="13"/>
  <c r="S549" i="13"/>
  <c r="T549" i="13"/>
  <c r="U549" i="13"/>
  <c r="V549" i="13"/>
  <c r="W549" i="13"/>
  <c r="X549" i="13"/>
  <c r="D550" i="13" a="1"/>
  <c r="D550" i="13" s="1"/>
  <c r="G550" i="13" s="1"/>
  <c r="I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K553" i="13"/>
  <c r="L553" i="13"/>
  <c r="M553" i="13"/>
  <c r="N553" i="13"/>
  <c r="O553" i="13"/>
  <c r="P553" i="13"/>
  <c r="Q553" i="13"/>
  <c r="R553" i="13"/>
  <c r="S553" i="13"/>
  <c r="T553" i="13"/>
  <c r="U553" i="13"/>
  <c r="V553" i="13"/>
  <c r="W553" i="13"/>
  <c r="X553" i="13"/>
  <c r="D554" i="13" a="1"/>
  <c r="D554" i="13" s="1"/>
  <c r="G554" i="13" s="1"/>
  <c r="I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K558" i="13"/>
  <c r="L558" i="13"/>
  <c r="M558" i="13"/>
  <c r="N558" i="13"/>
  <c r="O558" i="13"/>
  <c r="P558" i="13"/>
  <c r="Q558" i="13"/>
  <c r="R558" i="13"/>
  <c r="S558" i="13"/>
  <c r="T558" i="13"/>
  <c r="U558" i="13"/>
  <c r="V558" i="13"/>
  <c r="W558" i="13"/>
  <c r="X558" i="13"/>
  <c r="D559" i="13" a="1"/>
  <c r="D559" i="13" s="1"/>
  <c r="G559" i="13" s="1"/>
  <c r="I559" i="13" s="1"/>
  <c r="K559" i="13"/>
  <c r="L559" i="13"/>
  <c r="M559" i="13"/>
  <c r="N559" i="13"/>
  <c r="O559" i="13"/>
  <c r="P559" i="13"/>
  <c r="Q559" i="13"/>
  <c r="R559" i="13"/>
  <c r="S559" i="13"/>
  <c r="T559" i="13"/>
  <c r="U559" i="13"/>
  <c r="V559" i="13"/>
  <c r="W559" i="13"/>
  <c r="X559" i="13"/>
  <c r="D560" i="13" a="1"/>
  <c r="D560" i="13" s="1"/>
  <c r="G560" i="13" s="1"/>
  <c r="I560" i="13" s="1"/>
  <c r="K560" i="13"/>
  <c r="L560" i="13"/>
  <c r="M560" i="13"/>
  <c r="N560" i="13"/>
  <c r="O560" i="13"/>
  <c r="P560" i="13"/>
  <c r="Q560" i="13"/>
  <c r="R560" i="13"/>
  <c r="S560" i="13"/>
  <c r="T560" i="13"/>
  <c r="U560" i="13"/>
  <c r="V560" i="13"/>
  <c r="W560" i="13"/>
  <c r="X560" i="13"/>
  <c r="D561" i="13" a="1"/>
  <c r="D561" i="13" s="1"/>
  <c r="G561" i="13" s="1"/>
  <c r="I561" i="13" s="1"/>
  <c r="K561" i="13"/>
  <c r="L561" i="13"/>
  <c r="M561" i="13"/>
  <c r="N561" i="13"/>
  <c r="O561" i="13"/>
  <c r="P561" i="13"/>
  <c r="Q561" i="13"/>
  <c r="R561" i="13"/>
  <c r="S561" i="13"/>
  <c r="T561" i="13"/>
  <c r="U561" i="13"/>
  <c r="V561" i="13"/>
  <c r="W561" i="13"/>
  <c r="X561" i="13"/>
  <c r="D562" i="13" a="1"/>
  <c r="D562" i="13" s="1"/>
  <c r="G562" i="13" s="1"/>
  <c r="I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K564" i="13"/>
  <c r="L564" i="13"/>
  <c r="M564" i="13"/>
  <c r="N564" i="13"/>
  <c r="O564" i="13"/>
  <c r="P564" i="13"/>
  <c r="Q564" i="13"/>
  <c r="R564" i="13"/>
  <c r="S564" i="13"/>
  <c r="T564" i="13"/>
  <c r="U564" i="13"/>
  <c r="V564" i="13"/>
  <c r="W564" i="13"/>
  <c r="X564" i="13"/>
  <c r="D565" i="13" a="1"/>
  <c r="D565" i="13" s="1"/>
  <c r="G565" i="13" s="1"/>
  <c r="I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K569" i="13"/>
  <c r="L569" i="13"/>
  <c r="M569" i="13"/>
  <c r="N569" i="13"/>
  <c r="O569" i="13"/>
  <c r="P569" i="13"/>
  <c r="Q569" i="13"/>
  <c r="R569" i="13"/>
  <c r="S569" i="13"/>
  <c r="T569" i="13"/>
  <c r="U569" i="13"/>
  <c r="V569" i="13"/>
  <c r="W569" i="13"/>
  <c r="X569" i="13"/>
  <c r="D570" i="13" a="1"/>
  <c r="D570" i="13" s="1"/>
  <c r="G570" i="13" s="1"/>
  <c r="I570" i="13" s="1"/>
  <c r="K570" i="13"/>
  <c r="L570" i="13"/>
  <c r="M570" i="13"/>
  <c r="N570" i="13"/>
  <c r="O570" i="13"/>
  <c r="P570" i="13"/>
  <c r="Q570" i="13"/>
  <c r="R570" i="13"/>
  <c r="S570" i="13"/>
  <c r="T570" i="13"/>
  <c r="U570" i="13"/>
  <c r="V570" i="13"/>
  <c r="W570" i="13"/>
  <c r="X570" i="13"/>
  <c r="D571" i="13" a="1"/>
  <c r="D571" i="13" s="1"/>
  <c r="G571" i="13" s="1"/>
  <c r="I571" i="13" s="1"/>
  <c r="K571" i="13"/>
  <c r="L571" i="13"/>
  <c r="M571" i="13"/>
  <c r="N571" i="13"/>
  <c r="O571" i="13"/>
  <c r="P571" i="13"/>
  <c r="Q571" i="13"/>
  <c r="R571" i="13"/>
  <c r="S571" i="13"/>
  <c r="T571" i="13"/>
  <c r="U571" i="13"/>
  <c r="V571" i="13"/>
  <c r="W571" i="13"/>
  <c r="X571" i="13"/>
  <c r="D572" i="13" a="1"/>
  <c r="D572" i="13" s="1"/>
  <c r="G572" i="13" s="1"/>
  <c r="I572" i="13" s="1"/>
  <c r="K572" i="13"/>
  <c r="L572" i="13"/>
  <c r="M572" i="13"/>
  <c r="N572" i="13"/>
  <c r="O572" i="13"/>
  <c r="P572" i="13"/>
  <c r="Q572" i="13"/>
  <c r="R572" i="13"/>
  <c r="S572" i="13"/>
  <c r="T572" i="13"/>
  <c r="U572" i="13"/>
  <c r="V572" i="13"/>
  <c r="W572" i="13"/>
  <c r="X572" i="13"/>
  <c r="D573" i="13" a="1"/>
  <c r="D573" i="13" s="1"/>
  <c r="G573" i="13" s="1"/>
  <c r="I573" i="13" s="1"/>
  <c r="K573" i="13"/>
  <c r="L573" i="13"/>
  <c r="M573" i="13"/>
  <c r="N573" i="13"/>
  <c r="O573" i="13"/>
  <c r="P573" i="13"/>
  <c r="Q573" i="13"/>
  <c r="R573" i="13"/>
  <c r="S573" i="13"/>
  <c r="T573" i="13"/>
  <c r="U573" i="13"/>
  <c r="V573" i="13"/>
  <c r="W573" i="13"/>
  <c r="X573" i="13"/>
  <c r="D574" i="13" a="1"/>
  <c r="D574" i="13" s="1"/>
  <c r="G574" i="13" s="1"/>
  <c r="I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K628" i="13"/>
  <c r="L628" i="13"/>
  <c r="M628" i="13"/>
  <c r="N628" i="13"/>
  <c r="O628" i="13"/>
  <c r="P628" i="13"/>
  <c r="Q628" i="13"/>
  <c r="R628" i="13"/>
  <c r="S628" i="13"/>
  <c r="T628" i="13"/>
  <c r="U628" i="13"/>
  <c r="V628" i="13"/>
  <c r="W628" i="13"/>
  <c r="X628" i="13"/>
  <c r="D629" i="13" a="1"/>
  <c r="D629" i="13" s="1"/>
  <c r="G629" i="13" s="1"/>
  <c r="I629" i="13" s="1"/>
  <c r="K629" i="13"/>
  <c r="L629" i="13"/>
  <c r="M629" i="13"/>
  <c r="N629" i="13"/>
  <c r="O629" i="13"/>
  <c r="P629" i="13"/>
  <c r="Q629" i="13"/>
  <c r="R629" i="13"/>
  <c r="S629" i="13"/>
  <c r="T629" i="13"/>
  <c r="U629" i="13"/>
  <c r="V629" i="13"/>
  <c r="W629" i="13"/>
  <c r="X629" i="13"/>
  <c r="D630" i="13" a="1"/>
  <c r="D630" i="13" s="1"/>
  <c r="G630" i="13" s="1"/>
  <c r="I630" i="13" s="1"/>
  <c r="K630" i="13"/>
  <c r="L630" i="13"/>
  <c r="M630" i="13"/>
  <c r="N630" i="13"/>
  <c r="O630" i="13"/>
  <c r="P630" i="13"/>
  <c r="Q630" i="13"/>
  <c r="R630" i="13"/>
  <c r="S630" i="13"/>
  <c r="T630" i="13"/>
  <c r="U630" i="13"/>
  <c r="V630" i="13"/>
  <c r="W630" i="13"/>
  <c r="X630" i="13"/>
  <c r="D631" i="13" a="1"/>
  <c r="D631" i="13" s="1"/>
  <c r="G631" i="13" s="1"/>
  <c r="I631" i="13" s="1"/>
  <c r="K631" i="13"/>
  <c r="L631" i="13"/>
  <c r="M631" i="13"/>
  <c r="N631" i="13"/>
  <c r="O631" i="13"/>
  <c r="P631" i="13"/>
  <c r="Q631" i="13"/>
  <c r="R631" i="13"/>
  <c r="S631" i="13"/>
  <c r="T631" i="13"/>
  <c r="U631" i="13"/>
  <c r="V631" i="13"/>
  <c r="W631" i="13"/>
  <c r="X631" i="13"/>
  <c r="D632" i="13" a="1"/>
  <c r="D632" i="13" s="1"/>
  <c r="G632" i="13" s="1"/>
  <c r="I632" i="13" s="1"/>
  <c r="K632" i="13"/>
  <c r="L632" i="13"/>
  <c r="M632" i="13"/>
  <c r="N632" i="13"/>
  <c r="O632" i="13"/>
  <c r="P632" i="13"/>
  <c r="Q632" i="13"/>
  <c r="R632" i="13"/>
  <c r="S632" i="13"/>
  <c r="T632" i="13"/>
  <c r="U632" i="13"/>
  <c r="V632" i="13"/>
  <c r="W632" i="13"/>
  <c r="X632" i="13"/>
  <c r="D633" i="13" a="1"/>
  <c r="D633" i="13" s="1"/>
  <c r="G633" i="13" s="1"/>
  <c r="I633" i="13" s="1"/>
  <c r="K633" i="13"/>
  <c r="L633" i="13"/>
  <c r="M633" i="13"/>
  <c r="N633" i="13"/>
  <c r="O633" i="13"/>
  <c r="P633" i="13"/>
  <c r="Q633" i="13"/>
  <c r="R633" i="13"/>
  <c r="S633" i="13"/>
  <c r="T633" i="13"/>
  <c r="U633" i="13"/>
  <c r="V633" i="13"/>
  <c r="W633" i="13"/>
  <c r="X633" i="13"/>
  <c r="D634" i="13" a="1"/>
  <c r="D634" i="13" s="1"/>
  <c r="G634" i="13" s="1"/>
  <c r="I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K637" i="13"/>
  <c r="L637" i="13"/>
  <c r="M637" i="13"/>
  <c r="N637" i="13"/>
  <c r="O637" i="13"/>
  <c r="P637" i="13"/>
  <c r="Q637" i="13"/>
  <c r="R637" i="13"/>
  <c r="S637" i="13"/>
  <c r="T637" i="13"/>
  <c r="U637" i="13"/>
  <c r="V637" i="13"/>
  <c r="W637" i="13"/>
  <c r="X637" i="13"/>
  <c r="D638" i="13" a="1"/>
  <c r="D638" i="13" s="1"/>
  <c r="G638" i="13" s="1"/>
  <c r="I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K642" i="13"/>
  <c r="L642" i="13"/>
  <c r="M642" i="13"/>
  <c r="N642" i="13"/>
  <c r="O642" i="13"/>
  <c r="P642" i="13"/>
  <c r="Q642" i="13"/>
  <c r="R642" i="13"/>
  <c r="S642" i="13"/>
  <c r="T642" i="13"/>
  <c r="U642" i="13"/>
  <c r="V642" i="13"/>
  <c r="W642" i="13"/>
  <c r="X642" i="13"/>
  <c r="D643" i="13" a="1"/>
  <c r="D643" i="13" s="1"/>
  <c r="G643" i="13" s="1"/>
  <c r="I643" i="13" s="1"/>
  <c r="K643" i="13"/>
  <c r="L643" i="13"/>
  <c r="M643" i="13"/>
  <c r="N643" i="13"/>
  <c r="O643" i="13"/>
  <c r="P643" i="13"/>
  <c r="Q643" i="13"/>
  <c r="R643" i="13"/>
  <c r="S643" i="13"/>
  <c r="T643" i="13"/>
  <c r="U643" i="13"/>
  <c r="V643" i="13"/>
  <c r="W643" i="13"/>
  <c r="X643" i="13"/>
  <c r="D644" i="13" a="1"/>
  <c r="D644" i="13" s="1"/>
  <c r="G644" i="13" s="1"/>
  <c r="I644" i="13" s="1"/>
  <c r="K644" i="13"/>
  <c r="L644" i="13"/>
  <c r="M644" i="13"/>
  <c r="N644" i="13"/>
  <c r="O644" i="13"/>
  <c r="P644" i="13"/>
  <c r="Q644" i="13"/>
  <c r="R644" i="13"/>
  <c r="S644" i="13"/>
  <c r="T644" i="13"/>
  <c r="U644" i="13"/>
  <c r="V644" i="13"/>
  <c r="W644" i="13"/>
  <c r="X644" i="13"/>
  <c r="D645" i="13" a="1"/>
  <c r="D645" i="13" s="1"/>
  <c r="G645" i="13" s="1"/>
  <c r="I645" i="13" s="1"/>
  <c r="K645" i="13"/>
  <c r="L645" i="13"/>
  <c r="M645" i="13"/>
  <c r="N645" i="13"/>
  <c r="O645" i="13"/>
  <c r="P645" i="13"/>
  <c r="Q645" i="13"/>
  <c r="R645" i="13"/>
  <c r="S645" i="13"/>
  <c r="T645" i="13"/>
  <c r="U645" i="13"/>
  <c r="V645" i="13"/>
  <c r="W645" i="13"/>
  <c r="X645" i="13"/>
  <c r="D646" i="13" a="1"/>
  <c r="D646" i="13" s="1"/>
  <c r="G646" i="13" s="1"/>
  <c r="I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K649" i="13"/>
  <c r="L649" i="13"/>
  <c r="M649" i="13"/>
  <c r="N649" i="13"/>
  <c r="O649" i="13"/>
  <c r="P649" i="13"/>
  <c r="Q649" i="13"/>
  <c r="R649" i="13"/>
  <c r="S649" i="13"/>
  <c r="T649" i="13"/>
  <c r="U649" i="13"/>
  <c r="V649" i="13"/>
  <c r="W649" i="13"/>
  <c r="X649" i="13"/>
  <c r="D650" i="13" a="1"/>
  <c r="D650" i="13" s="1"/>
  <c r="G650" i="13" s="1"/>
  <c r="I650" i="13" s="1"/>
  <c r="K650" i="13"/>
  <c r="L650" i="13"/>
  <c r="M650" i="13"/>
  <c r="N650" i="13"/>
  <c r="O650" i="13"/>
  <c r="P650" i="13"/>
  <c r="Q650" i="13"/>
  <c r="R650" i="13"/>
  <c r="S650" i="13"/>
  <c r="T650" i="13"/>
  <c r="U650" i="13"/>
  <c r="V650" i="13"/>
  <c r="W650" i="13"/>
  <c r="X650" i="13"/>
  <c r="D651" i="13" a="1"/>
  <c r="D651" i="13" s="1"/>
  <c r="G651" i="13" s="1"/>
  <c r="I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K653" i="13"/>
  <c r="L653" i="13"/>
  <c r="M653" i="13"/>
  <c r="N653" i="13"/>
  <c r="O653" i="13"/>
  <c r="P653" i="13"/>
  <c r="Q653" i="13"/>
  <c r="R653" i="13"/>
  <c r="S653" i="13"/>
  <c r="T653" i="13"/>
  <c r="U653" i="13"/>
  <c r="V653" i="13"/>
  <c r="W653" i="13"/>
  <c r="X653" i="13"/>
  <c r="D654" i="13" a="1"/>
  <c r="D654" i="13" s="1"/>
  <c r="G654" i="13" s="1"/>
  <c r="I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K656" i="13"/>
  <c r="L656" i="13"/>
  <c r="M656" i="13"/>
  <c r="N656" i="13"/>
  <c r="O656" i="13"/>
  <c r="P656" i="13"/>
  <c r="Q656" i="13"/>
  <c r="R656" i="13"/>
  <c r="S656" i="13"/>
  <c r="T656" i="13"/>
  <c r="U656" i="13"/>
  <c r="V656" i="13"/>
  <c r="W656" i="13"/>
  <c r="X656" i="13"/>
  <c r="D657" i="13" a="1"/>
  <c r="D657" i="13" s="1"/>
  <c r="G657" i="13" s="1"/>
  <c r="I657" i="13" s="1"/>
  <c r="K657" i="13"/>
  <c r="L657" i="13"/>
  <c r="M657" i="13"/>
  <c r="N657" i="13"/>
  <c r="O657" i="13"/>
  <c r="P657" i="13"/>
  <c r="Q657" i="13"/>
  <c r="R657" i="13"/>
  <c r="S657" i="13"/>
  <c r="T657" i="13"/>
  <c r="U657" i="13"/>
  <c r="V657" i="13"/>
  <c r="W657" i="13"/>
  <c r="X657" i="13"/>
  <c r="D658" i="13" a="1"/>
  <c r="D658" i="13" s="1"/>
  <c r="G658" i="13" s="1"/>
  <c r="I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K665" i="13"/>
  <c r="L665" i="13"/>
  <c r="M665" i="13"/>
  <c r="N665" i="13"/>
  <c r="O665" i="13"/>
  <c r="P665" i="13"/>
  <c r="Q665" i="13"/>
  <c r="R665" i="13"/>
  <c r="S665" i="13"/>
  <c r="T665" i="13"/>
  <c r="U665" i="13"/>
  <c r="V665" i="13"/>
  <c r="W665" i="13"/>
  <c r="X665" i="13"/>
  <c r="D666" i="13" a="1"/>
  <c r="D666" i="13" s="1"/>
  <c r="G666" i="13" s="1"/>
  <c r="I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K671" i="13"/>
  <c r="L671" i="13"/>
  <c r="M671" i="13"/>
  <c r="N671" i="13"/>
  <c r="O671" i="13"/>
  <c r="P671" i="13"/>
  <c r="Q671" i="13"/>
  <c r="R671" i="13"/>
  <c r="S671" i="13"/>
  <c r="T671" i="13"/>
  <c r="U671" i="13"/>
  <c r="V671" i="13"/>
  <c r="W671" i="13"/>
  <c r="X671" i="13"/>
  <c r="D672" i="13" a="1"/>
  <c r="D672" i="13" s="1"/>
  <c r="G672" i="13" s="1"/>
  <c r="I672" i="13" s="1"/>
  <c r="K672" i="13"/>
  <c r="L672" i="13"/>
  <c r="M672" i="13"/>
  <c r="N672" i="13"/>
  <c r="O672" i="13"/>
  <c r="P672" i="13"/>
  <c r="Q672" i="13"/>
  <c r="R672" i="13"/>
  <c r="S672" i="13"/>
  <c r="T672" i="13"/>
  <c r="U672" i="13"/>
  <c r="V672" i="13"/>
  <c r="W672" i="13"/>
  <c r="X672" i="13"/>
  <c r="D673" i="13" a="1"/>
  <c r="D673" i="13" s="1"/>
  <c r="G673" i="13" s="1"/>
  <c r="I673" i="13" s="1"/>
  <c r="K673" i="13"/>
  <c r="L673" i="13"/>
  <c r="M673" i="13"/>
  <c r="N673" i="13"/>
  <c r="O673" i="13"/>
  <c r="P673" i="13"/>
  <c r="Q673" i="13"/>
  <c r="R673" i="13"/>
  <c r="S673" i="13"/>
  <c r="T673" i="13"/>
  <c r="U673" i="13"/>
  <c r="V673" i="13"/>
  <c r="W673" i="13"/>
  <c r="X673" i="13"/>
  <c r="D674" i="13" a="1"/>
  <c r="D674" i="13" s="1"/>
  <c r="G674" i="13" s="1"/>
  <c r="I674" i="13" s="1"/>
  <c r="K674" i="13"/>
  <c r="L674" i="13"/>
  <c r="M674" i="13"/>
  <c r="N674" i="13"/>
  <c r="O674" i="13"/>
  <c r="P674" i="13"/>
  <c r="Q674" i="13"/>
  <c r="R674" i="13"/>
  <c r="S674" i="13"/>
  <c r="T674" i="13"/>
  <c r="U674" i="13"/>
  <c r="V674" i="13"/>
  <c r="W674" i="13"/>
  <c r="X674" i="13"/>
  <c r="D675" i="13" a="1"/>
  <c r="D675" i="13" s="1"/>
  <c r="G675" i="13" s="1"/>
  <c r="I675" i="13" s="1"/>
  <c r="K675" i="13"/>
  <c r="L675" i="13"/>
  <c r="M675" i="13"/>
  <c r="N675" i="13"/>
  <c r="O675" i="13"/>
  <c r="P675" i="13"/>
  <c r="Q675" i="13"/>
  <c r="R675" i="13"/>
  <c r="S675" i="13"/>
  <c r="T675" i="13"/>
  <c r="U675" i="13"/>
  <c r="V675" i="13"/>
  <c r="W675" i="13"/>
  <c r="X675" i="13"/>
  <c r="D676" i="13" a="1"/>
  <c r="D676" i="13" s="1"/>
  <c r="G676" i="13" s="1"/>
  <c r="I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K681" i="13"/>
  <c r="L681" i="13"/>
  <c r="M681" i="13"/>
  <c r="N681" i="13"/>
  <c r="O681" i="13"/>
  <c r="P681" i="13"/>
  <c r="Q681" i="13"/>
  <c r="R681" i="13"/>
  <c r="S681" i="13"/>
  <c r="T681" i="13"/>
  <c r="U681" i="13"/>
  <c r="V681" i="13"/>
  <c r="W681" i="13"/>
  <c r="X681" i="13"/>
  <c r="D682" i="13" a="1"/>
  <c r="D682" i="13" s="1"/>
  <c r="G682" i="13" s="1"/>
  <c r="I682" i="13" s="1"/>
  <c r="K682" i="13"/>
  <c r="L682" i="13"/>
  <c r="M682" i="13"/>
  <c r="N682" i="13"/>
  <c r="O682" i="13"/>
  <c r="P682" i="13"/>
  <c r="Q682" i="13"/>
  <c r="R682" i="13"/>
  <c r="S682" i="13"/>
  <c r="T682" i="13"/>
  <c r="U682" i="13"/>
  <c r="V682" i="13"/>
  <c r="W682" i="13"/>
  <c r="X682" i="13"/>
  <c r="D683" i="13" a="1"/>
  <c r="D683" i="13" s="1"/>
  <c r="G683" i="13" s="1"/>
  <c r="I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K688" i="13"/>
  <c r="L688" i="13"/>
  <c r="M688" i="13"/>
  <c r="N688" i="13"/>
  <c r="O688" i="13"/>
  <c r="P688" i="13"/>
  <c r="Q688" i="13"/>
  <c r="R688" i="13"/>
  <c r="S688" i="13"/>
  <c r="T688" i="13"/>
  <c r="U688" i="13"/>
  <c r="V688" i="13"/>
  <c r="W688" i="13"/>
  <c r="X688" i="13"/>
  <c r="D689" i="13" a="1"/>
  <c r="D689" i="13" s="1"/>
  <c r="G689" i="13" s="1"/>
  <c r="I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K692" i="13"/>
  <c r="L692" i="13"/>
  <c r="M692" i="13"/>
  <c r="N692" i="13"/>
  <c r="O692" i="13"/>
  <c r="P692" i="13"/>
  <c r="Q692" i="13"/>
  <c r="R692" i="13"/>
  <c r="S692" i="13"/>
  <c r="T692" i="13"/>
  <c r="U692" i="13"/>
  <c r="V692" i="13"/>
  <c r="W692" i="13"/>
  <c r="X692" i="13"/>
  <c r="D693" i="13" a="1"/>
  <c r="D693" i="13" s="1"/>
  <c r="G693" i="13" s="1"/>
  <c r="I693" i="13" s="1"/>
  <c r="K693" i="13"/>
  <c r="L693" i="13"/>
  <c r="M693" i="13"/>
  <c r="N693" i="13"/>
  <c r="O693" i="13"/>
  <c r="P693" i="13"/>
  <c r="Q693" i="13"/>
  <c r="R693" i="13"/>
  <c r="S693" i="13"/>
  <c r="T693" i="13"/>
  <c r="U693" i="13"/>
  <c r="V693" i="13"/>
  <c r="W693" i="13"/>
  <c r="X693" i="13"/>
  <c r="D694" i="13" a="1"/>
  <c r="D694" i="13" s="1"/>
  <c r="G694" i="13" s="1"/>
  <c r="I694" i="13" s="1"/>
  <c r="K694" i="13"/>
  <c r="L694" i="13"/>
  <c r="M694" i="13"/>
  <c r="N694" i="13"/>
  <c r="O694" i="13"/>
  <c r="P694" i="13"/>
  <c r="Q694" i="13"/>
  <c r="R694" i="13"/>
  <c r="S694" i="13"/>
  <c r="T694" i="13"/>
  <c r="U694" i="13"/>
  <c r="V694" i="13"/>
  <c r="W694" i="13"/>
  <c r="X694" i="13"/>
  <c r="D695" i="13" a="1"/>
  <c r="D695" i="13" s="1"/>
  <c r="G695" i="13" s="1"/>
  <c r="I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K697" i="13"/>
  <c r="L697" i="13"/>
  <c r="M697" i="13"/>
  <c r="N697" i="13"/>
  <c r="O697" i="13"/>
  <c r="P697" i="13"/>
  <c r="Q697" i="13"/>
  <c r="R697" i="13"/>
  <c r="S697" i="13"/>
  <c r="T697" i="13"/>
  <c r="U697" i="13"/>
  <c r="V697" i="13"/>
  <c r="W697" i="13"/>
  <c r="X697" i="13"/>
  <c r="D698" i="13" a="1"/>
  <c r="D698" i="13" s="1"/>
  <c r="G698" i="13" s="1"/>
  <c r="I698" i="13" s="1"/>
  <c r="K698" i="13"/>
  <c r="L698" i="13"/>
  <c r="M698" i="13"/>
  <c r="N698" i="13"/>
  <c r="O698" i="13"/>
  <c r="P698" i="13"/>
  <c r="Q698" i="13"/>
  <c r="R698" i="13"/>
  <c r="S698" i="13"/>
  <c r="T698" i="13"/>
  <c r="U698" i="13"/>
  <c r="V698" i="13"/>
  <c r="W698" i="13"/>
  <c r="X698" i="13"/>
  <c r="D699" i="13" a="1"/>
  <c r="D699" i="13" s="1"/>
  <c r="G699" i="13" s="1"/>
  <c r="I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K701" i="13"/>
  <c r="L701" i="13"/>
  <c r="M701" i="13"/>
  <c r="N701" i="13"/>
  <c r="O701" i="13"/>
  <c r="P701" i="13"/>
  <c r="Q701" i="13"/>
  <c r="R701" i="13"/>
  <c r="S701" i="13"/>
  <c r="T701" i="13"/>
  <c r="U701" i="13"/>
  <c r="V701" i="13"/>
  <c r="W701" i="13"/>
  <c r="X701" i="13"/>
  <c r="D702" i="13" a="1"/>
  <c r="D702" i="13" s="1"/>
  <c r="G702" i="13" s="1"/>
  <c r="I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O814" i="10" s="1"/>
  <c r="AE815" i="10"/>
  <c r="O815" i="10" s="1"/>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L811" i="10" s="1"/>
  <c r="G811" i="10"/>
  <c r="R811" i="10"/>
  <c r="T811" i="10"/>
  <c r="F812" i="10"/>
  <c r="E371" i="13" s="1"/>
  <c r="H371" i="13" s="1" a="1"/>
  <c r="H371" i="13" s="1"/>
  <c r="G812" i="10"/>
  <c r="R812" i="10"/>
  <c r="T812" i="10"/>
  <c r="F813" i="10"/>
  <c r="G813" i="10"/>
  <c r="R813" i="10"/>
  <c r="T813" i="10"/>
  <c r="F814" i="10"/>
  <c r="G814" i="10"/>
  <c r="R814" i="10"/>
  <c r="S814" i="10" s="1"/>
  <c r="I814" i="10" s="1"/>
  <c r="T814" i="10"/>
  <c r="F815" i="10"/>
  <c r="G815" i="10"/>
  <c r="L815" i="10"/>
  <c r="R815" i="10"/>
  <c r="T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C753" i="10" s="1"/>
  <c r="AD754" i="10"/>
  <c r="AC754" i="10" s="1"/>
  <c r="AD755" i="10"/>
  <c r="AC755" i="10" s="1"/>
  <c r="AD756" i="10"/>
  <c r="AC756" i="10" s="1"/>
  <c r="AD757" i="10"/>
  <c r="AC757" i="10" s="1"/>
  <c r="AD758" i="10"/>
  <c r="AC758" i="10" s="1"/>
  <c r="AD759" i="10"/>
  <c r="AC759" i="10" s="1"/>
  <c r="AD760" i="10"/>
  <c r="AC760" i="10" s="1"/>
  <c r="AD761" i="10"/>
  <c r="AC761" i="10" s="1"/>
  <c r="AD762" i="10"/>
  <c r="AC762" i="10" s="1"/>
  <c r="AD763" i="10"/>
  <c r="AC763" i="10" s="1"/>
  <c r="AD764" i="10"/>
  <c r="AC764" i="10" s="1"/>
  <c r="AD765" i="10"/>
  <c r="AC765" i="10" s="1"/>
  <c r="AD766" i="10"/>
  <c r="AC766" i="10" s="1"/>
  <c r="AD767" i="10"/>
  <c r="AC767" i="10" s="1"/>
  <c r="AD768" i="10"/>
  <c r="AC768" i="10" s="1"/>
  <c r="AD769" i="10"/>
  <c r="AC769" i="10" s="1"/>
  <c r="AD770" i="10"/>
  <c r="AC770" i="10" s="1"/>
  <c r="AD771" i="10"/>
  <c r="AC771" i="10" s="1"/>
  <c r="AD772" i="10"/>
  <c r="AC772" i="10" s="1"/>
  <c r="AD773" i="10"/>
  <c r="AC773" i="10" s="1"/>
  <c r="AD774" i="10"/>
  <c r="AC774" i="10" s="1"/>
  <c r="AD775" i="10"/>
  <c r="AC775" i="10" s="1"/>
  <c r="AD776" i="10"/>
  <c r="AC776" i="10" s="1"/>
  <c r="AD777" i="10"/>
  <c r="AC777" i="10" s="1"/>
  <c r="AD778" i="10"/>
  <c r="AC778" i="10" s="1"/>
  <c r="AD779" i="10"/>
  <c r="AC779" i="10" s="1"/>
  <c r="AD780" i="10"/>
  <c r="AC780" i="10" s="1"/>
  <c r="AD781" i="10"/>
  <c r="AC781" i="10" s="1"/>
  <c r="AD782" i="10"/>
  <c r="AC782" i="10" s="1"/>
  <c r="AD783" i="10"/>
  <c r="AC783" i="10" s="1"/>
  <c r="AD784" i="10"/>
  <c r="AC784" i="10" s="1"/>
  <c r="AD785" i="10"/>
  <c r="AC785" i="10" s="1"/>
  <c r="AD786" i="10"/>
  <c r="AC786" i="10" s="1"/>
  <c r="AD787" i="10"/>
  <c r="AC787" i="10" s="1"/>
  <c r="AD788" i="10"/>
  <c r="AC788" i="10" s="1"/>
  <c r="AD789" i="10"/>
  <c r="AC789" i="10" s="1"/>
  <c r="AD790" i="10"/>
  <c r="AC790" i="10" s="1"/>
  <c r="AD791" i="10"/>
  <c r="AC791" i="10" s="1"/>
  <c r="AD792" i="10"/>
  <c r="AC792" i="10" s="1"/>
  <c r="AD793" i="10"/>
  <c r="AC793" i="10" s="1"/>
  <c r="AD794" i="10"/>
  <c r="AC794" i="10" s="1"/>
  <c r="AD795" i="10"/>
  <c r="AC795" i="10" s="1"/>
  <c r="AD796" i="10"/>
  <c r="AC796" i="10" s="1"/>
  <c r="AD797" i="10"/>
  <c r="AC797" i="10" s="1"/>
  <c r="AD798" i="10"/>
  <c r="AC798" i="10" s="1"/>
  <c r="AD799" i="10"/>
  <c r="AC799" i="10" s="1"/>
  <c r="AD800" i="10"/>
  <c r="AC800" i="10" s="1"/>
  <c r="AD801" i="10"/>
  <c r="AC801" i="10" s="1"/>
  <c r="AD802" i="10"/>
  <c r="AC802" i="10" s="1"/>
  <c r="AD803" i="10"/>
  <c r="AC803" i="10" s="1"/>
  <c r="AD804" i="10"/>
  <c r="AC804" i="10" s="1"/>
  <c r="AD805" i="10"/>
  <c r="AC805" i="10" s="1"/>
  <c r="AD806" i="10"/>
  <c r="AC806" i="10" s="1"/>
  <c r="AD807" i="10"/>
  <c r="AC807" i="10" s="1"/>
  <c r="AD808" i="10"/>
  <c r="AC808" i="10" s="1"/>
  <c r="AD809" i="10"/>
  <c r="AC809" i="10" s="1"/>
  <c r="AD810" i="10"/>
  <c r="AC810" i="10" s="1"/>
  <c r="AD811" i="10"/>
  <c r="AC811" i="10" s="1"/>
  <c r="AD812" i="10"/>
  <c r="AC812" i="10" s="1"/>
  <c r="AD813" i="10"/>
  <c r="AC813" i="10" s="1"/>
  <c r="AD814" i="10"/>
  <c r="AC814" i="10" s="1"/>
  <c r="AD815" i="10"/>
  <c r="AC815" i="10" s="1"/>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D372" i="13" a="1"/>
  <c r="D372" i="13" s="1"/>
  <c r="X371" i="13"/>
  <c r="D371" i="13" a="1"/>
  <c r="D371" i="13" s="1"/>
  <c r="X370" i="13"/>
  <c r="D370" i="13" a="1"/>
  <c r="D370" i="13" s="1"/>
  <c r="X369" i="13"/>
  <c r="D369" i="13" a="1"/>
  <c r="D369" i="13" s="1"/>
  <c r="X368" i="13"/>
  <c r="D368" i="13" a="1"/>
  <c r="D368" i="13" s="1"/>
  <c r="X367" i="13"/>
  <c r="D367" i="13" a="1"/>
  <c r="D367" i="13" s="1"/>
  <c r="X366" i="13"/>
  <c r="D366" i="13" a="1"/>
  <c r="D366" i="13" s="1"/>
  <c r="X365" i="13"/>
  <c r="D365" i="13" a="1"/>
  <c r="D365" i="13" s="1"/>
  <c r="X364" i="13"/>
  <c r="D364" i="13" a="1"/>
  <c r="D364" i="13" s="1"/>
  <c r="X363" i="13"/>
  <c r="D363" i="13" a="1"/>
  <c r="D363" i="13" s="1"/>
  <c r="X362" i="13"/>
  <c r="D362" i="13" a="1"/>
  <c r="D362" i="13" s="1"/>
  <c r="X361" i="13"/>
  <c r="D361" i="13" a="1"/>
  <c r="D361" i="13" s="1"/>
  <c r="X360" i="13"/>
  <c r="D360" i="13" a="1"/>
  <c r="D360" i="13" s="1"/>
  <c r="X359" i="13"/>
  <c r="D359" i="13" a="1"/>
  <c r="D359" i="13" s="1"/>
  <c r="X358" i="13"/>
  <c r="D358" i="13" a="1"/>
  <c r="D358" i="13" s="1"/>
  <c r="X357" i="13"/>
  <c r="D357" i="13" a="1"/>
  <c r="D357" i="13" s="1"/>
  <c r="X356" i="13"/>
  <c r="D356" i="13" a="1"/>
  <c r="D356" i="13" s="1"/>
  <c r="X355" i="13"/>
  <c r="D355" i="13" a="1"/>
  <c r="D355" i="13" s="1"/>
  <c r="X354" i="13"/>
  <c r="D354" i="13" a="1"/>
  <c r="D354" i="13" s="1"/>
  <c r="X353" i="13"/>
  <c r="D353" i="13" a="1"/>
  <c r="D353" i="13" s="1"/>
  <c r="X352" i="13"/>
  <c r="D352" i="13" a="1"/>
  <c r="D352" i="13" s="1"/>
  <c r="X351" i="13"/>
  <c r="D351" i="13" a="1"/>
  <c r="D351" i="13" s="1"/>
  <c r="X350" i="13"/>
  <c r="D350" i="13" a="1"/>
  <c r="D350" i="13" s="1"/>
  <c r="X349" i="13"/>
  <c r="D349" i="13" a="1"/>
  <c r="D349" i="13" s="1"/>
  <c r="X348" i="13"/>
  <c r="D348" i="13" a="1"/>
  <c r="D348" i="13" s="1"/>
  <c r="X347" i="13"/>
  <c r="D347" i="13" a="1"/>
  <c r="D347" i="13" s="1"/>
  <c r="X346" i="13"/>
  <c r="D346" i="13" a="1"/>
  <c r="D346" i="13" s="1"/>
  <c r="X345" i="13"/>
  <c r="D345" i="13" a="1"/>
  <c r="D345" i="13" s="1"/>
  <c r="X344" i="13"/>
  <c r="D344" i="13" a="1"/>
  <c r="D344" i="13" s="1"/>
  <c r="X343" i="13"/>
  <c r="D343" i="13" a="1"/>
  <c r="D343" i="13" s="1"/>
  <c r="X342" i="13"/>
  <c r="D342" i="13" a="1"/>
  <c r="D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N21" i="12"/>
  <c r="O21" i="12" s="1"/>
  <c r="G21" i="12"/>
  <c r="F21" i="12"/>
  <c r="I21" i="12" s="1"/>
  <c r="N20" i="12"/>
  <c r="O20" i="12" s="1"/>
  <c r="G20" i="12"/>
  <c r="F20" i="12"/>
  <c r="N19" i="12"/>
  <c r="O19" i="12" s="1"/>
  <c r="G19" i="12"/>
  <c r="F19" i="12"/>
  <c r="N18" i="12"/>
  <c r="G18" i="12"/>
  <c r="F18" i="12"/>
  <c r="A55" i="11"/>
  <c r="A53" i="11"/>
  <c r="A52" i="11"/>
  <c r="Q52" i="11" s="1"/>
  <c r="A51" i="11"/>
  <c r="Q51" i="11" s="1"/>
  <c r="A50" i="11"/>
  <c r="Q50" i="11" s="1"/>
  <c r="A49" i="11"/>
  <c r="A48" i="11"/>
  <c r="A47" i="11"/>
  <c r="A46" i="11"/>
  <c r="Q46" i="11" s="1"/>
  <c r="A45" i="11"/>
  <c r="Q45" i="11" s="1"/>
  <c r="A44" i="11"/>
  <c r="A43" i="11"/>
  <c r="A42" i="11"/>
  <c r="Q42" i="11" s="1"/>
  <c r="A41" i="11"/>
  <c r="P41" i="11" s="1"/>
  <c r="A40" i="11"/>
  <c r="Q40" i="11" s="1"/>
  <c r="A39" i="11"/>
  <c r="A38" i="11"/>
  <c r="A37" i="11"/>
  <c r="Q37" i="11" s="1"/>
  <c r="A36" i="11"/>
  <c r="P36" i="11" s="1"/>
  <c r="A35" i="11"/>
  <c r="A34" i="11"/>
  <c r="A33" i="11"/>
  <c r="P33" i="11" s="1"/>
  <c r="A32" i="11"/>
  <c r="Q32" i="11" s="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T810" i="10"/>
  <c r="R810" i="10"/>
  <c r="S810" i="10" s="1"/>
  <c r="I810" i="10" s="1"/>
  <c r="G810" i="10"/>
  <c r="F810" i="10"/>
  <c r="E370" i="13" s="1"/>
  <c r="H370" i="13" s="1" a="1"/>
  <c r="H370" i="13" s="1"/>
  <c r="T809" i="10"/>
  <c r="R809" i="10"/>
  <c r="G809" i="10"/>
  <c r="F809" i="10"/>
  <c r="L809" i="10" s="1"/>
  <c r="T808" i="10"/>
  <c r="R808" i="10"/>
  <c r="G808" i="10"/>
  <c r="F808" i="10"/>
  <c r="E369" i="13" s="1"/>
  <c r="H369" i="13" s="1" a="1"/>
  <c r="H369" i="13" s="1"/>
  <c r="T807" i="10"/>
  <c r="R807" i="10"/>
  <c r="G807" i="10"/>
  <c r="F807" i="10"/>
  <c r="L807" i="10" s="1"/>
  <c r="T806" i="10"/>
  <c r="R806" i="10"/>
  <c r="G806" i="10"/>
  <c r="F806" i="10"/>
  <c r="E368" i="13" s="1"/>
  <c r="H368" i="13" s="1" a="1"/>
  <c r="H368" i="13" s="1"/>
  <c r="T805" i="10"/>
  <c r="R805" i="10"/>
  <c r="G805" i="10"/>
  <c r="F805" i="10"/>
  <c r="L805" i="10" s="1"/>
  <c r="T804" i="10"/>
  <c r="R804" i="10"/>
  <c r="G804" i="10"/>
  <c r="F804" i="10"/>
  <c r="E367" i="13" s="1"/>
  <c r="H367" i="13" s="1" a="1"/>
  <c r="H367" i="13" s="1"/>
  <c r="T803" i="10"/>
  <c r="R803" i="10"/>
  <c r="G803" i="10"/>
  <c r="F803" i="10"/>
  <c r="L803" i="10" s="1"/>
  <c r="T802" i="10"/>
  <c r="R802" i="10"/>
  <c r="G802" i="10"/>
  <c r="F802" i="10"/>
  <c r="E366" i="13" s="1"/>
  <c r="H366" i="13" s="1" a="1"/>
  <c r="H366" i="13" s="1"/>
  <c r="T801" i="10"/>
  <c r="R801" i="10"/>
  <c r="G801" i="10"/>
  <c r="F801" i="10"/>
  <c r="L801" i="10" s="1"/>
  <c r="T800" i="10"/>
  <c r="R800" i="10"/>
  <c r="G800" i="10"/>
  <c r="F800" i="10"/>
  <c r="L800" i="10" s="1"/>
  <c r="T799" i="10"/>
  <c r="R799" i="10"/>
  <c r="G799" i="10"/>
  <c r="F799" i="10"/>
  <c r="O799" i="10" s="1"/>
  <c r="T798" i="10"/>
  <c r="R798" i="10"/>
  <c r="G798" i="10"/>
  <c r="F798" i="10"/>
  <c r="E364" i="13" s="1"/>
  <c r="H364" i="13" s="1" a="1"/>
  <c r="H364" i="13" s="1"/>
  <c r="T797" i="10"/>
  <c r="R797" i="10"/>
  <c r="G797" i="10"/>
  <c r="F797" i="10"/>
  <c r="L797" i="10" s="1"/>
  <c r="T796" i="10"/>
  <c r="R796" i="10"/>
  <c r="G796" i="10"/>
  <c r="F796" i="10"/>
  <c r="E363" i="13" s="1"/>
  <c r="H363" i="13" s="1" a="1"/>
  <c r="H363" i="13" s="1"/>
  <c r="T795" i="10"/>
  <c r="R795" i="10"/>
  <c r="G795" i="10"/>
  <c r="F795" i="10"/>
  <c r="L795" i="10" s="1"/>
  <c r="T794" i="10"/>
  <c r="R794" i="10"/>
  <c r="G794" i="10"/>
  <c r="F794" i="10"/>
  <c r="E362" i="13" s="1"/>
  <c r="H362" i="13" s="1" a="1"/>
  <c r="H362" i="13" s="1"/>
  <c r="T793" i="10"/>
  <c r="R793" i="10"/>
  <c r="G793" i="10"/>
  <c r="F793" i="10"/>
  <c r="L793" i="10" s="1"/>
  <c r="T792" i="10"/>
  <c r="R792" i="10"/>
  <c r="G792" i="10"/>
  <c r="F792" i="10"/>
  <c r="E361" i="13" s="1"/>
  <c r="H361" i="13" s="1" a="1"/>
  <c r="H361" i="13" s="1"/>
  <c r="T791" i="10"/>
  <c r="R791" i="10"/>
  <c r="G791" i="10"/>
  <c r="F791" i="10"/>
  <c r="L791" i="10" s="1"/>
  <c r="T790" i="10"/>
  <c r="R790" i="10"/>
  <c r="G790" i="10"/>
  <c r="F790" i="10"/>
  <c r="E360" i="13" s="1"/>
  <c r="H360" i="13" s="1" a="1"/>
  <c r="H360" i="13" s="1"/>
  <c r="T789" i="10"/>
  <c r="R789" i="10"/>
  <c r="G789" i="10"/>
  <c r="F789" i="10"/>
  <c r="L789" i="10" s="1"/>
  <c r="T788" i="10"/>
  <c r="R788" i="10"/>
  <c r="G788" i="10"/>
  <c r="F788" i="10"/>
  <c r="E359" i="13" s="1"/>
  <c r="H359" i="13" s="1" a="1"/>
  <c r="H359" i="13" s="1"/>
  <c r="T787" i="10"/>
  <c r="R787" i="10"/>
  <c r="G787" i="10"/>
  <c r="F787" i="10"/>
  <c r="L787" i="10" s="1"/>
  <c r="T786" i="10"/>
  <c r="R786" i="10"/>
  <c r="G786" i="10"/>
  <c r="F786" i="10"/>
  <c r="E358" i="13" s="1"/>
  <c r="H358" i="13" s="1" a="1"/>
  <c r="H358" i="13" s="1"/>
  <c r="T785" i="10"/>
  <c r="R785" i="10"/>
  <c r="G785" i="10"/>
  <c r="F785" i="10"/>
  <c r="L785" i="10" s="1"/>
  <c r="T784" i="10"/>
  <c r="R784" i="10"/>
  <c r="G784" i="10"/>
  <c r="F784" i="10"/>
  <c r="E357" i="13" s="1"/>
  <c r="H357" i="13" s="1" a="1"/>
  <c r="H357" i="13" s="1"/>
  <c r="T783" i="10"/>
  <c r="R783" i="10"/>
  <c r="G783" i="10"/>
  <c r="F783" i="10"/>
  <c r="L783" i="10" s="1"/>
  <c r="T782" i="10"/>
  <c r="R782" i="10"/>
  <c r="G782" i="10"/>
  <c r="F782" i="10"/>
  <c r="E356" i="13" s="1"/>
  <c r="H356" i="13" s="1" a="1"/>
  <c r="H356" i="13" s="1"/>
  <c r="T781" i="10"/>
  <c r="R781" i="10"/>
  <c r="G781" i="10"/>
  <c r="F781" i="10"/>
  <c r="L781" i="10" s="1"/>
  <c r="T780" i="10"/>
  <c r="R780" i="10"/>
  <c r="G780" i="10"/>
  <c r="F780" i="10"/>
  <c r="E355" i="13" s="1"/>
  <c r="H355" i="13" s="1" a="1"/>
  <c r="H355" i="13" s="1"/>
  <c r="T779" i="10"/>
  <c r="R779" i="10"/>
  <c r="G779" i="10"/>
  <c r="F779" i="10"/>
  <c r="O779" i="10" s="1"/>
  <c r="T778" i="10"/>
  <c r="R778" i="10"/>
  <c r="G778" i="10"/>
  <c r="F778" i="10"/>
  <c r="E354" i="13" s="1"/>
  <c r="H354" i="13" s="1" a="1"/>
  <c r="H354" i="13" s="1"/>
  <c r="T777" i="10"/>
  <c r="R777" i="10"/>
  <c r="G777" i="10"/>
  <c r="F777" i="10"/>
  <c r="L777" i="10" s="1"/>
  <c r="T776" i="10"/>
  <c r="R776" i="10"/>
  <c r="G776" i="10"/>
  <c r="F776" i="10"/>
  <c r="L776" i="10" s="1"/>
  <c r="T775" i="10"/>
  <c r="R775" i="10"/>
  <c r="G775" i="10"/>
  <c r="F775" i="10"/>
  <c r="L775" i="10" s="1"/>
  <c r="T774" i="10"/>
  <c r="R774" i="10"/>
  <c r="G774" i="10"/>
  <c r="F774" i="10"/>
  <c r="E352" i="13" s="1"/>
  <c r="H352" i="13" s="1" a="1"/>
  <c r="H352" i="13" s="1"/>
  <c r="T773" i="10"/>
  <c r="R773" i="10"/>
  <c r="G773" i="10"/>
  <c r="F773" i="10"/>
  <c r="L773" i="10" s="1"/>
  <c r="T772" i="10"/>
  <c r="R772" i="10"/>
  <c r="G772" i="10"/>
  <c r="F772" i="10"/>
  <c r="E351" i="13" s="1"/>
  <c r="H351" i="13" s="1" a="1"/>
  <c r="H351" i="13" s="1"/>
  <c r="T771" i="10"/>
  <c r="R771" i="10"/>
  <c r="G771" i="10"/>
  <c r="F771" i="10"/>
  <c r="L771" i="10" s="1"/>
  <c r="T770" i="10"/>
  <c r="R770" i="10"/>
  <c r="G770" i="10"/>
  <c r="F770" i="10"/>
  <c r="E350" i="13" s="1"/>
  <c r="H350" i="13" s="1" a="1"/>
  <c r="H350" i="13" s="1"/>
  <c r="T769" i="10"/>
  <c r="R769" i="10"/>
  <c r="G769" i="10"/>
  <c r="F769" i="10"/>
  <c r="L769" i="10" s="1"/>
  <c r="T768" i="10"/>
  <c r="R768" i="10"/>
  <c r="G768" i="10"/>
  <c r="F768" i="10"/>
  <c r="E349" i="13" s="1"/>
  <c r="H349" i="13" s="1" a="1"/>
  <c r="H349" i="13" s="1"/>
  <c r="T767" i="10"/>
  <c r="R767" i="10"/>
  <c r="G767" i="10"/>
  <c r="F767" i="10"/>
  <c r="L767" i="10" s="1"/>
  <c r="T766" i="10"/>
  <c r="R766" i="10"/>
  <c r="G766" i="10"/>
  <c r="F766" i="10"/>
  <c r="L766" i="10" s="1"/>
  <c r="T765" i="10"/>
  <c r="R765" i="10"/>
  <c r="G765" i="10"/>
  <c r="F765" i="10"/>
  <c r="E348" i="13" s="1"/>
  <c r="H348" i="13" s="1" a="1"/>
  <c r="H348" i="13" s="1"/>
  <c r="T764" i="10"/>
  <c r="R764" i="10"/>
  <c r="G764" i="10"/>
  <c r="F764" i="10"/>
  <c r="L764" i="10" s="1"/>
  <c r="T763" i="10"/>
  <c r="R763" i="10"/>
  <c r="G763" i="10"/>
  <c r="F763" i="10"/>
  <c r="E347" i="13" s="1"/>
  <c r="H347" i="13" s="1" a="1"/>
  <c r="H347" i="13" s="1"/>
  <c r="T762" i="10"/>
  <c r="R762" i="10"/>
  <c r="G762" i="10"/>
  <c r="F762" i="10"/>
  <c r="L762" i="10" s="1"/>
  <c r="T761" i="10"/>
  <c r="R761" i="10"/>
  <c r="G761" i="10"/>
  <c r="F761" i="10"/>
  <c r="E346" i="13" s="1"/>
  <c r="H346" i="13" s="1" a="1"/>
  <c r="H346" i="13" s="1"/>
  <c r="T760" i="10"/>
  <c r="R760" i="10"/>
  <c r="G760" i="10"/>
  <c r="F760" i="10"/>
  <c r="L760" i="10" s="1"/>
  <c r="T759" i="10"/>
  <c r="R759" i="10"/>
  <c r="G759" i="10"/>
  <c r="F759" i="10"/>
  <c r="E345" i="13" s="1"/>
  <c r="H345" i="13" s="1" a="1"/>
  <c r="H345" i="13" s="1"/>
  <c r="T758" i="10"/>
  <c r="R758" i="10"/>
  <c r="G758" i="10"/>
  <c r="F758" i="10"/>
  <c r="T757" i="10"/>
  <c r="R757" i="10"/>
  <c r="G757" i="10"/>
  <c r="F757" i="10"/>
  <c r="T756" i="10"/>
  <c r="R756" i="10"/>
  <c r="G756" i="10"/>
  <c r="F756" i="10"/>
  <c r="T755" i="10"/>
  <c r="R755" i="10"/>
  <c r="G755" i="10"/>
  <c r="F755" i="10"/>
  <c r="E343" i="13" s="1"/>
  <c r="H343" i="13" s="1" a="1"/>
  <c r="H343" i="13" s="1"/>
  <c r="T754" i="10"/>
  <c r="R754" i="10"/>
  <c r="G754" i="10"/>
  <c r="F754" i="10"/>
  <c r="T753" i="10"/>
  <c r="R753" i="10"/>
  <c r="G753" i="10"/>
  <c r="F753" i="10"/>
  <c r="T752" i="10"/>
  <c r="R752" i="10"/>
  <c r="G752" i="10"/>
  <c r="F752" i="10"/>
  <c r="T751" i="10"/>
  <c r="R751" i="10"/>
  <c r="G751" i="10"/>
  <c r="F751" i="10"/>
  <c r="T750" i="10"/>
  <c r="R750" i="10"/>
  <c r="G750" i="10"/>
  <c r="F750" i="10"/>
  <c r="T749" i="10"/>
  <c r="R749" i="10"/>
  <c r="G749" i="10"/>
  <c r="F749" i="10"/>
  <c r="T748" i="10"/>
  <c r="R748" i="10"/>
  <c r="G748" i="10"/>
  <c r="F748" i="10"/>
  <c r="U747" i="10"/>
  <c r="T747" i="10"/>
  <c r="R747" i="10"/>
  <c r="G747" i="10"/>
  <c r="F747" i="10"/>
  <c r="T746" i="10"/>
  <c r="R746" i="10"/>
  <c r="G746" i="10"/>
  <c r="F746" i="10"/>
  <c r="T745" i="10"/>
  <c r="R745" i="10"/>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G734" i="10"/>
  <c r="F734" i="10"/>
  <c r="T733" i="10"/>
  <c r="R733" i="10"/>
  <c r="G733" i="10"/>
  <c r="F733" i="10"/>
  <c r="T732" i="10"/>
  <c r="R732" i="10"/>
  <c r="G732" i="10"/>
  <c r="F732" i="10"/>
  <c r="T731" i="10"/>
  <c r="R731" i="10"/>
  <c r="G731" i="10"/>
  <c r="F731" i="10"/>
  <c r="L731" i="10" s="1"/>
  <c r="T730" i="10"/>
  <c r="R730" i="10"/>
  <c r="G730" i="10"/>
  <c r="F730" i="10"/>
  <c r="T729" i="10"/>
  <c r="R729" i="10"/>
  <c r="G729" i="10"/>
  <c r="F729" i="10"/>
  <c r="T728" i="10"/>
  <c r="R728" i="10"/>
  <c r="G728" i="10"/>
  <c r="F728" i="10"/>
  <c r="T727" i="10"/>
  <c r="R727" i="10"/>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H6" i="10"/>
  <c r="G6" i="10"/>
  <c r="F6" i="10"/>
  <c r="U5" i="10"/>
  <c r="T5" i="10"/>
  <c r="R5" i="10"/>
  <c r="H5" i="10"/>
  <c r="G5" i="10"/>
  <c r="F5" i="10"/>
  <c r="U4" i="10"/>
  <c r="Y6" i="10" s="1"/>
  <c r="T4" i="10"/>
  <c r="R4" i="10"/>
  <c r="H4" i="10"/>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S815" i="10" l="1"/>
  <c r="I815" i="10" s="1"/>
  <c r="K815" i="10" s="1"/>
  <c r="K814" i="10"/>
  <c r="F372" i="13"/>
  <c r="S813" i="10"/>
  <c r="I813" i="10" s="1"/>
  <c r="K813" i="10" s="1"/>
  <c r="E372" i="13"/>
  <c r="H372" i="13" s="1" a="1"/>
  <c r="H372" i="13" s="1"/>
  <c r="O813" i="10"/>
  <c r="L814" i="10"/>
  <c r="S812" i="10"/>
  <c r="I812" i="10" s="1"/>
  <c r="F371" i="13" s="1"/>
  <c r="G371" i="13" s="1"/>
  <c r="I371" i="13" s="1"/>
  <c r="Y371" i="13" s="1"/>
  <c r="L812" i="10"/>
  <c r="L813" i="10"/>
  <c r="O812" i="10"/>
  <c r="L810" i="10"/>
  <c r="O811" i="10"/>
  <c r="O810" i="10"/>
  <c r="S811" i="10"/>
  <c r="I811" i="10" s="1"/>
  <c r="K811" i="10" s="1"/>
  <c r="F370" i="13"/>
  <c r="G370" i="13" s="1"/>
  <c r="I370" i="13" s="1"/>
  <c r="Y370" i="13" s="1"/>
  <c r="K810" i="10"/>
  <c r="L808" i="10"/>
  <c r="O809" i="10"/>
  <c r="S809" i="10"/>
  <c r="I809" i="10" s="1"/>
  <c r="K809" i="10" s="1"/>
  <c r="S808" i="10"/>
  <c r="I808" i="10" s="1"/>
  <c r="K808" i="10" s="1"/>
  <c r="O808" i="10"/>
  <c r="O807" i="10"/>
  <c r="L806" i="10"/>
  <c r="S807" i="10"/>
  <c r="I807" i="10" s="1"/>
  <c r="K807" i="10" s="1"/>
  <c r="S806" i="10"/>
  <c r="I806" i="10" s="1"/>
  <c r="K806" i="10" s="1"/>
  <c r="O806" i="10"/>
  <c r="S805" i="10"/>
  <c r="I805" i="10" s="1"/>
  <c r="K805" i="10" s="1"/>
  <c r="O805" i="10"/>
  <c r="O804" i="10"/>
  <c r="S804" i="10"/>
  <c r="I804" i="10" s="1"/>
  <c r="K804" i="10" s="1"/>
  <c r="L804" i="10"/>
  <c r="S803" i="10"/>
  <c r="I803" i="10" s="1"/>
  <c r="K803" i="10" s="1"/>
  <c r="O803" i="10"/>
  <c r="S802" i="10"/>
  <c r="I802" i="10" s="1"/>
  <c r="K802" i="10" s="1"/>
  <c r="L799" i="10"/>
  <c r="O802" i="10"/>
  <c r="L802" i="10"/>
  <c r="S801" i="10"/>
  <c r="I801" i="10" s="1"/>
  <c r="K801" i="10" s="1"/>
  <c r="S798" i="10"/>
  <c r="I798" i="10" s="1"/>
  <c r="K798" i="10" s="1"/>
  <c r="O801" i="10"/>
  <c r="S800" i="10"/>
  <c r="I800" i="10" s="1"/>
  <c r="F365" i="13" s="1"/>
  <c r="O800" i="10"/>
  <c r="E365" i="13"/>
  <c r="H365" i="13" s="1" a="1"/>
  <c r="H365" i="13" s="1"/>
  <c r="S799" i="10"/>
  <c r="I799" i="10" s="1"/>
  <c r="K799" i="10" s="1"/>
  <c r="O798" i="10"/>
  <c r="L798" i="10"/>
  <c r="O797" i="10"/>
  <c r="S796" i="10"/>
  <c r="I796" i="10" s="1"/>
  <c r="F363" i="13" s="1"/>
  <c r="G363" i="13" s="1"/>
  <c r="I363" i="13" s="1"/>
  <c r="Y363" i="13" s="1"/>
  <c r="S797" i="10"/>
  <c r="I797" i="10" s="1"/>
  <c r="K797" i="10" s="1"/>
  <c r="O796" i="10"/>
  <c r="S791" i="10"/>
  <c r="I791" i="10" s="1"/>
  <c r="K791" i="10" s="1"/>
  <c r="O795" i="10"/>
  <c r="S792" i="10"/>
  <c r="I792" i="10" s="1"/>
  <c r="F361" i="13" s="1"/>
  <c r="G361" i="13" s="1"/>
  <c r="I361" i="13" s="1"/>
  <c r="Y361" i="13" s="1"/>
  <c r="L796" i="10"/>
  <c r="S794" i="10"/>
  <c r="I794" i="10" s="1"/>
  <c r="F362" i="13" s="1"/>
  <c r="G362" i="13" s="1"/>
  <c r="I362" i="13" s="1"/>
  <c r="Y362" i="13" s="1"/>
  <c r="O794" i="10"/>
  <c r="S795" i="10"/>
  <c r="I795" i="10" s="1"/>
  <c r="K795" i="10" s="1"/>
  <c r="O793" i="10"/>
  <c r="L794" i="10"/>
  <c r="S793" i="10"/>
  <c r="I793" i="10" s="1"/>
  <c r="K793" i="10" s="1"/>
  <c r="S790" i="10"/>
  <c r="I790" i="10" s="1"/>
  <c r="K790" i="10" s="1"/>
  <c r="O792" i="10"/>
  <c r="L792" i="10"/>
  <c r="O791" i="10"/>
  <c r="S788" i="10"/>
  <c r="I788" i="10" s="1"/>
  <c r="F359" i="13" s="1"/>
  <c r="G359" i="13" s="1"/>
  <c r="I359" i="13" s="1"/>
  <c r="Y359" i="13" s="1"/>
  <c r="O790" i="10"/>
  <c r="L790" i="10"/>
  <c r="O789" i="10"/>
  <c r="S789" i="10"/>
  <c r="I789" i="10" s="1"/>
  <c r="K789" i="10" s="1"/>
  <c r="O788" i="10"/>
  <c r="L788" i="10"/>
  <c r="O787" i="10"/>
  <c r="S786" i="10"/>
  <c r="I786" i="10" s="1"/>
  <c r="F358" i="13" s="1"/>
  <c r="G358" i="13" s="1"/>
  <c r="I358" i="13" s="1"/>
  <c r="Y358" i="13" s="1"/>
  <c r="S787" i="10"/>
  <c r="I787" i="10" s="1"/>
  <c r="K787" i="10" s="1"/>
  <c r="O786" i="10"/>
  <c r="L784" i="10"/>
  <c r="L782" i="10"/>
  <c r="O785" i="10"/>
  <c r="L780" i="10"/>
  <c r="L786" i="10"/>
  <c r="S784" i="10"/>
  <c r="I784" i="10" s="1"/>
  <c r="F357" i="13" s="1"/>
  <c r="G357" i="13" s="1"/>
  <c r="I357" i="13" s="1"/>
  <c r="Y357" i="13" s="1"/>
  <c r="S785" i="10"/>
  <c r="I785" i="10" s="1"/>
  <c r="K785" i="10" s="1"/>
  <c r="O784" i="10"/>
  <c r="S782" i="10"/>
  <c r="I782" i="10" s="1"/>
  <c r="F356" i="13" s="1"/>
  <c r="G356" i="13" s="1"/>
  <c r="I356" i="13" s="1"/>
  <c r="Y356" i="13" s="1"/>
  <c r="S781" i="10"/>
  <c r="I781" i="10" s="1"/>
  <c r="K781" i="10" s="1"/>
  <c r="S783" i="10"/>
  <c r="I783" i="10" s="1"/>
  <c r="K783" i="10" s="1"/>
  <c r="O783" i="10"/>
  <c r="O782" i="10"/>
  <c r="O781" i="10"/>
  <c r="S780" i="10"/>
  <c r="I780" i="10" s="1"/>
  <c r="K780" i="10" s="1"/>
  <c r="L778" i="10"/>
  <c r="O780" i="10"/>
  <c r="S779" i="10"/>
  <c r="I779" i="10" s="1"/>
  <c r="K779" i="10" s="1"/>
  <c r="S776" i="10"/>
  <c r="I776" i="10" s="1"/>
  <c r="K776" i="10" s="1"/>
  <c r="S778" i="10"/>
  <c r="I778" i="10" s="1"/>
  <c r="F354" i="13" s="1"/>
  <c r="G354" i="13" s="1"/>
  <c r="I354" i="13" s="1"/>
  <c r="Y354" i="13" s="1"/>
  <c r="O778" i="10"/>
  <c r="L779" i="10"/>
  <c r="O777" i="10"/>
  <c r="S777" i="10"/>
  <c r="I777" i="10" s="1"/>
  <c r="K777" i="10" s="1"/>
  <c r="O776" i="10"/>
  <c r="O775" i="10"/>
  <c r="E353" i="13"/>
  <c r="H353" i="13" s="1" a="1"/>
  <c r="H353" i="13" s="1"/>
  <c r="O774" i="10"/>
  <c r="S774" i="10"/>
  <c r="I774" i="10" s="1"/>
  <c r="K774" i="10" s="1"/>
  <c r="S775" i="10"/>
  <c r="I775" i="10" s="1"/>
  <c r="L774" i="10"/>
  <c r="O773" i="10"/>
  <c r="O772" i="10"/>
  <c r="S773" i="10"/>
  <c r="I773" i="10" s="1"/>
  <c r="K773" i="10" s="1"/>
  <c r="S772" i="10"/>
  <c r="I772" i="10" s="1"/>
  <c r="K772" i="10" s="1"/>
  <c r="L772" i="10"/>
  <c r="O771" i="10"/>
  <c r="O770" i="10"/>
  <c r="S770" i="10"/>
  <c r="I770" i="10" s="1"/>
  <c r="K770" i="10" s="1"/>
  <c r="S771" i="10"/>
  <c r="I771" i="10" s="1"/>
  <c r="L770" i="10"/>
  <c r="D81" i="7"/>
  <c r="U60" i="9" s="1"/>
  <c r="S769" i="10"/>
  <c r="I769" i="10" s="1"/>
  <c r="K769" i="10" s="1"/>
  <c r="L768" i="10"/>
  <c r="O769" i="10"/>
  <c r="S768" i="10"/>
  <c r="I768" i="10" s="1"/>
  <c r="K768" i="10" s="1"/>
  <c r="O768" i="10"/>
  <c r="O767" i="10"/>
  <c r="S767" i="10"/>
  <c r="I767" i="10" s="1"/>
  <c r="K767" i="10" s="1"/>
  <c r="O766" i="10"/>
  <c r="S766" i="10"/>
  <c r="I766" i="10" s="1"/>
  <c r="K766" i="10" s="1"/>
  <c r="L763" i="10"/>
  <c r="O765" i="10"/>
  <c r="S765" i="10"/>
  <c r="I765" i="10" s="1"/>
  <c r="K765" i="10" s="1"/>
  <c r="L765" i="10"/>
  <c r="O764" i="10"/>
  <c r="O763" i="10"/>
  <c r="S764" i="10"/>
  <c r="I764" i="10" s="1"/>
  <c r="S763" i="10"/>
  <c r="I763" i="10" s="1"/>
  <c r="K763" i="10" s="1"/>
  <c r="O762" i="10"/>
  <c r="S762" i="10"/>
  <c r="I762" i="10" s="1"/>
  <c r="K762" i="10" s="1"/>
  <c r="S761" i="10"/>
  <c r="I761" i="10" s="1"/>
  <c r="K761" i="10" s="1"/>
  <c r="O761" i="10"/>
  <c r="L761" i="10"/>
  <c r="O760" i="10"/>
  <c r="O759" i="10"/>
  <c r="S759" i="10"/>
  <c r="I759" i="10" s="1"/>
  <c r="K759" i="10" s="1"/>
  <c r="S760" i="10"/>
  <c r="I760" i="10" s="1"/>
  <c r="L759" i="10"/>
  <c r="S750" i="10"/>
  <c r="I750" i="10" s="1"/>
  <c r="K750" i="10" s="1"/>
  <c r="S729" i="10"/>
  <c r="I729" i="10" s="1"/>
  <c r="F332" i="13" s="1"/>
  <c r="S747" i="10"/>
  <c r="I747" i="10" s="1"/>
  <c r="K747" i="10" s="1"/>
  <c r="S733" i="10"/>
  <c r="I733" i="10" s="1"/>
  <c r="K733" i="10" s="1"/>
  <c r="S736" i="10"/>
  <c r="I736" i="10" s="1"/>
  <c r="K736" i="10" s="1"/>
  <c r="O758" i="10"/>
  <c r="Q55" i="11"/>
  <c r="P55" i="11"/>
  <c r="P53" i="11"/>
  <c r="Q53" i="11"/>
  <c r="Q47" i="11"/>
  <c r="P47" i="11"/>
  <c r="E344" i="13"/>
  <c r="H344" i="13" s="1" a="1"/>
  <c r="H344" i="13" s="1"/>
  <c r="O757" i="10"/>
  <c r="L757" i="10"/>
  <c r="P5" i="10"/>
  <c r="P6" i="10"/>
  <c r="P4" i="10"/>
  <c r="Q4" i="10" s="1"/>
  <c r="L758" i="10"/>
  <c r="S758" i="10"/>
  <c r="I758" i="10" s="1"/>
  <c r="K758" i="10" s="1"/>
  <c r="S757" i="10"/>
  <c r="I757" i="10" s="1"/>
  <c r="O755" i="10"/>
  <c r="O756" i="10"/>
  <c r="O751" i="10"/>
  <c r="O752" i="10"/>
  <c r="O753" i="10"/>
  <c r="O754" i="10"/>
  <c r="L756" i="10"/>
  <c r="S755" i="10"/>
  <c r="I755" i="10" s="1"/>
  <c r="S756" i="10"/>
  <c r="I756" i="10" s="1"/>
  <c r="K756" i="10" s="1"/>
  <c r="L755" i="10"/>
  <c r="L754" i="10"/>
  <c r="S753" i="10"/>
  <c r="I753" i="10" s="1"/>
  <c r="K753" i="10" s="1"/>
  <c r="S754" i="10"/>
  <c r="I754" i="10" s="1"/>
  <c r="E342" i="13"/>
  <c r="H342" i="13" s="1" a="1"/>
  <c r="H342" i="13" s="1"/>
  <c r="L753" i="10"/>
  <c r="L752" i="10"/>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L729" i="10"/>
  <c r="L728" i="10"/>
  <c r="S728" i="10"/>
  <c r="I728" i="10" s="1"/>
  <c r="K728" i="10" s="1"/>
  <c r="S727" i="10"/>
  <c r="I727" i="10" s="1"/>
  <c r="K727" i="10" s="1"/>
  <c r="O726" i="10"/>
  <c r="L726" i="10"/>
  <c r="S725" i="10"/>
  <c r="I725" i="10" s="1"/>
  <c r="F331" i="13" s="1"/>
  <c r="S726" i="10"/>
  <c r="I726" i="10" s="1"/>
  <c r="K726" i="10" s="1"/>
  <c r="O725" i="10"/>
  <c r="E331" i="13"/>
  <c r="H331" i="13" s="1" a="1"/>
  <c r="H331" i="13" s="1"/>
  <c r="L725" i="10"/>
  <c r="O724" i="10"/>
  <c r="L724" i="10"/>
  <c r="S723" i="10"/>
  <c r="I723" i="10" s="1"/>
  <c r="K723" i="10" s="1"/>
  <c r="S724" i="10"/>
  <c r="I724" i="10" s="1"/>
  <c r="K724" i="10" s="1"/>
  <c r="O723" i="10"/>
  <c r="E330" i="13"/>
  <c r="H330" i="13" s="1" a="1"/>
  <c r="H330" i="13" s="1"/>
  <c r="L723" i="10"/>
  <c r="O722" i="10"/>
  <c r="L722" i="10"/>
  <c r="S721" i="10"/>
  <c r="I721" i="10" s="1"/>
  <c r="K721" i="10" s="1"/>
  <c r="S722" i="10"/>
  <c r="I722" i="10" s="1"/>
  <c r="K722" i="10" s="1"/>
  <c r="O721" i="10"/>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H197" i="13" s="1" a="1"/>
  <c r="H197" i="13" s="1"/>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H87" i="13" s="1" a="1"/>
  <c r="H87" i="13" s="1"/>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K22" i="12" s="1"/>
  <c r="O22" i="12" s="1"/>
  <c r="D3" i="11"/>
  <c r="H21" i="12"/>
  <c r="J21" i="12" s="1"/>
  <c r="K21" i="12"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P37" i="11"/>
  <c r="P51" i="11"/>
  <c r="Q33" i="11"/>
  <c r="P46" i="11"/>
  <c r="R46" i="11" s="1"/>
  <c r="E32" i="9"/>
  <c r="F32" i="9" s="1"/>
  <c r="D27" i="9"/>
  <c r="E25" i="9"/>
  <c r="F25" i="9" s="1"/>
  <c r="D28" i="9"/>
  <c r="E31" i="9"/>
  <c r="F31" i="9" s="1"/>
  <c r="G28" i="5"/>
  <c r="B20" i="5"/>
  <c r="G11" i="5"/>
  <c r="G22" i="5"/>
  <c r="G14" i="5"/>
  <c r="Q36" i="11"/>
  <c r="P45" i="11"/>
  <c r="P38" i="11"/>
  <c r="Q38" i="11"/>
  <c r="P39" i="11"/>
  <c r="Q39" i="11"/>
  <c r="P34" i="11"/>
  <c r="P40" i="11"/>
  <c r="Q34" i="11"/>
  <c r="P42" i="11"/>
  <c r="R42" i="11" s="1"/>
  <c r="P50" i="1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S472" i="10"/>
  <c r="I472" i="10" s="1"/>
  <c r="K472" i="10" s="1"/>
  <c r="L484" i="10"/>
  <c r="S491" i="10"/>
  <c r="I491" i="10" s="1"/>
  <c r="F235" i="13" s="1"/>
  <c r="S492" i="10"/>
  <c r="I492" i="10" s="1"/>
  <c r="K492" i="10" s="1"/>
  <c r="V13" i="13"/>
  <c r="G14" i="13"/>
  <c r="H14" i="13" s="1"/>
  <c r="P49" i="11"/>
  <c r="S470" i="10"/>
  <c r="I470" i="10" s="1"/>
  <c r="F227" i="13" s="1"/>
  <c r="S478" i="10"/>
  <c r="I478" i="10" s="1"/>
  <c r="K478" i="10" s="1"/>
  <c r="Q49" i="11"/>
  <c r="G12" i="13"/>
  <c r="H12" i="13" s="1"/>
  <c r="Q15" i="13"/>
  <c r="Q16" i="13"/>
  <c r="T16" i="13" s="1"/>
  <c r="Q44" i="11"/>
  <c r="P44" i="11"/>
  <c r="H20" i="12"/>
  <c r="Q9" i="13"/>
  <c r="T9" i="13" s="1"/>
  <c r="L490" i="10"/>
  <c r="S494" i="10"/>
  <c r="I494" i="10" s="1"/>
  <c r="F236" i="13" s="1"/>
  <c r="I20" i="12"/>
  <c r="V9" i="13"/>
  <c r="H229" i="13" a="1"/>
  <c r="H229" i="13" s="1"/>
  <c r="L480" i="10"/>
  <c r="P35" i="11"/>
  <c r="H19" i="12"/>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G17" i="13"/>
  <c r="O17" i="13" s="1"/>
  <c r="S485" i="10"/>
  <c r="I485" i="10" s="1"/>
  <c r="K485" i="10" s="1"/>
  <c r="L492" i="10"/>
  <c r="Q31" i="11"/>
  <c r="AH8" i="13"/>
  <c r="L475" i="10"/>
  <c r="L481" i="10"/>
  <c r="S484" i="10"/>
  <c r="I484" i="10" s="1"/>
  <c r="K484" i="10" s="1"/>
  <c r="P31" i="11"/>
  <c r="Q41" i="11"/>
  <c r="AH14" i="13"/>
  <c r="AH15" i="13"/>
  <c r="P32" i="11"/>
  <c r="P52" i="11"/>
  <c r="AG9" i="13"/>
  <c r="AG18" i="13"/>
  <c r="L494" i="10"/>
  <c r="AG13" i="13"/>
  <c r="V20" i="13"/>
  <c r="L488" i="10"/>
  <c r="L468" i="10"/>
  <c r="Y480" i="10"/>
  <c r="Z480" i="10" s="1"/>
  <c r="Y478" i="10"/>
  <c r="Z478" i="10" s="1"/>
  <c r="AA478" i="10" s="1"/>
  <c r="AB478" i="10" s="1"/>
  <c r="U481" i="10" s="1"/>
  <c r="L487" i="10"/>
  <c r="S490" i="10"/>
  <c r="I490" i="10" s="1"/>
  <c r="F234" i="13" s="1"/>
  <c r="Y374" i="13"/>
  <c r="Y437" i="13"/>
  <c r="Y421" i="13"/>
  <c r="Y405" i="13"/>
  <c r="Y389" i="13"/>
  <c r="Y373" i="13"/>
  <c r="Y444" i="13"/>
  <c r="Y428" i="13"/>
  <c r="Y412" i="13"/>
  <c r="Y396" i="13"/>
  <c r="Y380" i="13"/>
  <c r="Y435" i="13"/>
  <c r="Y419" i="13"/>
  <c r="Y403" i="13"/>
  <c r="Y387" i="13"/>
  <c r="Y442" i="13"/>
  <c r="Y426" i="13"/>
  <c r="Y410" i="13"/>
  <c r="Y394" i="13"/>
  <c r="Y378" i="13"/>
  <c r="Y440" i="13"/>
  <c r="Y424" i="13"/>
  <c r="Y408" i="13"/>
  <c r="Y392" i="13"/>
  <c r="Y431" i="13"/>
  <c r="Y415" i="13"/>
  <c r="Y399" i="13"/>
  <c r="Y383" i="13"/>
  <c r="Y433" i="13"/>
  <c r="Y417" i="13"/>
  <c r="Y401" i="13"/>
  <c r="Y385" i="13"/>
  <c r="Y376" i="13"/>
  <c r="AG19" i="13"/>
  <c r="AG11" i="13"/>
  <c r="AH18" i="13"/>
  <c r="AH10" i="13"/>
  <c r="AH17" i="13"/>
  <c r="AH9" i="13"/>
  <c r="AG17" i="13"/>
  <c r="AH19" i="13"/>
  <c r="AG10" i="13"/>
  <c r="AG14" i="13"/>
  <c r="AH11" i="13"/>
  <c r="AH7" i="13"/>
  <c r="AH20" i="13"/>
  <c r="AG20" i="13"/>
  <c r="AG15" i="13"/>
  <c r="AH12" i="13"/>
  <c r="AG8" i="13"/>
  <c r="AG12" i="13"/>
  <c r="I19" i="12"/>
  <c r="V19" i="13"/>
  <c r="Q11" i="13"/>
  <c r="Q17" i="13"/>
  <c r="R17" i="13" s="1"/>
  <c r="V8" i="13"/>
  <c r="V16" i="13"/>
  <c r="Y379" i="13"/>
  <c r="Y386" i="13"/>
  <c r="Y402" i="13"/>
  <c r="Y418" i="13"/>
  <c r="Y434" i="13"/>
  <c r="Y391" i="13"/>
  <c r="Y407" i="13"/>
  <c r="Y423" i="13"/>
  <c r="Y395" i="13"/>
  <c r="Y411" i="13"/>
  <c r="Y427" i="13"/>
  <c r="Y439" i="13"/>
  <c r="Y384" i="13"/>
  <c r="Y377" i="13"/>
  <c r="Y400" i="13"/>
  <c r="Y416" i="13"/>
  <c r="Y432" i="13"/>
  <c r="Y443" i="13"/>
  <c r="Y381" i="13"/>
  <c r="Y388" i="13"/>
  <c r="Y404" i="13"/>
  <c r="Y420" i="13"/>
  <c r="Y436" i="13"/>
  <c r="Y393" i="13"/>
  <c r="Y397" i="13"/>
  <c r="Y409" i="13"/>
  <c r="Y413" i="13"/>
  <c r="Y425" i="13"/>
  <c r="Y429" i="13"/>
  <c r="Y382" i="13"/>
  <c r="Y375" i="13"/>
  <c r="Y441" i="13"/>
  <c r="Y390" i="13"/>
  <c r="Y398" i="13"/>
  <c r="Y406" i="13"/>
  <c r="Y414" i="13"/>
  <c r="Y422" i="13"/>
  <c r="Y430" i="13"/>
  <c r="Y438" i="13"/>
  <c r="G372" i="13" l="1"/>
  <c r="I372" i="13" s="1"/>
  <c r="Y372" i="13" s="1"/>
  <c r="K812" i="10"/>
  <c r="F369" i="13"/>
  <c r="G369" i="13" s="1"/>
  <c r="I369" i="13" s="1"/>
  <c r="Y369" i="13" s="1"/>
  <c r="F368" i="13"/>
  <c r="G368" i="13" s="1"/>
  <c r="I368" i="13" s="1"/>
  <c r="Y368" i="13" s="1"/>
  <c r="F367" i="13"/>
  <c r="G367" i="13" s="1"/>
  <c r="I367" i="13" s="1"/>
  <c r="Y367" i="13" s="1"/>
  <c r="F364" i="13"/>
  <c r="G364" i="13" s="1"/>
  <c r="I364" i="13" s="1"/>
  <c r="Y364" i="13" s="1"/>
  <c r="F366" i="13"/>
  <c r="G366" i="13" s="1"/>
  <c r="I366" i="13" s="1"/>
  <c r="Y366" i="13" s="1"/>
  <c r="K800" i="10"/>
  <c r="G365" i="13"/>
  <c r="I365" i="13" s="1"/>
  <c r="Y365" i="13" s="1"/>
  <c r="K796" i="10"/>
  <c r="K794" i="10"/>
  <c r="F360" i="13"/>
  <c r="G360" i="13" s="1"/>
  <c r="I360" i="13" s="1"/>
  <c r="Y360" i="13" s="1"/>
  <c r="K792" i="10"/>
  <c r="K788" i="10"/>
  <c r="K786" i="10"/>
  <c r="K784" i="10"/>
  <c r="K782" i="10"/>
  <c r="F355" i="13"/>
  <c r="G355" i="13" s="1"/>
  <c r="I355" i="13" s="1"/>
  <c r="Y355" i="13" s="1"/>
  <c r="F353" i="13"/>
  <c r="G353" i="13" s="1"/>
  <c r="I353" i="13" s="1"/>
  <c r="Y353" i="13" s="1"/>
  <c r="K778" i="10"/>
  <c r="K775" i="10"/>
  <c r="F352" i="13"/>
  <c r="G352" i="13" s="1"/>
  <c r="I352" i="13" s="1"/>
  <c r="Y352" i="13" s="1"/>
  <c r="F351" i="13"/>
  <c r="G351" i="13" s="1"/>
  <c r="I351" i="13" s="1"/>
  <c r="Y351" i="13" s="1"/>
  <c r="K771" i="10"/>
  <c r="F350" i="13"/>
  <c r="G350" i="13" s="1"/>
  <c r="I350" i="13" s="1"/>
  <c r="Y350" i="13" s="1"/>
  <c r="F349" i="13"/>
  <c r="G349" i="13" s="1"/>
  <c r="I349" i="13" s="1"/>
  <c r="Y349" i="13" s="1"/>
  <c r="F348" i="13"/>
  <c r="G348" i="13" s="1"/>
  <c r="I348" i="13" s="1"/>
  <c r="Y348" i="13" s="1"/>
  <c r="K764" i="10"/>
  <c r="F347" i="13"/>
  <c r="G347" i="13" s="1"/>
  <c r="I347" i="13" s="1"/>
  <c r="Y347" i="13" s="1"/>
  <c r="G332" i="13"/>
  <c r="I332" i="13" s="1"/>
  <c r="Y332" i="13" s="1"/>
  <c r="F346" i="13"/>
  <c r="G346" i="13" s="1"/>
  <c r="I346" i="13" s="1"/>
  <c r="Y346" i="13" s="1"/>
  <c r="K725" i="10"/>
  <c r="K760" i="10"/>
  <c r="F345" i="13"/>
  <c r="G345" i="13" s="1"/>
  <c r="I345" i="13" s="1"/>
  <c r="Y345" i="13" s="1"/>
  <c r="F329" i="13"/>
  <c r="G329" i="13" s="1"/>
  <c r="I329" i="13" s="1"/>
  <c r="Y329" i="13" s="1"/>
  <c r="F330" i="13"/>
  <c r="G330" i="13" s="1"/>
  <c r="I330" i="13" s="1"/>
  <c r="Y330" i="13" s="1"/>
  <c r="F326" i="13"/>
  <c r="G326" i="13" s="1"/>
  <c r="I326" i="13" s="1"/>
  <c r="Y326" i="13" s="1"/>
  <c r="R37" i="11"/>
  <c r="R51" i="11"/>
  <c r="R45" i="11"/>
  <c r="R39" i="11"/>
  <c r="R40" i="11"/>
  <c r="R50" i="11"/>
  <c r="R43" i="11"/>
  <c r="J20" i="12"/>
  <c r="K20" i="12" s="1"/>
  <c r="O25" i="12" s="1"/>
  <c r="R41" i="11"/>
  <c r="R32" i="11"/>
  <c r="R52" i="11"/>
  <c r="R7" i="11"/>
  <c r="R8" i="11"/>
  <c r="R53" i="11"/>
  <c r="R10" i="11"/>
  <c r="R47" i="11"/>
  <c r="R33" i="11"/>
  <c r="R9" i="11"/>
  <c r="R36" i="11"/>
  <c r="R55" i="11"/>
  <c r="AN13" i="13"/>
  <c r="O24" i="12"/>
  <c r="K757" i="10"/>
  <c r="F344" i="13"/>
  <c r="G344" i="13" s="1"/>
  <c r="I344" i="13" s="1"/>
  <c r="Y344" i="13" s="1"/>
  <c r="K755" i="10"/>
  <c r="F343" i="13"/>
  <c r="G343" i="13" s="1"/>
  <c r="I343" i="13" s="1"/>
  <c r="Y343" i="13" s="1"/>
  <c r="K754" i="10"/>
  <c r="F342" i="13"/>
  <c r="G342" i="13" s="1"/>
  <c r="I342" i="13" s="1"/>
  <c r="Y342" i="13" s="1"/>
  <c r="K751" i="10"/>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11" i="9" l="1"/>
  <c r="AI20" i="13"/>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U654" i="10" s="1"/>
  <c r="AA650" i="10"/>
  <c r="AB650" i="10" s="1"/>
  <c r="U653" i="10" s="1"/>
  <c r="AA649" i="10"/>
  <c r="AB649" i="10" s="1"/>
  <c r="U652" i="10" s="1"/>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U775" i="10" l="1"/>
  <c r="AA34" i="10"/>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U570" i="10"/>
  <c r="Y523" i="10"/>
  <c r="Y520" i="10"/>
  <c r="Z520" i="10" s="1"/>
  <c r="AA520" i="10" s="1"/>
  <c r="AB520" i="10" s="1"/>
  <c r="Y521" i="10"/>
  <c r="Z521" i="10" s="1"/>
  <c r="AA521" i="10" s="1"/>
  <c r="AB521" i="10" s="1"/>
  <c r="Y522" i="10"/>
  <c r="Z522" i="10" s="1"/>
  <c r="AA522" i="10" s="1"/>
  <c r="AB522" i="10" s="1"/>
  <c r="Y519" i="10"/>
  <c r="Z519" i="10" s="1"/>
  <c r="AA500" i="10"/>
  <c r="AB500" i="10" s="1"/>
  <c r="AA499" i="10"/>
  <c r="AB499" i="10"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U787" i="10" l="1"/>
  <c r="U786" i="10"/>
  <c r="Y787" i="10" s="1"/>
  <c r="Y774" i="10"/>
  <c r="Y775" i="10"/>
  <c r="Z775" i="10" s="1"/>
  <c r="U774" i="10"/>
  <c r="Y57" i="10"/>
  <c r="Z57" i="10" s="1"/>
  <c r="Y58" i="10"/>
  <c r="Z58" i="10" s="1"/>
  <c r="Y468" i="10"/>
  <c r="Z468" i="10" s="1"/>
  <c r="Y469" i="10"/>
  <c r="Z469" i="10" s="1"/>
  <c r="Y667" i="10"/>
  <c r="Z667" i="10" s="1"/>
  <c r="Y668" i="10"/>
  <c r="Z668" i="10" s="1"/>
  <c r="AA668" i="10" s="1"/>
  <c r="AB668" i="10" s="1"/>
  <c r="Y666" i="10"/>
  <c r="Z666" i="10" s="1"/>
  <c r="AA666" i="10" s="1"/>
  <c r="AB666" i="10" s="1"/>
  <c r="Y573" i="10"/>
  <c r="Z573" i="10" s="1"/>
  <c r="AA573" i="10" s="1"/>
  <c r="AB573" i="10" s="1"/>
  <c r="Y571" i="10"/>
  <c r="Z571" i="10" s="1"/>
  <c r="AA571" i="10" s="1"/>
  <c r="AB571" i="10" s="1"/>
  <c r="L125" i="7" s="1"/>
  <c r="Y572" i="10"/>
  <c r="Z572" i="10" s="1"/>
  <c r="AA572" i="10" s="1"/>
  <c r="AB572" i="10" s="1"/>
  <c r="Y570" i="10"/>
  <c r="Z570" i="10" s="1"/>
  <c r="U527" i="10"/>
  <c r="U526" i="10"/>
  <c r="U525" i="10"/>
  <c r="U502" i="10"/>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Z787" i="10" l="1"/>
  <c r="AA787" i="10" s="1"/>
  <c r="AB787" i="10" s="1"/>
  <c r="I129" i="7" s="1"/>
  <c r="AA786" i="10"/>
  <c r="AB786" i="10" s="1"/>
  <c r="F129" i="7" s="1"/>
  <c r="Y786" i="10"/>
  <c r="Z786" i="10" s="1"/>
  <c r="AA775" i="10"/>
  <c r="AB775" i="10" s="1"/>
  <c r="L114" i="7" s="1"/>
  <c r="Z774" i="10"/>
  <c r="AA774" i="10" s="1"/>
  <c r="AB774" i="10" s="1"/>
  <c r="G114" i="7" s="1"/>
  <c r="AA57" i="10"/>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H28" i="5" l="1"/>
  <c r="P129" i="7"/>
  <c r="B33" i="3" s="1"/>
  <c r="P114" i="7"/>
  <c r="B18" i="3" s="1"/>
  <c r="D18" i="3" s="1"/>
  <c r="Y60" i="10"/>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D33" i="3" l="1"/>
  <c r="C33" i="3"/>
  <c r="C18" i="3"/>
  <c r="AA60" i="10"/>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U600" i="10" s="1"/>
  <c r="AA599" i="10"/>
  <c r="AB599" i="10" s="1"/>
  <c r="U603" i="10" s="1"/>
  <c r="U601"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U759" i="10" l="1"/>
  <c r="AA403" i="10"/>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s="1"/>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C10" i="3" l="1"/>
  <c r="Y408" i="10"/>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AA409" i="10"/>
  <c r="AB409" i="10"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U769" i="10" l="1"/>
  <c r="U768" i="10"/>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Y768" i="10" l="1"/>
  <c r="Z768" i="10" s="1"/>
  <c r="Y769" i="10"/>
  <c r="Z769" i="10" s="1"/>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769" i="10" l="1"/>
  <c r="AB769" i="10" s="1"/>
  <c r="AA768" i="10"/>
  <c r="AB768" i="10" s="1"/>
  <c r="AA675" i="10"/>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U771" i="10" l="1"/>
  <c r="U770" i="10"/>
  <c r="Y678" i="10"/>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71" i="10" l="1"/>
  <c r="Z771" i="10" s="1"/>
  <c r="AA771" i="10" s="1"/>
  <c r="AB771" i="10" s="1"/>
  <c r="Y770" i="10"/>
  <c r="Z770" i="10" s="1"/>
  <c r="AA770" i="10" s="1"/>
  <c r="AB770" i="10" s="1"/>
  <c r="Y713" i="10"/>
  <c r="Z713" i="10" s="1"/>
  <c r="Y714" i="10"/>
  <c r="AA677" i="10"/>
  <c r="AB677" i="10" s="1"/>
  <c r="U757" i="10"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U773" i="10" l="1"/>
  <c r="U772" i="10"/>
  <c r="Y758" i="10"/>
  <c r="Y757" i="10"/>
  <c r="Z757" i="10" s="1"/>
  <c r="Z714" i="10"/>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773" i="10" l="1"/>
  <c r="Z773" i="10" s="1"/>
  <c r="Y772" i="10"/>
  <c r="Z772" i="10" s="1"/>
  <c r="AA772" i="10" s="1"/>
  <c r="AB772" i="10" s="1"/>
  <c r="I121" i="7" s="1"/>
  <c r="AA714" i="10"/>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AA773" i="10" l="1"/>
  <c r="AB773" i="10" s="1"/>
  <c r="B121" i="7" s="1"/>
  <c r="P121" i="7" s="1"/>
  <c r="B25" i="3" s="1"/>
  <c r="D25" i="3" s="1"/>
  <c r="Y715" i="10"/>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3" i="9"/>
  <c r="Y268" i="10"/>
  <c r="Z268" i="10" s="1"/>
  <c r="Y269" i="10"/>
  <c r="Z269" i="10" s="1"/>
  <c r="C25" i="3" l="1"/>
  <c r="AA716" i="10"/>
  <c r="AB716" i="10" s="1"/>
  <c r="U717" i="10" s="1"/>
  <c r="AA715" i="10"/>
  <c r="AB715" i="10" s="1"/>
  <c r="U718" i="10" s="1"/>
  <c r="Y626" i="10"/>
  <c r="Z626" i="10" s="1"/>
  <c r="AA626" i="10" s="1"/>
  <c r="AB626" i="10" s="1"/>
  <c r="Y625" i="10"/>
  <c r="Z625" i="10" s="1"/>
  <c r="AA618" i="10"/>
  <c r="AB618" i="10" s="1"/>
  <c r="B107" i="7" s="1"/>
  <c r="M43" i="13"/>
  <c r="M42" i="13"/>
  <c r="H49" i="10"/>
  <c r="H26" i="10"/>
  <c r="AA268" i="10"/>
  <c r="AB268" i="10" s="1"/>
  <c r="U303" i="10" s="1"/>
  <c r="AA269" i="10"/>
  <c r="AB269" i="10" s="1"/>
  <c r="U296" i="10" s="1"/>
  <c r="R31" i="13"/>
  <c r="H25" i="10"/>
  <c r="K42" i="13"/>
  <c r="H47" i="10"/>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U767" i="10" l="1"/>
  <c r="Y717" i="10"/>
  <c r="Z717" i="10" s="1"/>
  <c r="Y718" i="10"/>
  <c r="Z718" i="10" s="1"/>
  <c r="AA625" i="10"/>
  <c r="AB625" i="10"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U754" i="10"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U760" i="10" l="1"/>
  <c r="Y754" i="10"/>
  <c r="Z754" i="10" s="1"/>
  <c r="Y753" i="10"/>
  <c r="L118" i="7"/>
  <c r="E33" i="9" s="1"/>
  <c r="AA718" i="10"/>
  <c r="AB718" i="10" s="1"/>
  <c r="J110" i="7" s="1"/>
  <c r="AA717" i="10"/>
  <c r="AB717" i="10" s="1"/>
  <c r="U758" i="10" s="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Y759" i="10" l="1"/>
  <c r="Z759" i="10" s="1"/>
  <c r="AA759" i="10" s="1"/>
  <c r="AB759" i="10" s="1"/>
  <c r="Y760" i="10"/>
  <c r="Z760" i="10" s="1"/>
  <c r="AA760" i="10" s="1"/>
  <c r="AB760" i="10" s="1"/>
  <c r="Z758" i="10"/>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U762" i="10" l="1"/>
  <c r="U761" i="10"/>
  <c r="AA758" i="10"/>
  <c r="AB758" i="10" s="1"/>
  <c r="AA757" i="10"/>
  <c r="AB757" i="10" s="1"/>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U777" i="10" l="1"/>
  <c r="U776" i="10"/>
  <c r="Y777" i="10" s="1"/>
  <c r="Y761" i="10"/>
  <c r="Z761" i="10" s="1"/>
  <c r="Y762" i="10"/>
  <c r="Z762" i="10" s="1"/>
  <c r="P28" i="10"/>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Z777" i="10" l="1"/>
  <c r="AA777" i="10" s="1"/>
  <c r="AB777" i="10" s="1"/>
  <c r="AA776" i="10"/>
  <c r="AB776" i="10" s="1"/>
  <c r="Y776" i="10"/>
  <c r="Z776" i="10" s="1"/>
  <c r="AA762" i="10"/>
  <c r="AB762" i="10" s="1"/>
  <c r="AA761" i="10"/>
  <c r="AB761" i="10" s="1"/>
  <c r="Y427" i="10"/>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779" i="10" l="1"/>
  <c r="U778" i="10"/>
  <c r="Y779" i="10" s="1"/>
  <c r="Z779" i="10" s="1"/>
  <c r="U764" i="10"/>
  <c r="U763" i="10"/>
  <c r="U569" i="10"/>
  <c r="Y302" i="10"/>
  <c r="Z302" i="10" s="1"/>
  <c r="Y303" i="10"/>
  <c r="Z303" i="10" s="1"/>
  <c r="AA103" i="10"/>
  <c r="AB103" i="10" s="1"/>
  <c r="U111" i="10" s="1"/>
  <c r="AA102" i="10"/>
  <c r="AB102" i="10" s="1"/>
  <c r="AA197" i="10"/>
  <c r="AB197" i="10" s="1"/>
  <c r="U201" i="10" s="1"/>
  <c r="AA198" i="10"/>
  <c r="AB198" i="10" s="1"/>
  <c r="U219" i="10" s="1"/>
  <c r="AA196" i="10"/>
  <c r="AB196" i="10" s="1"/>
  <c r="U200" i="10" s="1"/>
  <c r="AA466" i="10"/>
  <c r="AB466" i="10" s="1"/>
  <c r="U753" i="10" s="1"/>
  <c r="Z753" i="10" s="1"/>
  <c r="AA467" i="10"/>
  <c r="AB467" i="10" s="1"/>
  <c r="U491" i="10" s="1"/>
  <c r="AA428" i="10"/>
  <c r="AB428" i="10" s="1"/>
  <c r="U430" i="10" s="1"/>
  <c r="AA427" i="10"/>
  <c r="AB427" i="10" s="1"/>
  <c r="U429" i="10" s="1"/>
  <c r="J27" i="10"/>
  <c r="M27" i="10" s="1"/>
  <c r="N27" i="10" s="1"/>
  <c r="J28" i="10"/>
  <c r="M28" i="10" s="1"/>
  <c r="N28" i="10" s="1"/>
  <c r="U780" i="10" l="1"/>
  <c r="Y781" i="10" s="1"/>
  <c r="AA778" i="10"/>
  <c r="AB778" i="10" s="1"/>
  <c r="I110" i="7" s="1"/>
  <c r="AA779" i="10"/>
  <c r="AB779" i="10" s="1"/>
  <c r="F110" i="7" s="1"/>
  <c r="H9" i="5" s="1"/>
  <c r="Y778" i="10"/>
  <c r="Z778" i="10" s="1"/>
  <c r="Y763" i="10"/>
  <c r="Z763" i="10" s="1"/>
  <c r="AA763" i="10" s="1"/>
  <c r="AB763" i="10" s="1"/>
  <c r="Y764" i="10"/>
  <c r="Z764" i="10" s="1"/>
  <c r="AA753" i="10"/>
  <c r="AB753" i="10" s="1"/>
  <c r="U755" i="10" s="1"/>
  <c r="AA754" i="10"/>
  <c r="AB754" i="10" s="1"/>
  <c r="U756" i="10" s="1"/>
  <c r="G118" i="7"/>
  <c r="R35" i="13"/>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AA764" i="10" l="1"/>
  <c r="AB764" i="10" s="1"/>
  <c r="P110" i="7"/>
  <c r="B14" i="3" s="1"/>
  <c r="D14" i="3" s="1"/>
  <c r="Y780" i="10"/>
  <c r="Z780" i="10" s="1"/>
  <c r="U766" i="10"/>
  <c r="U765" i="10"/>
  <c r="Y767" i="10" s="1"/>
  <c r="Z767" i="10" s="1"/>
  <c r="AA767" i="10" s="1"/>
  <c r="AB767" i="10" s="1"/>
  <c r="Y756" i="10"/>
  <c r="Z756" i="10" s="1"/>
  <c r="AA756" i="10" s="1"/>
  <c r="AB756" i="10" s="1"/>
  <c r="L119" i="7" s="1"/>
  <c r="Y755" i="10"/>
  <c r="Z755" i="10" s="1"/>
  <c r="P118" i="7"/>
  <c r="B22" i="3" s="1"/>
  <c r="E28" i="9"/>
  <c r="P36" i="10"/>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U802" i="10" l="1"/>
  <c r="C14" i="3"/>
  <c r="Y765" i="10"/>
  <c r="Z765" i="10" s="1"/>
  <c r="Y766" i="10"/>
  <c r="Z766" i="10" s="1"/>
  <c r="AA755" i="10"/>
  <c r="AB755" i="10" s="1"/>
  <c r="G119" i="7" s="1"/>
  <c r="C22" i="3"/>
  <c r="D22" i="3"/>
  <c r="F28" i="9"/>
  <c r="F30" i="9"/>
  <c r="F33" i="9"/>
  <c r="F27" i="9"/>
  <c r="F23" i="9"/>
  <c r="Y113" i="10"/>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Y802" i="10" l="1"/>
  <c r="Z802" i="10" s="1"/>
  <c r="Y803" i="10"/>
  <c r="AA766" i="10"/>
  <c r="AB766" i="10" s="1"/>
  <c r="AA765" i="10"/>
  <c r="AB765" i="10" s="1"/>
  <c r="AA493" i="10"/>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U805" i="10" l="1"/>
  <c r="U803" i="10"/>
  <c r="Z803" i="10" s="1"/>
  <c r="Y721" i="10"/>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803" i="10" l="1"/>
  <c r="AB803" i="10" s="1"/>
  <c r="AA802" i="10"/>
  <c r="AB802" i="10" s="1"/>
  <c r="G107" i="7" s="1"/>
  <c r="AA722" i="10"/>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804" i="10" l="1"/>
  <c r="Y723" i="10"/>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Y804" i="10" l="1"/>
  <c r="Z804" i="10" s="1"/>
  <c r="Y805" i="10"/>
  <c r="Z805" i="10" s="1"/>
  <c r="AA724" i="10"/>
  <c r="AB724" i="10" s="1"/>
  <c r="AA723" i="10"/>
  <c r="AB723" i="10"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AA805" i="10" l="1"/>
  <c r="AB805" i="10" s="1"/>
  <c r="AA804" i="10"/>
  <c r="AB804" i="10" s="1"/>
  <c r="U789" i="10"/>
  <c r="U788" i="10"/>
  <c r="Y789" i="10"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Z789" i="10" l="1"/>
  <c r="U807" i="10"/>
  <c r="U806" i="10"/>
  <c r="AA789" i="10"/>
  <c r="AB789" i="10" s="1"/>
  <c r="AA788" i="10"/>
  <c r="AB788" i="10" s="1"/>
  <c r="Y788" i="10"/>
  <c r="Z788" i="10" s="1"/>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806" i="10" l="1"/>
  <c r="Z806" i="10" s="1"/>
  <c r="Y807" i="10"/>
  <c r="Z807" i="10" s="1"/>
  <c r="U791" i="10"/>
  <c r="U790" i="10"/>
  <c r="Y791" i="10" s="1"/>
  <c r="Z791" i="10" s="1"/>
  <c r="Y628" i="10"/>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807" i="10" l="1"/>
  <c r="AB807" i="10" s="1"/>
  <c r="AA806" i="10"/>
  <c r="AB806" i="10" s="1"/>
  <c r="AA791" i="10"/>
  <c r="AB791" i="10" s="1"/>
  <c r="AA790" i="10"/>
  <c r="AB790" i="10" s="1"/>
  <c r="Y790" i="10"/>
  <c r="Z790" i="10" s="1"/>
  <c r="AA567" i="10"/>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809" i="10" l="1"/>
  <c r="U808" i="10"/>
  <c r="U793" i="10"/>
  <c r="U792" i="10"/>
  <c r="Y793" i="10" s="1"/>
  <c r="U628" i="10"/>
  <c r="U568" i="10"/>
  <c r="U544" i="10"/>
  <c r="H41" i="10"/>
  <c r="R39" i="13"/>
  <c r="H42" i="10"/>
  <c r="Y445" i="10"/>
  <c r="Z445" i="10" s="1"/>
  <c r="AA445" i="10" s="1"/>
  <c r="AB445" i="10" s="1"/>
  <c r="U447" i="10" s="1"/>
  <c r="Y443" i="10"/>
  <c r="Z443" i="10" s="1"/>
  <c r="Y444" i="10"/>
  <c r="Z444" i="10" s="1"/>
  <c r="Y234" i="10"/>
  <c r="Z234" i="10" s="1"/>
  <c r="Y233" i="10"/>
  <c r="Z233" i="10" s="1"/>
  <c r="Y808" i="10" l="1"/>
  <c r="Z808" i="10" s="1"/>
  <c r="Y809" i="10"/>
  <c r="Z809" i="10" s="1"/>
  <c r="Z793" i="10"/>
  <c r="AA793" i="10" s="1"/>
  <c r="AB793" i="10" s="1"/>
  <c r="AA792" i="10"/>
  <c r="AB792" i="10" s="1"/>
  <c r="Y792" i="10"/>
  <c r="Z792" i="10" s="1"/>
  <c r="Z628" i="10"/>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AA809" i="10" l="1"/>
  <c r="AB809" i="10" s="1"/>
  <c r="L107" i="7" s="1"/>
  <c r="AA808" i="10"/>
  <c r="AB808" i="10" s="1"/>
  <c r="H107" i="7" s="1"/>
  <c r="U795" i="10"/>
  <c r="U794" i="10"/>
  <c r="Y795" i="10" s="1"/>
  <c r="Z795" i="10" s="1"/>
  <c r="U681" i="10"/>
  <c r="AA628" i="10"/>
  <c r="AB628" i="10" s="1"/>
  <c r="AA627" i="10"/>
  <c r="AB627" i="10" s="1"/>
  <c r="U720" i="10" s="1"/>
  <c r="AA568" i="10"/>
  <c r="AB568" i="10" s="1"/>
  <c r="B108" i="7" s="1"/>
  <c r="D108" i="7"/>
  <c r="W41" i="10"/>
  <c r="X41" i="10" s="1"/>
  <c r="W42" i="10"/>
  <c r="X42" i="10" s="1"/>
  <c r="Y447" i="10"/>
  <c r="Z447" i="10" s="1"/>
  <c r="Y446" i="10"/>
  <c r="Z446" i="10" s="1"/>
  <c r="Z287" i="10"/>
  <c r="P107" i="7" l="1"/>
  <c r="B11" i="3" s="1"/>
  <c r="D11" i="3" s="1"/>
  <c r="AA795" i="10"/>
  <c r="AB795" i="10" s="1"/>
  <c r="AA794" i="10"/>
  <c r="AB794" i="10" s="1"/>
  <c r="Y794" i="10"/>
  <c r="Z794" i="10" s="1"/>
  <c r="Y681" i="10"/>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C11" i="3" l="1"/>
  <c r="U797" i="10"/>
  <c r="U796" i="10"/>
  <c r="Y797" i="10" s="1"/>
  <c r="U682" i="10"/>
  <c r="Y630" i="10"/>
  <c r="Z630" i="10" s="1"/>
  <c r="Y629" i="10"/>
  <c r="Z629" i="10" s="1"/>
  <c r="AA629" i="10" s="1"/>
  <c r="AB629" i="10" s="1"/>
  <c r="U631" i="10" s="1"/>
  <c r="R42" i="13"/>
  <c r="R40" i="13"/>
  <c r="R41" i="13"/>
  <c r="H48" i="10"/>
  <c r="H120" i="10"/>
  <c r="Y289" i="10"/>
  <c r="Z289" i="10" s="1"/>
  <c r="Y288" i="10"/>
  <c r="Z288" i="10" s="1"/>
  <c r="H23" i="5"/>
  <c r="Z797" i="10" l="1"/>
  <c r="AA797" i="10" s="1"/>
  <c r="AB797" i="10" s="1"/>
  <c r="AA796" i="10"/>
  <c r="AB796" i="10" s="1"/>
  <c r="Y796" i="10"/>
  <c r="Z796" i="10" s="1"/>
  <c r="Z682" i="10"/>
  <c r="AA630" i="10"/>
  <c r="AB630" i="10" s="1"/>
  <c r="Y631" i="10"/>
  <c r="Z631" i="10" s="1"/>
  <c r="Y632" i="10"/>
  <c r="U632" i="10"/>
  <c r="V120" i="10"/>
  <c r="V48" i="10"/>
  <c r="X48" i="10" s="1"/>
  <c r="Q48" i="10"/>
  <c r="AA288" i="10"/>
  <c r="AB288" i="10" s="1"/>
  <c r="AA289" i="10"/>
  <c r="AB289" i="10" s="1"/>
  <c r="U799" i="10" l="1"/>
  <c r="U798" i="10"/>
  <c r="Y799" i="10" s="1"/>
  <c r="AA682" i="10"/>
  <c r="AB682" i="10" s="1"/>
  <c r="AA681" i="10"/>
  <c r="AB681" i="10" s="1"/>
  <c r="U634" i="10"/>
  <c r="AA631" i="10"/>
  <c r="AB631" i="10" s="1"/>
  <c r="Z632" i="10"/>
  <c r="AA632" i="10" s="1"/>
  <c r="AB632" i="10" s="1"/>
  <c r="I108" i="7" s="1"/>
  <c r="U511" i="10"/>
  <c r="J48" i="10"/>
  <c r="M48" i="10" s="1"/>
  <c r="N48" i="10" s="1"/>
  <c r="J47" i="10"/>
  <c r="M47" i="10" s="1"/>
  <c r="N47" i="10" s="1"/>
  <c r="Z799" i="10" l="1"/>
  <c r="Y798" i="10"/>
  <c r="Z798" i="10" s="1"/>
  <c r="U683" i="10"/>
  <c r="U684" i="10"/>
  <c r="U647" i="10"/>
  <c r="Y511" i="10"/>
  <c r="Z511" i="10" s="1"/>
  <c r="Y512" i="10"/>
  <c r="Z512" i="10" s="1"/>
  <c r="AA512" i="10" s="1"/>
  <c r="AB512" i="10" s="1"/>
  <c r="K43" i="13"/>
  <c r="K50" i="13"/>
  <c r="K48" i="13"/>
  <c r="K46" i="13"/>
  <c r="K51" i="13"/>
  <c r="K49" i="13"/>
  <c r="K47" i="13"/>
  <c r="K52" i="13"/>
  <c r="K44" i="13"/>
  <c r="K45" i="13"/>
  <c r="H67" i="10"/>
  <c r="R43" i="13"/>
  <c r="H50" i="10"/>
  <c r="AA799" i="10" l="1"/>
  <c r="AB799" i="10" s="1"/>
  <c r="AA798" i="10"/>
  <c r="AB798" i="10" s="1"/>
  <c r="Y683" i="10"/>
  <c r="Z683" i="10" s="1"/>
  <c r="Y684" i="10"/>
  <c r="Z684" i="10" s="1"/>
  <c r="Y647" i="10"/>
  <c r="Z647" i="10" s="1"/>
  <c r="Y648" i="10"/>
  <c r="Z648" i="10" s="1"/>
  <c r="AA648" i="10" s="1"/>
  <c r="AB648" i="10" s="1"/>
  <c r="H108" i="7" s="1"/>
  <c r="AA511" i="10"/>
  <c r="AB511" i="10" s="1"/>
  <c r="U514" i="10"/>
  <c r="U513" i="10"/>
  <c r="V67" i="10"/>
  <c r="X67" i="10" s="1"/>
  <c r="Q67" i="10"/>
  <c r="V50" i="10"/>
  <c r="X50" i="10" s="1"/>
  <c r="Q50" i="10"/>
  <c r="U801" i="10" l="1"/>
  <c r="U800" i="10"/>
  <c r="Y801" i="10" s="1"/>
  <c r="AA684" i="10"/>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Z801" i="10" l="1"/>
  <c r="AA801" i="10"/>
  <c r="AB801" i="10" s="1"/>
  <c r="I119" i="7" s="1"/>
  <c r="AA800" i="10"/>
  <c r="AB800" i="10" s="1"/>
  <c r="F119" i="7" s="1"/>
  <c r="Y800" i="10"/>
  <c r="Z800" i="10" s="1"/>
  <c r="Y719" i="10"/>
  <c r="Z719" i="10" s="1"/>
  <c r="Y720" i="10"/>
  <c r="Z720" i="10" s="1"/>
  <c r="U685" i="10"/>
  <c r="U686" i="10"/>
  <c r="AA513" i="10"/>
  <c r="AB513" i="10" s="1"/>
  <c r="U516" i="10"/>
  <c r="U515" i="10"/>
  <c r="K53" i="13"/>
  <c r="H69" i="10"/>
  <c r="H87" i="10"/>
  <c r="R44" i="13"/>
  <c r="H52" i="10"/>
  <c r="M44" i="13"/>
  <c r="H51" i="10"/>
  <c r="H18" i="5" l="1"/>
  <c r="P119" i="7"/>
  <c r="B23" i="3" s="1"/>
  <c r="AA720" i="10"/>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D23" i="3" l="1"/>
  <c r="C23" i="3"/>
  <c r="P108" i="7"/>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AA744" i="10" l="1"/>
  <c r="AB744" i="10" s="1"/>
  <c r="U746" i="10" s="1"/>
  <c r="AA591" i="10"/>
  <c r="AB591" i="10" s="1"/>
  <c r="B117" i="7" s="1"/>
  <c r="U594" i="10"/>
  <c r="N59" i="13"/>
  <c r="H83" i="10"/>
  <c r="T59" i="13"/>
  <c r="T60" i="13"/>
  <c r="H85" i="10"/>
  <c r="P74" i="10"/>
  <c r="Q74" i="10" s="1"/>
  <c r="P73" i="10"/>
  <c r="Q73" i="10" s="1"/>
  <c r="V73" i="10"/>
  <c r="P76" i="10"/>
  <c r="P75" i="10"/>
  <c r="Q75" i="10" s="1"/>
  <c r="V75" i="10"/>
  <c r="Y747" i="10" l="1"/>
  <c r="Z747" i="10" s="1"/>
  <c r="Y746" i="10"/>
  <c r="Z746" i="10" s="1"/>
  <c r="Y745" i="10"/>
  <c r="Z745" i="10" s="1"/>
  <c r="AA745" i="10" s="1"/>
  <c r="AB745" i="10" s="1"/>
  <c r="U748" i="10" s="1"/>
  <c r="Z594" i="10"/>
  <c r="W73" i="10"/>
  <c r="X73" i="10" s="1"/>
  <c r="W74" i="10"/>
  <c r="X74" i="10" s="1"/>
  <c r="W75" i="10"/>
  <c r="X75" i="10" s="1"/>
  <c r="W76" i="10"/>
  <c r="V85" i="10"/>
  <c r="V83" i="10"/>
  <c r="AA747" i="10" l="1"/>
  <c r="AB747" i="10" s="1"/>
  <c r="U749" i="10" s="1"/>
  <c r="AA746" i="10"/>
  <c r="AB746" i="10" s="1"/>
  <c r="U750" i="10" s="1"/>
  <c r="AA594" i="10"/>
  <c r="AB594" i="10" s="1"/>
  <c r="AA593" i="10"/>
  <c r="AB593" i="10" s="1"/>
  <c r="U595" i="10" s="1"/>
  <c r="J74" i="10"/>
  <c r="M74" i="10" s="1"/>
  <c r="N74" i="10" s="1"/>
  <c r="J73" i="10"/>
  <c r="M73" i="10" s="1"/>
  <c r="N73" i="10" s="1"/>
  <c r="Y748" i="10" l="1"/>
  <c r="Z748" i="10" s="1"/>
  <c r="Y750" i="10"/>
  <c r="Z750" i="10" s="1"/>
  <c r="Y749" i="10"/>
  <c r="Z749" i="10" s="1"/>
  <c r="AA749" i="10" s="1"/>
  <c r="AB749" i="10" s="1"/>
  <c r="N124" i="7" s="1"/>
  <c r="Y596" i="10"/>
  <c r="Y595" i="10"/>
  <c r="Z595" i="10" s="1"/>
  <c r="U596" i="10"/>
  <c r="R57" i="13"/>
  <c r="R56" i="13"/>
  <c r="H78" i="10"/>
  <c r="M56" i="13"/>
  <c r="H76" i="10"/>
  <c r="AA750" i="10" l="1"/>
  <c r="AB750" i="10" s="1"/>
  <c r="U752" i="10" s="1"/>
  <c r="AA748" i="10"/>
  <c r="AB748" i="10" s="1"/>
  <c r="U751" i="10" s="1"/>
  <c r="Y752" i="10" s="1"/>
  <c r="Z596" i="10"/>
  <c r="AA596" i="10" s="1"/>
  <c r="AB596" i="10" s="1"/>
  <c r="V76" i="10"/>
  <c r="X76" i="10" s="1"/>
  <c r="Q76" i="10"/>
  <c r="V78" i="10"/>
  <c r="X78" i="10" s="1"/>
  <c r="Q78" i="10"/>
  <c r="U781" i="10" l="1"/>
  <c r="Z752" i="10"/>
  <c r="AA752" i="10" s="1"/>
  <c r="AB752" i="10" s="1"/>
  <c r="Y751" i="10"/>
  <c r="Z751" i="10" s="1"/>
  <c r="AA751" i="10"/>
  <c r="AB751" i="10" s="1"/>
  <c r="AA595" i="10"/>
  <c r="AB595" i="10" s="1"/>
  <c r="G117" i="7" s="1"/>
  <c r="J78" i="10"/>
  <c r="M78" i="10" s="1"/>
  <c r="N78" i="10" s="1"/>
  <c r="J75" i="10"/>
  <c r="M75" i="10" s="1"/>
  <c r="N75" i="10" s="1"/>
  <c r="J76" i="10"/>
  <c r="M76" i="10" s="1"/>
  <c r="N76" i="10" s="1"/>
  <c r="U811" i="10" l="1"/>
  <c r="U810" i="10"/>
  <c r="Y811" i="10" s="1"/>
  <c r="Z811" i="10" s="1"/>
  <c r="Z781" i="10"/>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AA811" i="10" l="1"/>
  <c r="AA810" i="10"/>
  <c r="AB810" i="10" s="1"/>
  <c r="AB811" i="10"/>
  <c r="Y810" i="10"/>
  <c r="Z810" i="10" s="1"/>
  <c r="AA781" i="10"/>
  <c r="AB781" i="10" s="1"/>
  <c r="AA780" i="10"/>
  <c r="AB780" i="10" s="1"/>
  <c r="V125" i="10"/>
  <c r="P91" i="10"/>
  <c r="Q91" i="10" s="1"/>
  <c r="P90" i="10"/>
  <c r="Q90" i="10" s="1"/>
  <c r="V90" i="10"/>
  <c r="V79" i="10"/>
  <c r="X79" i="10" s="1"/>
  <c r="Q79" i="10"/>
  <c r="U813" i="10" l="1"/>
  <c r="U812" i="10"/>
  <c r="Y813" i="10" s="1"/>
  <c r="Z813" i="10" s="1"/>
  <c r="U783" i="10"/>
  <c r="U782" i="10"/>
  <c r="Y783" i="10" s="1"/>
  <c r="Z783" i="10" s="1"/>
  <c r="J79" i="10"/>
  <c r="M79" i="10" s="1"/>
  <c r="N79" i="10" s="1"/>
  <c r="J77" i="10"/>
  <c r="M77" i="10" s="1"/>
  <c r="N77" i="10" s="1"/>
  <c r="W91" i="10"/>
  <c r="X91" i="10" s="1"/>
  <c r="W90" i="10"/>
  <c r="X90" i="10" s="1"/>
  <c r="AA812" i="10" l="1"/>
  <c r="AB812" i="10" s="1"/>
  <c r="AA813" i="10"/>
  <c r="AB813" i="10" s="1"/>
  <c r="Y812" i="10"/>
  <c r="Z812" i="10" s="1"/>
  <c r="AA783" i="10"/>
  <c r="AB783" i="10" s="1"/>
  <c r="AA782" i="10"/>
  <c r="AB782" i="10" s="1"/>
  <c r="Y782" i="10"/>
  <c r="Z782" i="10" s="1"/>
  <c r="J91" i="10"/>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U815" i="10" l="1"/>
  <c r="U814" i="10"/>
  <c r="Y815" i="10" s="1"/>
  <c r="Z815" i="10" s="1"/>
  <c r="U785" i="10"/>
  <c r="U784" i="10"/>
  <c r="Y785" i="10" s="1"/>
  <c r="Z785" i="10" s="1"/>
  <c r="P83" i="10"/>
  <c r="Q83" i="10" s="1"/>
  <c r="P82" i="10"/>
  <c r="Q82" i="10" s="1"/>
  <c r="V82" i="10"/>
  <c r="P139" i="10"/>
  <c r="P138" i="10"/>
  <c r="Q138" i="10" s="1"/>
  <c r="V138" i="10"/>
  <c r="R64" i="13"/>
  <c r="H92" i="10"/>
  <c r="S64" i="13"/>
  <c r="S65" i="13"/>
  <c r="H95" i="10"/>
  <c r="AA815" i="10" l="1"/>
  <c r="AA814" i="10"/>
  <c r="AB814" i="10" s="1"/>
  <c r="I124" i="7" s="1"/>
  <c r="P124" i="7" s="1"/>
  <c r="B28" i="3" s="1"/>
  <c r="AB815" i="10"/>
  <c r="G124" i="7" s="1"/>
  <c r="Y814" i="10"/>
  <c r="Z814" i="10" s="1"/>
  <c r="AA785" i="10"/>
  <c r="AB785" i="10" s="1"/>
  <c r="I117" i="7" s="1"/>
  <c r="AA784" i="10"/>
  <c r="AB784" i="10" s="1"/>
  <c r="F117" i="7" s="1"/>
  <c r="Y784" i="10"/>
  <c r="Z784" i="10" s="1"/>
  <c r="V95" i="10"/>
  <c r="W138" i="10"/>
  <c r="X138" i="10" s="1"/>
  <c r="W139" i="10"/>
  <c r="W83" i="10"/>
  <c r="X83" i="10" s="1"/>
  <c r="W82" i="10"/>
  <c r="X82" i="10" s="1"/>
  <c r="V92" i="10"/>
  <c r="D28" i="3" l="1"/>
  <c r="C28" i="3"/>
  <c r="H16" i="5"/>
  <c r="B19" i="5" s="1"/>
  <c r="P117" i="7"/>
  <c r="B21" i="3" s="1"/>
  <c r="J82" i="10"/>
  <c r="M82" i="10" s="1"/>
  <c r="N82" i="10" s="1"/>
  <c r="J83" i="10"/>
  <c r="M83" i="10" s="1"/>
  <c r="N83" i="10" s="1"/>
  <c r="C21" i="3" l="1"/>
  <c r="D21" i="3"/>
  <c r="N77" i="13"/>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72" i="13" s="1"/>
  <c r="L370" i="13" l="1"/>
  <c r="L371" i="13"/>
  <c r="L368" i="13"/>
  <c r="L369" i="13"/>
  <c r="L366" i="13"/>
  <c r="L367" i="13"/>
  <c r="L364" i="13"/>
  <c r="L365" i="13"/>
  <c r="L362" i="13"/>
  <c r="L363" i="13"/>
  <c r="L360" i="13"/>
  <c r="L361" i="13"/>
  <c r="L358" i="13"/>
  <c r="L359" i="13"/>
  <c r="L356" i="13"/>
  <c r="L357" i="13"/>
  <c r="L354" i="13"/>
  <c r="L355" i="13"/>
  <c r="L352" i="13"/>
  <c r="L353" i="13"/>
  <c r="L350" i="13"/>
  <c r="L351" i="13"/>
  <c r="L348" i="13"/>
  <c r="L349" i="13"/>
  <c r="L346" i="13"/>
  <c r="L347" i="13"/>
  <c r="L344" i="13"/>
  <c r="L345" i="13"/>
  <c r="L342" i="13"/>
  <c r="L343" i="13"/>
  <c r="L340" i="13"/>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72" i="13" s="1"/>
  <c r="J241" i="10"/>
  <c r="M241" i="10" s="1"/>
  <c r="N241" i="10" s="1"/>
  <c r="J240" i="10"/>
  <c r="M240" i="10" s="1"/>
  <c r="N240" i="10" s="1"/>
  <c r="W279" i="10"/>
  <c r="X279" i="10" s="1"/>
  <c r="W278" i="10"/>
  <c r="T370" i="13" l="1"/>
  <c r="T371" i="13"/>
  <c r="T368" i="13"/>
  <c r="T369" i="13"/>
  <c r="T366" i="13"/>
  <c r="T367" i="13"/>
  <c r="T364" i="13"/>
  <c r="T365" i="13"/>
  <c r="T362" i="13"/>
  <c r="T363" i="13"/>
  <c r="T360" i="13"/>
  <c r="T361" i="13"/>
  <c r="T358" i="13"/>
  <c r="T359" i="13"/>
  <c r="T356" i="13"/>
  <c r="T357" i="13"/>
  <c r="T354" i="13"/>
  <c r="T355" i="13"/>
  <c r="T352" i="13"/>
  <c r="T353" i="13"/>
  <c r="T350" i="13"/>
  <c r="T351" i="13"/>
  <c r="T348" i="13"/>
  <c r="T349" i="13"/>
  <c r="T346" i="13"/>
  <c r="T347" i="13"/>
  <c r="T344" i="13"/>
  <c r="T345" i="13"/>
  <c r="T342" i="13"/>
  <c r="T343" i="13"/>
  <c r="T340" i="13"/>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372" i="13" s="1"/>
  <c r="V247" i="13"/>
  <c r="V248" i="13"/>
  <c r="R232" i="13"/>
  <c r="H488" i="10"/>
  <c r="V232" i="13"/>
  <c r="V234" i="13"/>
  <c r="V236" i="13"/>
  <c r="V233" i="13"/>
  <c r="V235" i="13"/>
  <c r="V370" i="13" l="1"/>
  <c r="V371" i="13"/>
  <c r="V368" i="13"/>
  <c r="V369" i="13"/>
  <c r="V366" i="13"/>
  <c r="V367" i="13"/>
  <c r="V364" i="13"/>
  <c r="V365" i="13"/>
  <c r="V362" i="13"/>
  <c r="V363" i="13"/>
  <c r="V360" i="13"/>
  <c r="V361" i="13"/>
  <c r="V358" i="13"/>
  <c r="V359" i="13"/>
  <c r="V356" i="13"/>
  <c r="V357" i="13"/>
  <c r="V354" i="13"/>
  <c r="V355" i="13"/>
  <c r="V352" i="13"/>
  <c r="V353" i="13"/>
  <c r="V350" i="13"/>
  <c r="V351" i="13"/>
  <c r="V348" i="13"/>
  <c r="V349" i="13"/>
  <c r="V346" i="13"/>
  <c r="V347" i="13"/>
  <c r="V344" i="13"/>
  <c r="V345" i="13"/>
  <c r="V342" i="13"/>
  <c r="V343" i="13"/>
  <c r="V340" i="13"/>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71" i="13" l="1"/>
  <c r="N372" i="13"/>
  <c r="N369" i="13"/>
  <c r="N370" i="13"/>
  <c r="N367" i="13"/>
  <c r="N368" i="13"/>
  <c r="N365" i="13"/>
  <c r="N366" i="13"/>
  <c r="N363" i="13"/>
  <c r="N364" i="13"/>
  <c r="N361" i="13"/>
  <c r="N362" i="13"/>
  <c r="N359" i="13"/>
  <c r="N360" i="13"/>
  <c r="N357" i="13"/>
  <c r="N358" i="13"/>
  <c r="N355" i="13"/>
  <c r="N356" i="13"/>
  <c r="N353" i="13"/>
  <c r="N354" i="13"/>
  <c r="N351" i="13"/>
  <c r="N352" i="13"/>
  <c r="N349" i="13"/>
  <c r="N350" i="13"/>
  <c r="N347" i="13"/>
  <c r="N348" i="13"/>
  <c r="N345" i="13"/>
  <c r="N346" i="13"/>
  <c r="N343" i="13"/>
  <c r="N344" i="13"/>
  <c r="N341" i="13"/>
  <c r="N342" i="13"/>
  <c r="N339" i="13"/>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H759" i="10"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V759" i="10" l="1"/>
  <c r="Q344" i="13"/>
  <c r="Q342" i="13"/>
  <c r="Q343" i="13"/>
  <c r="Q340" i="13"/>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Q328" i="13"/>
  <c r="Q326" i="13"/>
  <c r="Q322" i="13"/>
  <c r="Q316" i="13"/>
  <c r="Q327" i="13"/>
  <c r="Q325" i="13"/>
  <c r="Q320" i="13"/>
  <c r="Q319" i="13"/>
  <c r="Q317" i="13"/>
  <c r="Q310" i="13"/>
  <c r="Q308" i="13"/>
  <c r="P679" i="10"/>
  <c r="Q679" i="10" s="1"/>
  <c r="P680" i="10"/>
  <c r="Q680" i="10" s="1"/>
  <c r="V679" i="10"/>
  <c r="W680" i="10" s="1"/>
  <c r="X680" i="10" s="1"/>
  <c r="J680" i="10" l="1"/>
  <c r="M680" i="10" s="1"/>
  <c r="N680" i="10" s="1"/>
  <c r="H726" i="10" s="1"/>
  <c r="J679" i="10"/>
  <c r="M679" i="10" s="1"/>
  <c r="N679" i="10" s="1"/>
  <c r="W679" i="10"/>
  <c r="X679" i="10" s="1"/>
  <c r="P310" i="13"/>
  <c r="V726" i="10" l="1"/>
  <c r="M329" i="13"/>
  <c r="M330" i="13"/>
  <c r="M327" i="13"/>
  <c r="M328" i="13"/>
  <c r="M325" i="13"/>
  <c r="M326" i="13"/>
  <c r="M323" i="13"/>
  <c r="M324" i="13"/>
  <c r="M321" i="13"/>
  <c r="M322" i="13"/>
  <c r="M319" i="13"/>
  <c r="M320" i="13"/>
  <c r="M317" i="13"/>
  <c r="M318" i="13"/>
  <c r="M315" i="13"/>
  <c r="M316" i="13"/>
  <c r="M314" i="13"/>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J719" i="10"/>
  <c r="M719" i="10" s="1"/>
  <c r="N719" i="10" s="1"/>
  <c r="H754" i="10" s="1"/>
  <c r="P712" i="10"/>
  <c r="Q712" i="10" s="1"/>
  <c r="V711" i="10"/>
  <c r="P711" i="10"/>
  <c r="Q711" i="10" s="1"/>
  <c r="P754" i="10" l="1"/>
  <c r="Q754" i="10" s="1"/>
  <c r="P753" i="10"/>
  <c r="V754" i="10"/>
  <c r="W711" i="10"/>
  <c r="X711" i="10" s="1"/>
  <c r="W712" i="10"/>
  <c r="X712" i="10" s="1"/>
  <c r="U340" i="13"/>
  <c r="U341" i="13"/>
  <c r="U338" i="13"/>
  <c r="U339" i="13"/>
  <c r="U337" i="13"/>
  <c r="U335" i="13"/>
  <c r="U336" i="13"/>
  <c r="U333" i="13"/>
  <c r="U334" i="13"/>
  <c r="P328" i="13"/>
  <c r="H725" i="10"/>
  <c r="U331" i="13"/>
  <c r="U332" i="13"/>
  <c r="P329" i="13"/>
  <c r="P330" i="13"/>
  <c r="U329" i="13"/>
  <c r="U330" i="13"/>
  <c r="U328" i="13"/>
  <c r="J711" i="10" l="1"/>
  <c r="M711" i="10" s="1"/>
  <c r="N711" i="10" s="1"/>
  <c r="H713" i="10" s="1"/>
  <c r="J712" i="10"/>
  <c r="M712" i="10" s="1"/>
  <c r="N712" i="10" s="1"/>
  <c r="H728" i="10" s="1"/>
  <c r="V728" i="10" s="1"/>
  <c r="W754" i="10"/>
  <c r="X754" i="10" s="1"/>
  <c r="W753" i="10"/>
  <c r="P726" i="10"/>
  <c r="Q726" i="10" s="1"/>
  <c r="V725" i="10"/>
  <c r="P725" i="10"/>
  <c r="Q725" i="10" s="1"/>
  <c r="K331" i="13"/>
  <c r="K329" i="13"/>
  <c r="K330" i="13"/>
  <c r="K327" i="13"/>
  <c r="K328" i="13"/>
  <c r="K325" i="13"/>
  <c r="K326" i="13"/>
  <c r="K324" i="13"/>
  <c r="W725" i="10" l="1"/>
  <c r="X725" i="10" s="1"/>
  <c r="W726" i="10"/>
  <c r="X726" i="10" s="1"/>
  <c r="P713" i="10"/>
  <c r="Q713" i="10" s="1"/>
  <c r="P714" i="10"/>
  <c r="Q714" i="10" s="1"/>
  <c r="V713" i="10"/>
  <c r="R324" i="13"/>
  <c r="J725" i="10" l="1"/>
  <c r="M725" i="10" s="1"/>
  <c r="N725" i="10" s="1"/>
  <c r="J726" i="10"/>
  <c r="M726" i="10" s="1"/>
  <c r="N726" i="10" s="1"/>
  <c r="P331" i="13"/>
  <c r="W713" i="10"/>
  <c r="X713" i="10" s="1"/>
  <c r="W714" i="10"/>
  <c r="X714" i="10" s="1"/>
  <c r="H727" i="10" l="1"/>
  <c r="V727" i="10" s="1"/>
  <c r="H731" i="10"/>
  <c r="V731" i="10" s="1"/>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33" i="13"/>
  <c r="S334" i="13"/>
  <c r="B10" i="14"/>
  <c r="S327" i="13"/>
  <c r="S332" i="13"/>
  <c r="AL15" i="13"/>
  <c r="J15" i="13" s="1"/>
  <c r="S330" i="13"/>
  <c r="S331" i="13"/>
  <c r="S328" i="13"/>
  <c r="S329" i="13"/>
  <c r="S371" i="13" l="1"/>
  <c r="S372" i="13"/>
  <c r="S369" i="13"/>
  <c r="S370" i="13"/>
  <c r="S367" i="13"/>
  <c r="S368" i="13"/>
  <c r="S365" i="13"/>
  <c r="S366" i="13"/>
  <c r="S363" i="13"/>
  <c r="S364" i="13"/>
  <c r="S361" i="13"/>
  <c r="S362" i="13"/>
  <c r="S359" i="13"/>
  <c r="S360" i="13"/>
  <c r="S357" i="13"/>
  <c r="S358" i="13"/>
  <c r="S355" i="13"/>
  <c r="S356" i="13"/>
  <c r="S353" i="13"/>
  <c r="S354" i="13"/>
  <c r="S351" i="13"/>
  <c r="S352" i="13"/>
  <c r="S349" i="13"/>
  <c r="S350" i="13"/>
  <c r="S347" i="13"/>
  <c r="S348" i="13"/>
  <c r="S345" i="13"/>
  <c r="S346" i="13"/>
  <c r="S343" i="13"/>
  <c r="S344" i="13"/>
  <c r="S341" i="13"/>
  <c r="S342" i="13"/>
  <c r="S339" i="13"/>
  <c r="S340" i="13"/>
  <c r="S337" i="13"/>
  <c r="S338" i="13"/>
  <c r="S335" i="13"/>
  <c r="S336" i="13"/>
  <c r="B15" i="13"/>
  <c r="S15" i="13" s="1"/>
  <c r="L2" i="14"/>
  <c r="H722" i="10"/>
  <c r="R328" i="13"/>
  <c r="R327" i="13"/>
  <c r="V722" i="10" l="1"/>
  <c r="X722" i="10" s="1"/>
  <c r="Q722" i="10"/>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J723" i="10"/>
  <c r="M723" i="10" s="1"/>
  <c r="N723" i="10" s="1"/>
  <c r="H757" i="10" s="1"/>
  <c r="R331" i="13"/>
  <c r="R330" i="13"/>
  <c r="P758" i="10" l="1"/>
  <c r="P757" i="10"/>
  <c r="Q757" i="10" s="1"/>
  <c r="V757" i="10"/>
  <c r="O343" i="13"/>
  <c r="H729" i="10"/>
  <c r="O341" i="13"/>
  <c r="O342" i="13"/>
  <c r="O339" i="13"/>
  <c r="O340" i="13"/>
  <c r="O337" i="13"/>
  <c r="O338" i="13"/>
  <c r="O335" i="13"/>
  <c r="O336" i="13"/>
  <c r="O333" i="13"/>
  <c r="O334" i="13"/>
  <c r="O331" i="13"/>
  <c r="O332" i="13"/>
  <c r="O330" i="13"/>
  <c r="W758" i="10" l="1"/>
  <c r="W757" i="10"/>
  <c r="X757" i="10" s="1"/>
  <c r="P727" i="10"/>
  <c r="Q727" i="10" s="1"/>
  <c r="P729" i="10"/>
  <c r="Q729" i="10" s="1"/>
  <c r="P728" i="10"/>
  <c r="Q728" i="10" s="1"/>
  <c r="V729" i="10"/>
  <c r="W728" i="10" s="1"/>
  <c r="X728" i="10" s="1"/>
  <c r="J728" i="10" s="1"/>
  <c r="M728" i="10" s="1"/>
  <c r="N728" i="10" s="1"/>
  <c r="K332" i="13" l="1"/>
  <c r="H732" i="10"/>
  <c r="V732" i="10" s="1"/>
  <c r="W729" i="10"/>
  <c r="X729" i="10" s="1"/>
  <c r="W727" i="10"/>
  <c r="X727" i="10" s="1"/>
  <c r="J727" i="10" l="1"/>
  <c r="M727" i="10" s="1"/>
  <c r="N727" i="10" s="1"/>
  <c r="J729" i="10"/>
  <c r="M729" i="10" s="1"/>
  <c r="N729" i="10" s="1"/>
  <c r="P332" i="13"/>
  <c r="H730" i="10"/>
  <c r="R332" i="13" l="1"/>
  <c r="H733" i="10"/>
  <c r="V733" i="10" s="1"/>
  <c r="P732" i="10"/>
  <c r="Q732" i="10" s="1"/>
  <c r="P733" i="10"/>
  <c r="P731" i="10"/>
  <c r="Q731" i="10" s="1"/>
  <c r="P730" i="10"/>
  <c r="Q730" i="10" s="1"/>
  <c r="V730" i="10"/>
  <c r="W733" i="10" l="1"/>
  <c r="X733" i="10" s="1"/>
  <c r="J733" i="10" s="1"/>
  <c r="M733" i="10" s="1"/>
  <c r="N733" i="10" s="1"/>
  <c r="W730" i="10"/>
  <c r="X730" i="10" s="1"/>
  <c r="Q733" i="10"/>
  <c r="W731" i="10"/>
  <c r="X731" i="10" s="1"/>
  <c r="W732" i="10"/>
  <c r="X732" i="10" s="1"/>
  <c r="J732" i="10" s="1"/>
  <c r="M732" i="10" s="1"/>
  <c r="N732" i="10" s="1"/>
  <c r="K341" i="13"/>
  <c r="K342" i="13"/>
  <c r="K339" i="13"/>
  <c r="K340" i="13"/>
  <c r="K337" i="13"/>
  <c r="K338" i="13"/>
  <c r="K335" i="13"/>
  <c r="K336" i="13"/>
  <c r="K334" i="13"/>
  <c r="K333" i="13"/>
  <c r="H769" i="10" l="1"/>
  <c r="K347" i="13"/>
  <c r="K348" i="13"/>
  <c r="K345" i="13"/>
  <c r="K346" i="13"/>
  <c r="K343" i="13"/>
  <c r="K344" i="13"/>
  <c r="R333" i="13"/>
  <c r="H736" i="10"/>
  <c r="V736" i="10" s="1"/>
  <c r="J731" i="10"/>
  <c r="M731" i="10" s="1"/>
  <c r="N731" i="10" s="1"/>
  <c r="J730" i="10"/>
  <c r="M730" i="10" s="1"/>
  <c r="N730" i="10" s="1"/>
  <c r="P333" i="13"/>
  <c r="H734" i="10"/>
  <c r="V769" i="10" l="1"/>
  <c r="H735" i="10"/>
  <c r="V735" i="10" s="1"/>
  <c r="M333" i="13"/>
  <c r="P735" i="10"/>
  <c r="P734" i="10"/>
  <c r="Q734" i="10" s="1"/>
  <c r="V734" i="10"/>
  <c r="W734" i="10" s="1"/>
  <c r="X734" i="10" s="1"/>
  <c r="P736" i="10"/>
  <c r="Q736" i="10" s="1"/>
  <c r="W736" i="10" l="1"/>
  <c r="X736" i="10" s="1"/>
  <c r="J736" i="10" s="1"/>
  <c r="M736" i="10" s="1"/>
  <c r="N736" i="10" s="1"/>
  <c r="H738" i="10" s="1"/>
  <c r="V738" i="10" s="1"/>
  <c r="W735" i="10"/>
  <c r="X735" i="10" s="1"/>
  <c r="Q735" i="10"/>
  <c r="R334" i="13"/>
  <c r="J734" i="10" l="1"/>
  <c r="M734" i="10" s="1"/>
  <c r="N734" i="10" s="1"/>
  <c r="H737" i="10" s="1"/>
  <c r="J735" i="10"/>
  <c r="M735" i="10" s="1"/>
  <c r="N735" i="10" s="1"/>
  <c r="P334" i="13"/>
  <c r="M371" i="13" l="1"/>
  <c r="M372" i="13"/>
  <c r="M369" i="13"/>
  <c r="M370" i="13"/>
  <c r="M367" i="13"/>
  <c r="M368" i="13"/>
  <c r="M365" i="13"/>
  <c r="M366" i="13"/>
  <c r="M363" i="13"/>
  <c r="M364" i="13"/>
  <c r="M361" i="13"/>
  <c r="M362" i="13"/>
  <c r="M359" i="13"/>
  <c r="M360" i="13"/>
  <c r="M357" i="13"/>
  <c r="M358" i="13"/>
  <c r="M355" i="13"/>
  <c r="M356" i="13"/>
  <c r="M353" i="13"/>
  <c r="M354" i="13"/>
  <c r="M351" i="13"/>
  <c r="M352" i="13"/>
  <c r="M349" i="13"/>
  <c r="M350" i="13"/>
  <c r="M347" i="13"/>
  <c r="M348" i="13"/>
  <c r="M345" i="13"/>
  <c r="M346" i="13"/>
  <c r="M343" i="13"/>
  <c r="M344" i="13"/>
  <c r="AL9" i="13"/>
  <c r="J9" i="13" s="1"/>
  <c r="M341" i="13"/>
  <c r="B4" i="14"/>
  <c r="M334" i="13"/>
  <c r="M335" i="13"/>
  <c r="M337" i="13"/>
  <c r="M336" i="13"/>
  <c r="M338" i="13"/>
  <c r="M340" i="13"/>
  <c r="M339" i="13"/>
  <c r="M342" i="13"/>
  <c r="V737" i="10"/>
  <c r="P738" i="10"/>
  <c r="Q738" i="10" s="1"/>
  <c r="P737" i="10"/>
  <c r="Q737" i="10" s="1"/>
  <c r="F2" i="14" l="1"/>
  <c r="B9" i="13"/>
  <c r="S9" i="13" s="1"/>
  <c r="W738" i="10"/>
  <c r="X738" i="10" s="1"/>
  <c r="W737" i="10"/>
  <c r="X737" i="10" s="1"/>
  <c r="W9" i="13" l="1"/>
  <c r="AI9" i="13"/>
  <c r="F99" i="7"/>
  <c r="S99" i="7" s="1"/>
  <c r="J738" i="10"/>
  <c r="M738" i="10" s="1"/>
  <c r="N738" i="10" s="1"/>
  <c r="H740" i="10" s="1"/>
  <c r="J737" i="10"/>
  <c r="M737" i="10" s="1"/>
  <c r="N737" i="10" s="1"/>
  <c r="P335" i="13"/>
  <c r="H739" i="10"/>
  <c r="V739" i="10" s="1"/>
  <c r="R335" i="13"/>
  <c r="V740" i="10" l="1"/>
  <c r="P740" i="10"/>
  <c r="Q740" i="10" s="1"/>
  <c r="P739" i="10"/>
  <c r="Q739" i="10" s="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W743" i="10"/>
  <c r="X743" i="10" s="1"/>
  <c r="J743" i="10" s="1"/>
  <c r="M743" i="10" s="1"/>
  <c r="J744" i="10" l="1"/>
  <c r="M744" i="10" s="1"/>
  <c r="N744" i="10" s="1"/>
  <c r="N743" i="10"/>
  <c r="H745" i="10" s="1"/>
  <c r="R338" i="13" l="1"/>
  <c r="H746" i="10"/>
  <c r="V745" i="10"/>
  <c r="P338" i="13"/>
  <c r="P745" i="10" l="1"/>
  <c r="Q745" i="10" s="1"/>
  <c r="V746" i="10"/>
  <c r="P747" i="10"/>
  <c r="Q747" i="10" s="1"/>
  <c r="P746" i="10"/>
  <c r="Q746" i="10" s="1"/>
  <c r="W745" i="10" l="1"/>
  <c r="X745" i="10" s="1"/>
  <c r="W746" i="10"/>
  <c r="X746" i="10" s="1"/>
  <c r="W747" i="10"/>
  <c r="X747" i="10" s="1"/>
  <c r="J747" i="10" s="1"/>
  <c r="M747" i="10" s="1"/>
  <c r="N747" i="10" s="1"/>
  <c r="W339" i="13" l="1"/>
  <c r="H749" i="10"/>
  <c r="V749" i="10" s="1"/>
  <c r="J746" i="10"/>
  <c r="M746" i="10" s="1"/>
  <c r="N746" i="10" s="1"/>
  <c r="H750" i="10" s="1"/>
  <c r="V750" i="10" s="1"/>
  <c r="J745" i="10"/>
  <c r="M745" i="10" s="1"/>
  <c r="N745" i="10" s="1"/>
  <c r="H748" i="10" s="1"/>
  <c r="R339" i="13"/>
  <c r="P750" i="10" l="1"/>
  <c r="Q750" i="10" s="1"/>
  <c r="P749" i="10"/>
  <c r="Q749" i="10" s="1"/>
  <c r="P748" i="10"/>
  <c r="Q748" i="10" s="1"/>
  <c r="V748" i="10"/>
  <c r="P339" i="13"/>
  <c r="W750" i="10" l="1"/>
  <c r="X750" i="10" s="1"/>
  <c r="J750" i="10" s="1"/>
  <c r="M750" i="10" s="1"/>
  <c r="N750" i="10" s="1"/>
  <c r="H752" i="10" s="1"/>
  <c r="W749" i="10"/>
  <c r="X749" i="10" s="1"/>
  <c r="J749" i="10" s="1"/>
  <c r="M749" i="10" s="1"/>
  <c r="N749" i="10" s="1"/>
  <c r="W748" i="10"/>
  <c r="X748" i="10" s="1"/>
  <c r="J748" i="10" s="1"/>
  <c r="M748" i="10" s="1"/>
  <c r="W371" i="13" l="1"/>
  <c r="W372" i="13"/>
  <c r="W369" i="13"/>
  <c r="W370" i="13"/>
  <c r="W367" i="13"/>
  <c r="W368" i="13"/>
  <c r="W365" i="13"/>
  <c r="W366" i="13"/>
  <c r="W363" i="13"/>
  <c r="W364" i="13"/>
  <c r="W361" i="13"/>
  <c r="W362" i="13"/>
  <c r="W359" i="13"/>
  <c r="W360" i="13"/>
  <c r="W357" i="13"/>
  <c r="W358" i="13"/>
  <c r="W355" i="13"/>
  <c r="W356" i="13"/>
  <c r="W353" i="13"/>
  <c r="W354" i="13"/>
  <c r="W351" i="13"/>
  <c r="W352" i="13"/>
  <c r="W349" i="13"/>
  <c r="W350" i="13"/>
  <c r="W347" i="13"/>
  <c r="W348" i="13"/>
  <c r="W345" i="13"/>
  <c r="W346" i="13"/>
  <c r="W343" i="13"/>
  <c r="W344" i="13"/>
  <c r="AL19" i="13"/>
  <c r="J19" i="13" s="1"/>
  <c r="W341" i="13"/>
  <c r="W342" i="13"/>
  <c r="V752" i="10"/>
  <c r="R340" i="13"/>
  <c r="B14" i="14"/>
  <c r="W340" i="13"/>
  <c r="N748" i="10"/>
  <c r="H751" i="10" s="1"/>
  <c r="P752" i="10" l="1"/>
  <c r="Q752" i="10" s="1"/>
  <c r="P751" i="10"/>
  <c r="Q751" i="10" s="1"/>
  <c r="V751" i="10"/>
  <c r="P340" i="13"/>
  <c r="P2" i="14"/>
  <c r="B19" i="13"/>
  <c r="W752" i="10" l="1"/>
  <c r="X752" i="10" s="1"/>
  <c r="J752" i="10" s="1"/>
  <c r="M752" i="10" s="1"/>
  <c r="N752" i="10" s="1"/>
  <c r="H758" i="10" s="1"/>
  <c r="W751" i="10"/>
  <c r="X751" i="10" s="1"/>
  <c r="S19" i="13"/>
  <c r="V758" i="10" l="1"/>
  <c r="X758" i="10" s="1"/>
  <c r="Q758" i="10"/>
  <c r="R342" i="13"/>
  <c r="R343" i="13"/>
  <c r="J751" i="10"/>
  <c r="M751" i="10" s="1"/>
  <c r="R341" i="13"/>
  <c r="AI19" i="13"/>
  <c r="W19" i="13"/>
  <c r="F98" i="7"/>
  <c r="S98" i="7" s="1"/>
  <c r="J758" i="10" l="1"/>
  <c r="M758" i="10" s="1"/>
  <c r="N758" i="10" s="1"/>
  <c r="H768" i="10" s="1"/>
  <c r="J757" i="10"/>
  <c r="M757" i="10" s="1"/>
  <c r="N757" i="10" s="1"/>
  <c r="R344" i="13"/>
  <c r="N751" i="10"/>
  <c r="P341" i="13"/>
  <c r="O352" i="13" l="1"/>
  <c r="H776" i="10"/>
  <c r="P777" i="10" s="1"/>
  <c r="O350" i="13"/>
  <c r="O351" i="13"/>
  <c r="P768" i="10"/>
  <c r="Q768" i="10" s="1"/>
  <c r="P769" i="10"/>
  <c r="Q769" i="10" s="1"/>
  <c r="V768" i="10"/>
  <c r="W769" i="10" s="1"/>
  <c r="X769" i="10" s="1"/>
  <c r="O348" i="13"/>
  <c r="O349" i="13"/>
  <c r="R348" i="13"/>
  <c r="O346" i="13"/>
  <c r="O347" i="13"/>
  <c r="R346" i="13"/>
  <c r="R347" i="13"/>
  <c r="AL11" i="13"/>
  <c r="J11" i="13" s="1"/>
  <c r="O345" i="13"/>
  <c r="R345" i="13"/>
  <c r="O344" i="13"/>
  <c r="H753" i="10"/>
  <c r="P776" i="10" l="1"/>
  <c r="Q776" i="10" s="1"/>
  <c r="V776" i="10"/>
  <c r="J769" i="10"/>
  <c r="M769" i="10" s="1"/>
  <c r="N769" i="10" s="1"/>
  <c r="J768" i="10"/>
  <c r="M768" i="10" s="1"/>
  <c r="N768" i="10" s="1"/>
  <c r="K349" i="13"/>
  <c r="W768" i="10"/>
  <c r="X768" i="10" s="1"/>
  <c r="V753" i="10"/>
  <c r="X753" i="10" s="1"/>
  <c r="J753" i="10" s="1"/>
  <c r="M753" i="10" s="1"/>
  <c r="N753" i="10" s="1"/>
  <c r="Q753" i="10"/>
  <c r="W776" i="10" l="1"/>
  <c r="X776" i="10" s="1"/>
  <c r="W777" i="10"/>
  <c r="H771" i="10"/>
  <c r="H770" i="10"/>
  <c r="R349" i="13"/>
  <c r="J754" i="10"/>
  <c r="M754" i="10" s="1"/>
  <c r="N754" i="10" s="1"/>
  <c r="H756" i="10" s="1"/>
  <c r="V756" i="10" s="1"/>
  <c r="P342" i="13"/>
  <c r="H755" i="10"/>
  <c r="U342" i="13"/>
  <c r="P771" i="10" l="1"/>
  <c r="Q771" i="10" s="1"/>
  <c r="P770" i="10"/>
  <c r="Q770" i="10" s="1"/>
  <c r="V771" i="10"/>
  <c r="V770" i="10"/>
  <c r="P756" i="10"/>
  <c r="Q756" i="10" s="1"/>
  <c r="P755" i="10"/>
  <c r="Q755" i="10" s="1"/>
  <c r="V755" i="10"/>
  <c r="W756" i="10" s="1"/>
  <c r="X756" i="10" s="1"/>
  <c r="W755" i="10"/>
  <c r="X755" i="10" s="1"/>
  <c r="W771" i="10" l="1"/>
  <c r="X771" i="10" s="1"/>
  <c r="J771" i="10" s="1"/>
  <c r="M771" i="10" s="1"/>
  <c r="N771" i="10" s="1"/>
  <c r="W770" i="10"/>
  <c r="X770" i="10" s="1"/>
  <c r="J770" i="10" s="1"/>
  <c r="M770" i="10" s="1"/>
  <c r="N770" i="10" s="1"/>
  <c r="J755" i="10"/>
  <c r="M755" i="10" s="1"/>
  <c r="J756" i="10"/>
  <c r="M756" i="10" s="1"/>
  <c r="N756" i="10" s="1"/>
  <c r="U344" i="13"/>
  <c r="H773" i="10" l="1"/>
  <c r="H772" i="10"/>
  <c r="R350" i="13"/>
  <c r="K350" i="13"/>
  <c r="H760" i="10"/>
  <c r="U343" i="13"/>
  <c r="N755" i="10"/>
  <c r="H767" i="10" s="1"/>
  <c r="P344" i="13"/>
  <c r="P343" i="13"/>
  <c r="P773" i="10" l="1"/>
  <c r="Q773" i="10" s="1"/>
  <c r="P772" i="10"/>
  <c r="Q772" i="10" s="1"/>
  <c r="V773" i="10"/>
  <c r="V772" i="10"/>
  <c r="V767" i="10"/>
  <c r="P347" i="13"/>
  <c r="P345" i="13"/>
  <c r="P346" i="13"/>
  <c r="P760" i="10"/>
  <c r="Q760" i="10" s="1"/>
  <c r="P759" i="10"/>
  <c r="Q759" i="10" s="1"/>
  <c r="V760" i="10"/>
  <c r="W773" i="10" l="1"/>
  <c r="X773" i="10" s="1"/>
  <c r="W772" i="10"/>
  <c r="X772" i="10" s="1"/>
  <c r="J772" i="10" s="1"/>
  <c r="M772" i="10" s="1"/>
  <c r="N772" i="10" s="1"/>
  <c r="W759" i="10"/>
  <c r="X759" i="10" s="1"/>
  <c r="J759" i="10" s="1"/>
  <c r="M759" i="10" s="1"/>
  <c r="N759" i="10" s="1"/>
  <c r="W760" i="10"/>
  <c r="X760" i="10" s="1"/>
  <c r="J760" i="10" s="1"/>
  <c r="M760" i="10" s="1"/>
  <c r="H777" i="10" l="1"/>
  <c r="V777" i="10" s="1"/>
  <c r="X777" i="10" s="1"/>
  <c r="AL14" i="13"/>
  <c r="J14" i="13" s="1"/>
  <c r="J773" i="10"/>
  <c r="M773" i="10" s="1"/>
  <c r="N773" i="10" s="1"/>
  <c r="K358" i="13"/>
  <c r="K359" i="13"/>
  <c r="K356" i="13"/>
  <c r="K357" i="13"/>
  <c r="K354" i="13"/>
  <c r="K355" i="13"/>
  <c r="R352" i="13"/>
  <c r="K352" i="13"/>
  <c r="K353" i="13"/>
  <c r="R351" i="13"/>
  <c r="K351" i="13"/>
  <c r="B2" i="14"/>
  <c r="B7" i="13" s="1"/>
  <c r="S7" i="13" s="1"/>
  <c r="H761" i="10"/>
  <c r="N760" i="10"/>
  <c r="Q345" i="13"/>
  <c r="U345" i="13"/>
  <c r="K371" i="13" l="1"/>
  <c r="K372" i="13"/>
  <c r="Q777" i="10"/>
  <c r="K370" i="13"/>
  <c r="AL7" i="13"/>
  <c r="J7" i="13" s="1"/>
  <c r="K368" i="13"/>
  <c r="K369" i="13"/>
  <c r="K366" i="13"/>
  <c r="K367" i="13"/>
  <c r="K364" i="13"/>
  <c r="K365" i="13"/>
  <c r="K362" i="13"/>
  <c r="K363" i="13"/>
  <c r="K360" i="13"/>
  <c r="K361" i="13"/>
  <c r="J777" i="10"/>
  <c r="M777" i="10" s="1"/>
  <c r="N777" i="10" s="1"/>
  <c r="H778" i="10" s="1"/>
  <c r="P779" i="10" s="1"/>
  <c r="J776" i="10"/>
  <c r="M776" i="10" s="1"/>
  <c r="N776" i="10" s="1"/>
  <c r="D2" i="14"/>
  <c r="F94" i="7"/>
  <c r="S94" i="7" s="1"/>
  <c r="W7" i="13"/>
  <c r="AI7" i="13"/>
  <c r="H762" i="10"/>
  <c r="P761" i="10"/>
  <c r="Q761" i="10" s="1"/>
  <c r="P762" i="10"/>
  <c r="V761" i="10"/>
  <c r="W762" i="10" s="1"/>
  <c r="H779" i="10" l="1"/>
  <c r="Q779" i="10" s="1"/>
  <c r="P778" i="10"/>
  <c r="Q778" i="10" s="1"/>
  <c r="V778" i="10"/>
  <c r="O353" i="13"/>
  <c r="R353" i="13"/>
  <c r="Q762" i="10"/>
  <c r="V762" i="10"/>
  <c r="X762" i="10" s="1"/>
  <c r="W761" i="10"/>
  <c r="X761" i="10" s="1"/>
  <c r="W778" i="10" l="1"/>
  <c r="X778" i="10" s="1"/>
  <c r="W779" i="10"/>
  <c r="X779" i="10" s="1"/>
  <c r="V779" i="10"/>
  <c r="J762" i="10"/>
  <c r="M762" i="10" s="1"/>
  <c r="N762" i="10" s="1"/>
  <c r="J761" i="10"/>
  <c r="M761" i="10" s="1"/>
  <c r="N761" i="10" s="1"/>
  <c r="J778" i="10" l="1"/>
  <c r="M778" i="10" s="1"/>
  <c r="N778" i="10" s="1"/>
  <c r="J779" i="10"/>
  <c r="M779" i="10" s="1"/>
  <c r="N779" i="10" s="1"/>
  <c r="H780" i="10" s="1"/>
  <c r="P781" i="10" s="1"/>
  <c r="H764" i="10"/>
  <c r="H763" i="10"/>
  <c r="Q346" i="13"/>
  <c r="U346" i="13"/>
  <c r="H781" i="10" l="1"/>
  <c r="P780" i="10"/>
  <c r="Q780" i="10" s="1"/>
  <c r="V780" i="10"/>
  <c r="O354" i="13"/>
  <c r="R354" i="13"/>
  <c r="P764" i="10"/>
  <c r="Q764" i="10" s="1"/>
  <c r="P763" i="10"/>
  <c r="Q763" i="10" s="1"/>
  <c r="V764" i="10"/>
  <c r="V763" i="10"/>
  <c r="W780" i="10" l="1"/>
  <c r="X780" i="10" s="1"/>
  <c r="W781" i="10"/>
  <c r="X781" i="10" s="1"/>
  <c r="V781" i="10"/>
  <c r="Q781" i="10"/>
  <c r="W763" i="10"/>
  <c r="X763" i="10" s="1"/>
  <c r="J763" i="10" s="1"/>
  <c r="M763" i="10" s="1"/>
  <c r="W764" i="10"/>
  <c r="X764" i="10" s="1"/>
  <c r="J764" i="10" l="1"/>
  <c r="M764" i="10" s="1"/>
  <c r="N764" i="10" s="1"/>
  <c r="J781" i="10"/>
  <c r="M781" i="10" s="1"/>
  <c r="N781" i="10" s="1"/>
  <c r="J780" i="10"/>
  <c r="M780" i="10" s="1"/>
  <c r="N780" i="10" s="1"/>
  <c r="H782" i="10" s="1"/>
  <c r="P783" i="10" s="1"/>
  <c r="H766" i="10"/>
  <c r="U347" i="13"/>
  <c r="N763" i="10"/>
  <c r="H783" i="10" l="1"/>
  <c r="P782" i="10"/>
  <c r="Q782" i="10" s="1"/>
  <c r="V782" i="10"/>
  <c r="O355" i="13"/>
  <c r="R355" i="13"/>
  <c r="V766" i="10"/>
  <c r="H765" i="10"/>
  <c r="P767" i="10" s="1"/>
  <c r="Q767" i="10" s="1"/>
  <c r="Q347" i="13"/>
  <c r="V783" i="10" l="1"/>
  <c r="W782" i="10"/>
  <c r="X782" i="10" s="1"/>
  <c r="W783" i="10"/>
  <c r="X783" i="10" s="1"/>
  <c r="Q783" i="10"/>
  <c r="P765" i="10"/>
  <c r="Q765" i="10" s="1"/>
  <c r="P766" i="10"/>
  <c r="Q766" i="10" s="1"/>
  <c r="V765" i="10"/>
  <c r="J783" i="10" l="1"/>
  <c r="M783" i="10" s="1"/>
  <c r="N783" i="10" s="1"/>
  <c r="J782" i="10"/>
  <c r="M782" i="10" s="1"/>
  <c r="N782" i="10" s="1"/>
  <c r="H784" i="10" s="1"/>
  <c r="P785" i="10" s="1"/>
  <c r="W766" i="10"/>
  <c r="X766" i="10" s="1"/>
  <c r="J766" i="10" s="1"/>
  <c r="M766" i="10" s="1"/>
  <c r="W767" i="10"/>
  <c r="X767" i="10" s="1"/>
  <c r="J767" i="10" s="1"/>
  <c r="M767" i="10" s="1"/>
  <c r="N767" i="10" s="1"/>
  <c r="W765" i="10"/>
  <c r="X765" i="10" s="1"/>
  <c r="H774" i="10" l="1"/>
  <c r="V774" i="10" s="1"/>
  <c r="AL12" i="13"/>
  <c r="J12" i="13" s="1"/>
  <c r="H785" i="10"/>
  <c r="P784" i="10"/>
  <c r="Q784" i="10" s="1"/>
  <c r="V784" i="10"/>
  <c r="O356" i="13"/>
  <c r="R356" i="13"/>
  <c r="J765" i="10"/>
  <c r="M765" i="10" s="1"/>
  <c r="N765" i="10" s="1"/>
  <c r="AL13" i="13" s="1"/>
  <c r="J13" i="13" s="1"/>
  <c r="Q352" i="13"/>
  <c r="P351" i="13"/>
  <c r="Q349" i="13"/>
  <c r="Q350" i="13"/>
  <c r="P349" i="13"/>
  <c r="P350" i="13"/>
  <c r="N766" i="10"/>
  <c r="P348" i="13"/>
  <c r="U348" i="13"/>
  <c r="H775" i="10" l="1"/>
  <c r="AL17" i="13"/>
  <c r="J17" i="13" s="1"/>
  <c r="K17" i="13" s="1"/>
  <c r="H805" i="10"/>
  <c r="Q365" i="13"/>
  <c r="Q366" i="13"/>
  <c r="Q351" i="13"/>
  <c r="Q354" i="13"/>
  <c r="Q353" i="13"/>
  <c r="Q363" i="13"/>
  <c r="Q364" i="13"/>
  <c r="Q361" i="13"/>
  <c r="Q362" i="13"/>
  <c r="Q359" i="13"/>
  <c r="Q360" i="13"/>
  <c r="Q357" i="13"/>
  <c r="Q358" i="13"/>
  <c r="W784" i="10"/>
  <c r="X784" i="10" s="1"/>
  <c r="W785" i="10"/>
  <c r="V785" i="10"/>
  <c r="Q785" i="10"/>
  <c r="Q355" i="13"/>
  <c r="Q356" i="13"/>
  <c r="Q348" i="13"/>
  <c r="P775" i="10"/>
  <c r="Q775" i="10" s="1"/>
  <c r="P774" i="10"/>
  <c r="Q774" i="10" s="1"/>
  <c r="V775" i="10"/>
  <c r="U351" i="13"/>
  <c r="U349" i="13"/>
  <c r="U350" i="13"/>
  <c r="K8" i="13" l="1"/>
  <c r="K10" i="13"/>
  <c r="K20" i="13"/>
  <c r="K19" i="13"/>
  <c r="K11" i="13"/>
  <c r="K9" i="13"/>
  <c r="K16" i="13"/>
  <c r="K7" i="13"/>
  <c r="K18" i="13"/>
  <c r="K15" i="13"/>
  <c r="K14" i="13"/>
  <c r="K12" i="13"/>
  <c r="K13" i="13"/>
  <c r="V805" i="10"/>
  <c r="X785" i="10"/>
  <c r="J785" i="10" s="1"/>
  <c r="M785" i="10" s="1"/>
  <c r="N785" i="10" s="1"/>
  <c r="W774" i="10"/>
  <c r="X774" i="10" s="1"/>
  <c r="J774" i="10" s="1"/>
  <c r="M774" i="10" s="1"/>
  <c r="N774" i="10" s="1"/>
  <c r="H802" i="10" s="1"/>
  <c r="W775" i="10"/>
  <c r="X775" i="10" s="1"/>
  <c r="J775" i="10" l="1"/>
  <c r="M775" i="10" s="1"/>
  <c r="J784" i="10"/>
  <c r="M784" i="10" s="1"/>
  <c r="N784" i="10" s="1"/>
  <c r="H786" i="10" s="1"/>
  <c r="P787" i="10" s="1"/>
  <c r="P802" i="10"/>
  <c r="Q802" i="10" s="1"/>
  <c r="P803" i="10"/>
  <c r="V802" i="10"/>
  <c r="W803" i="10" s="1"/>
  <c r="P365" i="13"/>
  <c r="P363" i="13"/>
  <c r="P364" i="13"/>
  <c r="P361" i="13"/>
  <c r="P362" i="13"/>
  <c r="P359" i="13"/>
  <c r="P360" i="13"/>
  <c r="H787" i="10"/>
  <c r="P357" i="13"/>
  <c r="P358" i="13"/>
  <c r="O357" i="13"/>
  <c r="R357" i="13"/>
  <c r="P355" i="13"/>
  <c r="P356" i="13"/>
  <c r="P353" i="13"/>
  <c r="P354" i="13"/>
  <c r="N775" i="10"/>
  <c r="H803" i="10" s="1"/>
  <c r="P352" i="13"/>
  <c r="U352" i="13"/>
  <c r="P786" i="10" l="1"/>
  <c r="Q786" i="10" s="1"/>
  <c r="V786" i="10"/>
  <c r="V803" i="10"/>
  <c r="X803" i="10" s="1"/>
  <c r="Q803" i="10"/>
  <c r="W802" i="10"/>
  <c r="X802" i="10" s="1"/>
  <c r="U365" i="13"/>
  <c r="U363" i="13"/>
  <c r="U364" i="13"/>
  <c r="U361" i="13"/>
  <c r="U362" i="13"/>
  <c r="U359" i="13"/>
  <c r="U360" i="13"/>
  <c r="W786" i="10"/>
  <c r="X786" i="10" s="1"/>
  <c r="W787" i="10"/>
  <c r="V787" i="10"/>
  <c r="Q787" i="10"/>
  <c r="U357" i="13"/>
  <c r="U358" i="13"/>
  <c r="U355" i="13"/>
  <c r="U356" i="13"/>
  <c r="U353" i="13"/>
  <c r="U354" i="13"/>
  <c r="J803" i="10" l="1"/>
  <c r="M803" i="10" s="1"/>
  <c r="N803" i="10" s="1"/>
  <c r="J802" i="10"/>
  <c r="M802" i="10" s="1"/>
  <c r="N802" i="10" s="1"/>
  <c r="H811" i="10" s="1"/>
  <c r="U366" i="13"/>
  <c r="X787" i="10"/>
  <c r="J787" i="10" s="1"/>
  <c r="M787" i="10" s="1"/>
  <c r="N787" i="10" s="1"/>
  <c r="H788" i="10" s="1"/>
  <c r="P789" i="10" s="1"/>
  <c r="V811" i="10" l="1"/>
  <c r="P369" i="13"/>
  <c r="J786" i="10"/>
  <c r="M786" i="10" s="1"/>
  <c r="N786" i="10" s="1"/>
  <c r="P367" i="13"/>
  <c r="P368" i="13"/>
  <c r="H804" i="10"/>
  <c r="P366" i="13"/>
  <c r="P788" i="10"/>
  <c r="Q788" i="10" s="1"/>
  <c r="V788" i="10"/>
  <c r="R358" i="13"/>
  <c r="P804" i="10" l="1"/>
  <c r="Q804" i="10" s="1"/>
  <c r="P805" i="10"/>
  <c r="Q805" i="10" s="1"/>
  <c r="V804" i="10"/>
  <c r="W805" i="10" s="1"/>
  <c r="X805" i="10" s="1"/>
  <c r="H789" i="10"/>
  <c r="W788" i="10"/>
  <c r="X788" i="10" s="1"/>
  <c r="W789" i="10"/>
  <c r="O358" i="13"/>
  <c r="W804" i="10" l="1"/>
  <c r="X804" i="10" s="1"/>
  <c r="J804" i="10" s="1"/>
  <c r="M804" i="10" s="1"/>
  <c r="N804" i="10" s="1"/>
  <c r="U367" i="13" s="1"/>
  <c r="V789" i="10"/>
  <c r="X789" i="10" s="1"/>
  <c r="Q789" i="10"/>
  <c r="J805" i="10" l="1"/>
  <c r="M805" i="10" s="1"/>
  <c r="N805" i="10" s="1"/>
  <c r="Q367" i="13" s="1"/>
  <c r="H807" i="10"/>
  <c r="H806" i="10"/>
  <c r="J789" i="10"/>
  <c r="M789" i="10" s="1"/>
  <c r="N789" i="10" s="1"/>
  <c r="H790" i="10" s="1"/>
  <c r="P791" i="10" s="1"/>
  <c r="J788" i="10"/>
  <c r="M788" i="10" s="1"/>
  <c r="P806" i="10" l="1"/>
  <c r="Q806" i="10" s="1"/>
  <c r="P807" i="10"/>
  <c r="Q807" i="10" s="1"/>
  <c r="V807" i="10"/>
  <c r="V806" i="10"/>
  <c r="W807" i="10" s="1"/>
  <c r="X807" i="10" s="1"/>
  <c r="P790" i="10"/>
  <c r="Q790" i="10" s="1"/>
  <c r="V790" i="10"/>
  <c r="N788" i="10"/>
  <c r="O359" i="13"/>
  <c r="J807" i="10" l="1"/>
  <c r="M807" i="10" s="1"/>
  <c r="N807" i="10" s="1"/>
  <c r="J806" i="10"/>
  <c r="M806" i="10" s="1"/>
  <c r="N806" i="10" s="1"/>
  <c r="Q368" i="13"/>
  <c r="W806" i="10"/>
  <c r="X806" i="10" s="1"/>
  <c r="U368" i="13"/>
  <c r="W790" i="10"/>
  <c r="X790" i="10" s="1"/>
  <c r="W791" i="10"/>
  <c r="H791" i="10"/>
  <c r="R359" i="13"/>
  <c r="H809" i="10" l="1"/>
  <c r="H808" i="10"/>
  <c r="V791" i="10"/>
  <c r="X791" i="10" s="1"/>
  <c r="Q791" i="10"/>
  <c r="P808" i="10" l="1"/>
  <c r="Q808" i="10" s="1"/>
  <c r="P809" i="10"/>
  <c r="Q809" i="10" s="1"/>
  <c r="V809" i="10"/>
  <c r="V808" i="10"/>
  <c r="W809" i="10" s="1"/>
  <c r="X809" i="10" s="1"/>
  <c r="J791" i="10"/>
  <c r="M791" i="10" s="1"/>
  <c r="N791" i="10" s="1"/>
  <c r="J790" i="10"/>
  <c r="M790" i="10" s="1"/>
  <c r="W808" i="10" l="1"/>
  <c r="X808" i="10" s="1"/>
  <c r="J808" i="10" s="1"/>
  <c r="M808" i="10" s="1"/>
  <c r="N808" i="10" s="1"/>
  <c r="Q372" i="13" s="1"/>
  <c r="H793" i="10"/>
  <c r="N790" i="10"/>
  <c r="H792" i="10" s="1"/>
  <c r="P793" i="10" s="1"/>
  <c r="R360" i="13"/>
  <c r="Q370" i="13" l="1"/>
  <c r="Q371" i="13"/>
  <c r="J809" i="10"/>
  <c r="M809" i="10" s="1"/>
  <c r="N809" i="10" s="1"/>
  <c r="U372" i="13" s="1"/>
  <c r="Q369" i="13"/>
  <c r="B8" i="14"/>
  <c r="B13" i="13" s="1"/>
  <c r="S13" i="13" s="1"/>
  <c r="Q793" i="10"/>
  <c r="V793" i="10"/>
  <c r="P792" i="10"/>
  <c r="Q792" i="10" s="1"/>
  <c r="V792" i="10"/>
  <c r="O360" i="13"/>
  <c r="U370" i="13" l="1"/>
  <c r="U371" i="13"/>
  <c r="B12" i="14"/>
  <c r="U369" i="13"/>
  <c r="J2" i="14"/>
  <c r="W13" i="13"/>
  <c r="AI13" i="13"/>
  <c r="F91" i="7"/>
  <c r="S91" i="7" s="1"/>
  <c r="W792" i="10"/>
  <c r="X792" i="10" s="1"/>
  <c r="W793" i="10"/>
  <c r="X793" i="10" s="1"/>
  <c r="N2" i="14" l="1"/>
  <c r="B17" i="13"/>
  <c r="S17" i="13" s="1"/>
  <c r="J793" i="10"/>
  <c r="M793" i="10" s="1"/>
  <c r="N793" i="10" s="1"/>
  <c r="J792" i="10"/>
  <c r="M792" i="10" s="1"/>
  <c r="W17" i="13" l="1"/>
  <c r="F92" i="7"/>
  <c r="S92" i="7" s="1"/>
  <c r="AI17" i="13"/>
  <c r="H795" i="10"/>
  <c r="N792" i="10"/>
  <c r="H794" i="10" s="1"/>
  <c r="P795" i="10" s="1"/>
  <c r="R361" i="13"/>
  <c r="Q795" i="10" l="1"/>
  <c r="V795" i="10"/>
  <c r="P794" i="10"/>
  <c r="Q794" i="10" s="1"/>
  <c r="V794" i="10"/>
  <c r="O361" i="13"/>
  <c r="W794" i="10" l="1"/>
  <c r="X794" i="10" s="1"/>
  <c r="W795" i="10"/>
  <c r="X795" i="10" s="1"/>
  <c r="J795" i="10" l="1"/>
  <c r="M795" i="10" s="1"/>
  <c r="N795" i="10" s="1"/>
  <c r="J794" i="10"/>
  <c r="M794" i="10" s="1"/>
  <c r="H797" i="10" l="1"/>
  <c r="N794" i="10"/>
  <c r="H796" i="10" s="1"/>
  <c r="P797" i="10" s="1"/>
  <c r="R362" i="13"/>
  <c r="Q797" i="10" l="1"/>
  <c r="V797" i="10"/>
  <c r="P796" i="10"/>
  <c r="Q796" i="10" s="1"/>
  <c r="V796" i="10"/>
  <c r="O362" i="13"/>
  <c r="W796" i="10" l="1"/>
  <c r="X796" i="10" s="1"/>
  <c r="W797" i="10"/>
  <c r="X797" i="10" s="1"/>
  <c r="J797" i="10" l="1"/>
  <c r="M797" i="10" s="1"/>
  <c r="N797" i="10" s="1"/>
  <c r="H798" i="10" s="1"/>
  <c r="P799" i="10" s="1"/>
  <c r="J796" i="10"/>
  <c r="M796" i="10" s="1"/>
  <c r="P798" i="10" l="1"/>
  <c r="Q798" i="10" s="1"/>
  <c r="V798" i="10"/>
  <c r="N796" i="10"/>
  <c r="R363" i="13"/>
  <c r="H799" i="10" l="1"/>
  <c r="W798" i="10"/>
  <c r="X798" i="10" s="1"/>
  <c r="W799" i="10"/>
  <c r="O363" i="13"/>
  <c r="V799" i="10" l="1"/>
  <c r="X799" i="10" s="1"/>
  <c r="Q799" i="10"/>
  <c r="J799" i="10" l="1"/>
  <c r="M799" i="10" s="1"/>
  <c r="N799" i="10" s="1"/>
  <c r="H800" i="10" s="1"/>
  <c r="P801" i="10" s="1"/>
  <c r="J798" i="10"/>
  <c r="M798" i="10" s="1"/>
  <c r="P800" i="10" l="1"/>
  <c r="Q800" i="10" s="1"/>
  <c r="V800" i="10"/>
  <c r="N798" i="10"/>
  <c r="O364" i="13"/>
  <c r="H801" i="10" l="1"/>
  <c r="W800" i="10"/>
  <c r="X800" i="10" s="1"/>
  <c r="W801" i="10"/>
  <c r="R364" i="13"/>
  <c r="V801" i="10" l="1"/>
  <c r="X801" i="10" s="1"/>
  <c r="Q801" i="10"/>
  <c r="J801" i="10" l="1"/>
  <c r="M801" i="10" s="1"/>
  <c r="N801" i="10" s="1"/>
  <c r="H810" i="10" s="1"/>
  <c r="P811" i="10" s="1"/>
  <c r="Q811" i="10" s="1"/>
  <c r="J800" i="10"/>
  <c r="M800" i="10" s="1"/>
  <c r="P810" i="10" l="1"/>
  <c r="Q810" i="10" s="1"/>
  <c r="V810" i="10"/>
  <c r="R368" i="13"/>
  <c r="R369" i="13"/>
  <c r="R366" i="13"/>
  <c r="R367" i="13"/>
  <c r="N800" i="10"/>
  <c r="O372" i="13" s="1"/>
  <c r="R365" i="13"/>
  <c r="O370" i="13" l="1"/>
  <c r="O371" i="13"/>
  <c r="W810" i="10"/>
  <c r="X810" i="10" s="1"/>
  <c r="W811" i="10"/>
  <c r="X811" i="10" s="1"/>
  <c r="O368" i="13"/>
  <c r="O369" i="13"/>
  <c r="O366" i="13"/>
  <c r="O367" i="13"/>
  <c r="O365" i="13"/>
  <c r="B6" i="14"/>
  <c r="J810" i="10" l="1"/>
  <c r="M810" i="10" s="1"/>
  <c r="J811" i="10"/>
  <c r="M811" i="10" s="1"/>
  <c r="N811" i="10" s="1"/>
  <c r="H2" i="14"/>
  <c r="B11" i="13"/>
  <c r="H813" i="10" l="1"/>
  <c r="P370" i="13"/>
  <c r="N810" i="10"/>
  <c r="H812" i="10" s="1"/>
  <c r="P813" i="10" s="1"/>
  <c r="Q813" i="10" s="1"/>
  <c r="S11" i="13"/>
  <c r="V813" i="10" l="1"/>
  <c r="P812" i="10"/>
  <c r="Q812" i="10" s="1"/>
  <c r="V812" i="10"/>
  <c r="R370" i="13"/>
  <c r="F90" i="7"/>
  <c r="S90" i="7" s="1"/>
  <c r="W11" i="13"/>
  <c r="B24" i="5" s="1"/>
  <c r="AI11" i="13"/>
  <c r="W812" i="10" l="1"/>
  <c r="X812" i="10" s="1"/>
  <c r="W813" i="10"/>
  <c r="X813" i="10" s="1"/>
  <c r="J813" i="10" l="1"/>
  <c r="M813" i="10" s="1"/>
  <c r="N813" i="10" s="1"/>
  <c r="J812" i="10"/>
  <c r="M812" i="10" s="1"/>
  <c r="H815" i="10" l="1"/>
  <c r="N812" i="10"/>
  <c r="H814" i="10" s="1"/>
  <c r="P815" i="10" s="1"/>
  <c r="Q815" i="10" s="1"/>
  <c r="P371" i="13"/>
  <c r="V815" i="10" l="1"/>
  <c r="P814" i="10"/>
  <c r="Q814" i="10" s="1"/>
  <c r="V814" i="10"/>
  <c r="R371" i="13"/>
  <c r="W814" i="10" l="1"/>
  <c r="X814" i="10" s="1"/>
  <c r="W815" i="10"/>
  <c r="X815" i="10" s="1"/>
  <c r="J815" i="10" l="1"/>
  <c r="M815" i="10" s="1"/>
  <c r="N815" i="10" s="1"/>
  <c r="J814" i="10"/>
  <c r="M814" i="10" s="1"/>
  <c r="B19" i="8" l="1"/>
  <c r="H19" i="8"/>
  <c r="H18" i="8"/>
  <c r="B18" i="8"/>
  <c r="N814" i="10"/>
  <c r="P372" i="13"/>
  <c r="B7" i="14"/>
  <c r="B12" i="13" l="1"/>
  <c r="I2" i="14"/>
  <c r="R372" i="13"/>
  <c r="B17" i="8"/>
  <c r="H17" i="8"/>
  <c r="B9" i="14"/>
  <c r="D18" i="8"/>
  <c r="F18" i="8"/>
  <c r="C18" i="8"/>
  <c r="E18" i="8"/>
  <c r="F19" i="8"/>
  <c r="D19" i="8"/>
  <c r="E19" i="8"/>
  <c r="C19" i="8"/>
  <c r="K2" i="14" l="1"/>
  <c r="C5" i="14" s="1"/>
  <c r="C10" i="13" s="1"/>
  <c r="AA10" i="13" s="1"/>
  <c r="B14" i="13"/>
  <c r="E17" i="8"/>
  <c r="D17" i="8"/>
  <c r="C17" i="8"/>
  <c r="F17" i="8" s="1"/>
  <c r="C7" i="14"/>
  <c r="C12" i="13" s="1"/>
  <c r="AA12" i="13" s="1"/>
  <c r="C8" i="14"/>
  <c r="C13" i="13" s="1"/>
  <c r="AA13" i="13" s="1"/>
  <c r="C15" i="14"/>
  <c r="C20" i="13" s="1"/>
  <c r="AA20" i="13" s="1"/>
  <c r="C10" i="14"/>
  <c r="C15" i="13" s="1"/>
  <c r="AA15" i="13" s="1"/>
  <c r="C12" i="14"/>
  <c r="C17" i="13" s="1"/>
  <c r="AA17" i="13" s="1"/>
  <c r="C3" i="14"/>
  <c r="C8" i="13" s="1"/>
  <c r="AA8" i="13" s="1"/>
  <c r="C11" i="14"/>
  <c r="C16" i="13" s="1"/>
  <c r="AA16" i="13" s="1"/>
  <c r="C14" i="14"/>
  <c r="C19" i="13" s="1"/>
  <c r="AA19" i="13" s="1"/>
  <c r="C4" i="14"/>
  <c r="C9" i="13" s="1"/>
  <c r="AA9" i="13" s="1"/>
  <c r="C13" i="14"/>
  <c r="C18" i="13" s="1"/>
  <c r="AA18" i="13" s="1"/>
  <c r="C9" i="14"/>
  <c r="C14" i="13" s="1"/>
  <c r="AA14" i="13" s="1"/>
  <c r="C2" i="14"/>
  <c r="C7" i="13" s="1"/>
  <c r="AA7" i="13" s="1"/>
  <c r="C6" i="14"/>
  <c r="C11" i="13" s="1"/>
  <c r="E18" i="13"/>
  <c r="E7" i="13"/>
  <c r="E17" i="13"/>
  <c r="D12" i="13"/>
  <c r="S12" i="13"/>
  <c r="D9" i="13"/>
  <c r="E15" i="13"/>
  <c r="E11" i="13"/>
  <c r="D13" i="13"/>
  <c r="D10" i="13"/>
  <c r="E13" i="13"/>
  <c r="E9" i="13"/>
  <c r="E19" i="13"/>
  <c r="E10" i="13"/>
  <c r="E20" i="13"/>
  <c r="D8" i="13"/>
  <c r="D20" i="13"/>
  <c r="E14" i="13"/>
  <c r="D17" i="13"/>
  <c r="D15" i="13"/>
  <c r="D18" i="13"/>
  <c r="D11" i="13"/>
  <c r="E12" i="13"/>
  <c r="E8" i="13"/>
  <c r="D19" i="13"/>
  <c r="D7" i="13"/>
  <c r="D16" i="13"/>
  <c r="E16" i="13"/>
  <c r="AI12" i="13" l="1"/>
  <c r="F95" i="7"/>
  <c r="S95" i="7" s="1"/>
  <c r="W12" i="13"/>
  <c r="B12" i="5"/>
  <c r="AA11" i="13"/>
  <c r="B28" i="5" s="1"/>
  <c r="S14" i="13"/>
  <c r="D14" i="13"/>
  <c r="F93" i="7" l="1"/>
  <c r="S93" i="7" s="1"/>
  <c r="C4" i="7" s="1"/>
  <c r="AI14" i="13"/>
  <c r="L14" i="13" s="1"/>
  <c r="W14" i="13"/>
  <c r="L9" i="13"/>
  <c r="L17" i="13"/>
  <c r="B5" i="4"/>
  <c r="L7" i="13"/>
  <c r="B17" i="4"/>
  <c r="B7" i="4"/>
  <c r="L10" i="13"/>
  <c r="L8" i="13"/>
  <c r="B10" i="4"/>
  <c r="L16" i="13"/>
  <c r="L20" i="13"/>
  <c r="B6" i="4"/>
  <c r="L11" i="13"/>
  <c r="B13" i="4"/>
  <c r="B8" i="4"/>
  <c r="B11" i="4"/>
  <c r="B15" i="4"/>
  <c r="B16" i="4"/>
  <c r="L12" i="13"/>
  <c r="L13" i="13"/>
  <c r="B18" i="4"/>
  <c r="B14" i="4"/>
  <c r="B9" i="4"/>
  <c r="B12" i="4"/>
  <c r="L19" i="13"/>
  <c r="L18" i="13"/>
  <c r="L15" i="13"/>
  <c r="I12" i="4" l="1"/>
  <c r="M12" i="4"/>
  <c r="H12" i="4"/>
  <c r="O12" i="4"/>
  <c r="R12" i="4"/>
  <c r="C12" i="4"/>
  <c r="J12" i="4"/>
  <c r="P12" i="4"/>
  <c r="X12" i="4"/>
  <c r="T12" i="4"/>
  <c r="E12" i="4"/>
  <c r="S12" i="4"/>
  <c r="V12" i="4"/>
  <c r="K12" i="4"/>
  <c r="Y17" i="13" s="1"/>
  <c r="D12" i="4"/>
  <c r="U12" i="4"/>
  <c r="Q12" i="4"/>
  <c r="V17" i="4"/>
  <c r="R17" i="4"/>
  <c r="X17" i="4"/>
  <c r="I17" i="4"/>
  <c r="U17" i="4"/>
  <c r="S17" i="4"/>
  <c r="Q17" i="4"/>
  <c r="P17" i="4"/>
  <c r="C17" i="4"/>
  <c r="O17" i="4"/>
  <c r="D17" i="4"/>
  <c r="AD10" i="13" s="1"/>
  <c r="K17" i="4"/>
  <c r="AE10" i="13" s="1"/>
  <c r="H17" i="4"/>
  <c r="T17" i="4"/>
  <c r="E17" i="4"/>
  <c r="J17" i="4"/>
  <c r="M17" i="4"/>
  <c r="A8" i="9"/>
  <c r="H14" i="4"/>
  <c r="E14" i="4"/>
  <c r="M14" i="4"/>
  <c r="T14" i="4"/>
  <c r="O14" i="4"/>
  <c r="V14" i="4"/>
  <c r="X14" i="4"/>
  <c r="K14" i="4"/>
  <c r="AE20" i="13" s="1"/>
  <c r="S14" i="4"/>
  <c r="J14" i="4"/>
  <c r="I14" i="4"/>
  <c r="P14" i="4"/>
  <c r="U14" i="4"/>
  <c r="D14" i="4"/>
  <c r="C14" i="4"/>
  <c r="R14" i="4"/>
  <c r="Q14" i="4"/>
  <c r="O5" i="4"/>
  <c r="B17" i="9"/>
  <c r="K5" i="4"/>
  <c r="B5" i="5"/>
  <c r="U5" i="4"/>
  <c r="C5" i="4"/>
  <c r="A5" i="9" s="1"/>
  <c r="J5" i="4"/>
  <c r="S5" i="4"/>
  <c r="X5" i="4"/>
  <c r="D5" i="4"/>
  <c r="M5" i="4"/>
  <c r="Q5" i="4"/>
  <c r="T5" i="4"/>
  <c r="E5" i="4"/>
  <c r="V5" i="4"/>
  <c r="H5" i="4"/>
  <c r="I5" i="4"/>
  <c r="R5" i="4"/>
  <c r="P5" i="4"/>
  <c r="AD8" i="13"/>
  <c r="AD15" i="13"/>
  <c r="Y11" i="13"/>
  <c r="B26" i="5" s="1"/>
  <c r="AD17" i="13"/>
  <c r="AE17" i="13"/>
  <c r="AD11" i="13"/>
  <c r="H7" i="4"/>
  <c r="T7" i="4"/>
  <c r="Q7" i="4"/>
  <c r="I7" i="4"/>
  <c r="K7" i="4"/>
  <c r="Y12" i="13" s="1"/>
  <c r="R7" i="4"/>
  <c r="J7" i="4"/>
  <c r="U7" i="4"/>
  <c r="S7" i="4"/>
  <c r="D7" i="4"/>
  <c r="AD12" i="13" s="1"/>
  <c r="C7" i="4"/>
  <c r="C19" i="9" s="1"/>
  <c r="E7" i="4"/>
  <c r="X7" i="4"/>
  <c r="B19" i="9"/>
  <c r="M7" i="4"/>
  <c r="O7" i="4"/>
  <c r="P7" i="4"/>
  <c r="V7" i="4"/>
  <c r="Q15" i="4"/>
  <c r="T15" i="4"/>
  <c r="C15" i="4"/>
  <c r="O15" i="4"/>
  <c r="I15" i="4"/>
  <c r="U15" i="4"/>
  <c r="J15" i="4"/>
  <c r="X15" i="4"/>
  <c r="K15" i="4"/>
  <c r="AE19" i="13" s="1"/>
  <c r="D15" i="4"/>
  <c r="S15" i="4"/>
  <c r="H15" i="4"/>
  <c r="R15" i="4"/>
  <c r="P15" i="4"/>
  <c r="M15" i="4"/>
  <c r="E15" i="4"/>
  <c r="V15" i="4"/>
  <c r="U10" i="4"/>
  <c r="E10" i="4"/>
  <c r="C10" i="4"/>
  <c r="I10" i="4"/>
  <c r="S10" i="4"/>
  <c r="O10" i="4"/>
  <c r="T10" i="4"/>
  <c r="M10" i="4"/>
  <c r="Q10" i="4"/>
  <c r="X10" i="4"/>
  <c r="D10" i="4"/>
  <c r="V10" i="4"/>
  <c r="J10" i="4"/>
  <c r="P10" i="4"/>
  <c r="K10" i="4"/>
  <c r="Y14" i="13" s="1"/>
  <c r="H10" i="4"/>
  <c r="R10" i="4"/>
  <c r="R9" i="4"/>
  <c r="V9" i="4"/>
  <c r="D9" i="4"/>
  <c r="J9" i="4"/>
  <c r="C9" i="4"/>
  <c r="Q9" i="4"/>
  <c r="O9" i="4"/>
  <c r="I9" i="4"/>
  <c r="K9" i="4"/>
  <c r="AE14" i="13" s="1"/>
  <c r="X9" i="4"/>
  <c r="P9" i="4"/>
  <c r="U9" i="4"/>
  <c r="H9" i="4"/>
  <c r="S9" i="4"/>
  <c r="T9" i="4"/>
  <c r="E9" i="4"/>
  <c r="M9" i="4"/>
  <c r="H18" i="4"/>
  <c r="D18" i="4"/>
  <c r="S18" i="4"/>
  <c r="M18" i="4"/>
  <c r="K18" i="4"/>
  <c r="Y16" i="13" s="1"/>
  <c r="C18" i="4"/>
  <c r="E18" i="4"/>
  <c r="V18" i="4"/>
  <c r="J18" i="4"/>
  <c r="I18" i="4"/>
  <c r="X18" i="4"/>
  <c r="R18" i="4"/>
  <c r="P18" i="4"/>
  <c r="U18" i="4"/>
  <c r="Q18" i="4"/>
  <c r="O18" i="4"/>
  <c r="T18" i="4"/>
  <c r="M16" i="4"/>
  <c r="U16" i="4"/>
  <c r="Q16" i="4"/>
  <c r="R16" i="4"/>
  <c r="E16" i="4"/>
  <c r="V16" i="4"/>
  <c r="X16" i="4"/>
  <c r="K16" i="4"/>
  <c r="AE8" i="13" s="1"/>
  <c r="J16" i="4"/>
  <c r="I16" i="4"/>
  <c r="C16" i="4"/>
  <c r="D16" i="4"/>
  <c r="O16" i="4"/>
  <c r="H16" i="4"/>
  <c r="T16" i="4"/>
  <c r="S16" i="4"/>
  <c r="P16" i="4"/>
  <c r="V11" i="4"/>
  <c r="Q11" i="4"/>
  <c r="S11" i="4"/>
  <c r="P11" i="4"/>
  <c r="O11" i="4"/>
  <c r="J11" i="4"/>
  <c r="U11" i="4"/>
  <c r="E11" i="4"/>
  <c r="H11" i="4"/>
  <c r="R11" i="4"/>
  <c r="C11" i="4"/>
  <c r="M11" i="4"/>
  <c r="T11" i="4"/>
  <c r="K11" i="4"/>
  <c r="Y9" i="13" s="1"/>
  <c r="D11" i="4"/>
  <c r="AD9" i="13" s="1"/>
  <c r="I11" i="4"/>
  <c r="X11" i="4"/>
  <c r="T6" i="4"/>
  <c r="M6" i="4"/>
  <c r="V6" i="4"/>
  <c r="D6" i="4"/>
  <c r="I6" i="4"/>
  <c r="K6" i="4"/>
  <c r="AE7" i="13" s="1"/>
  <c r="Q6" i="4"/>
  <c r="U6" i="4"/>
  <c r="O6" i="4"/>
  <c r="H6" i="4"/>
  <c r="S6" i="4"/>
  <c r="X6" i="4"/>
  <c r="C6" i="4"/>
  <c r="C18" i="9" s="1"/>
  <c r="R6" i="4"/>
  <c r="B18" i="9"/>
  <c r="E6" i="4"/>
  <c r="P6" i="4"/>
  <c r="J6" i="4"/>
  <c r="M8" i="4"/>
  <c r="E8" i="4"/>
  <c r="O8" i="4"/>
  <c r="D8" i="4"/>
  <c r="C8" i="4"/>
  <c r="T8" i="4"/>
  <c r="J8" i="4"/>
  <c r="P8" i="4"/>
  <c r="U8" i="4"/>
  <c r="H8" i="4"/>
  <c r="R8" i="4"/>
  <c r="I8" i="4"/>
  <c r="V8" i="4"/>
  <c r="Q8" i="4"/>
  <c r="S8" i="4"/>
  <c r="K8" i="4"/>
  <c r="AE15" i="13" s="1"/>
  <c r="X8" i="4"/>
  <c r="S13" i="4"/>
  <c r="J13" i="4"/>
  <c r="R13" i="4"/>
  <c r="P13" i="4"/>
  <c r="O13" i="4"/>
  <c r="Q13" i="4"/>
  <c r="E13" i="4"/>
  <c r="V13" i="4"/>
  <c r="U13" i="4"/>
  <c r="H13" i="4"/>
  <c r="D13" i="4"/>
  <c r="I13" i="4"/>
  <c r="X13" i="4"/>
  <c r="K13" i="4"/>
  <c r="AE18" i="13" s="1"/>
  <c r="M13" i="4"/>
  <c r="C13" i="4"/>
  <c r="T13" i="4"/>
  <c r="A5" i="3"/>
  <c r="B28" i="8" s="1"/>
  <c r="A6" i="3"/>
  <c r="A10" i="9" l="1"/>
  <c r="B30" i="8"/>
  <c r="F5" i="4"/>
  <c r="B8" i="5" s="1"/>
  <c r="C21" i="8"/>
  <c r="F21" i="8" s="1"/>
  <c r="G5" i="4"/>
  <c r="B21" i="8"/>
  <c r="L5" i="4"/>
  <c r="F12" i="4"/>
  <c r="G12" i="4"/>
  <c r="X17" i="13" s="1"/>
  <c r="AB17" i="13" s="1"/>
  <c r="AF17" i="13" s="1"/>
  <c r="W12" i="4" s="1"/>
  <c r="L12" i="4"/>
  <c r="Y19" i="13"/>
  <c r="L18" i="4"/>
  <c r="G18" i="4"/>
  <c r="X16" i="13" s="1"/>
  <c r="AB16" i="13" s="1"/>
  <c r="AF16" i="13" s="1"/>
  <c r="W18" i="4" s="1"/>
  <c r="F18" i="4"/>
  <c r="AD13" i="13"/>
  <c r="G9" i="4"/>
  <c r="X13" i="13" s="1"/>
  <c r="AB13" i="13" s="1"/>
  <c r="F9" i="4"/>
  <c r="L9" i="4"/>
  <c r="G17" i="4"/>
  <c r="X10" i="13" s="1"/>
  <c r="L17" i="4"/>
  <c r="F17" i="4"/>
  <c r="AE9" i="13"/>
  <c r="Y15" i="13"/>
  <c r="AE12" i="13"/>
  <c r="Y10" i="13"/>
  <c r="L7" i="4"/>
  <c r="F7" i="4"/>
  <c r="G7" i="4"/>
  <c r="X12" i="13" s="1"/>
  <c r="AB12" i="13" s="1"/>
  <c r="AF12" i="13" s="1"/>
  <c r="W7" i="4" s="1"/>
  <c r="B11" i="5"/>
  <c r="B31" i="8"/>
  <c r="C22" i="8"/>
  <c r="B22" i="8"/>
  <c r="AD18" i="13"/>
  <c r="L13" i="4"/>
  <c r="F13" i="4"/>
  <c r="G13" i="4"/>
  <c r="X18" i="13" s="1"/>
  <c r="G11" i="4"/>
  <c r="X9" i="13" s="1"/>
  <c r="AB9" i="13" s="1"/>
  <c r="L11" i="4"/>
  <c r="F11" i="4"/>
  <c r="AE11" i="13"/>
  <c r="Y18" i="13"/>
  <c r="N6" i="4"/>
  <c r="N17" i="4"/>
  <c r="N10" i="4"/>
  <c r="N15" i="4"/>
  <c r="N7" i="4"/>
  <c r="N8" i="4"/>
  <c r="N16" i="4"/>
  <c r="N18" i="4"/>
  <c r="N9" i="4"/>
  <c r="D18" i="9"/>
  <c r="B33" i="8"/>
  <c r="N12" i="4"/>
  <c r="N11" i="4"/>
  <c r="C17" i="9"/>
  <c r="N5" i="4"/>
  <c r="B15" i="5" s="1"/>
  <c r="D19" i="9"/>
  <c r="N14" i="4"/>
  <c r="N13" i="4"/>
  <c r="F16" i="4"/>
  <c r="L16" i="4"/>
  <c r="G16" i="4"/>
  <c r="X8" i="13" s="1"/>
  <c r="AB8" i="13" s="1"/>
  <c r="AF8" i="13" s="1"/>
  <c r="W16" i="4" s="1"/>
  <c r="Y7" i="13"/>
  <c r="Y13" i="13"/>
  <c r="Y8" i="13"/>
  <c r="B6" i="5"/>
  <c r="AD16" i="13"/>
  <c r="L8" i="4"/>
  <c r="G8" i="4"/>
  <c r="X15" i="13" s="1"/>
  <c r="AB15" i="13" s="1"/>
  <c r="AF15" i="13" s="1"/>
  <c r="W8" i="4" s="1"/>
  <c r="F8" i="4"/>
  <c r="G10" i="4"/>
  <c r="X14" i="13" s="1"/>
  <c r="AB14" i="13" s="1"/>
  <c r="F10" i="4"/>
  <c r="L10" i="4"/>
  <c r="AE13" i="13"/>
  <c r="Y20" i="13"/>
  <c r="B10" i="5"/>
  <c r="T2" i="4"/>
  <c r="AD7" i="13"/>
  <c r="G6" i="4"/>
  <c r="X7" i="13" s="1"/>
  <c r="AB7" i="13" s="1"/>
  <c r="L6" i="4"/>
  <c r="F6" i="4"/>
  <c r="AD19" i="13"/>
  <c r="L15" i="4"/>
  <c r="F15" i="4"/>
  <c r="G15" i="4"/>
  <c r="X19" i="13" s="1"/>
  <c r="AB19" i="13" s="1"/>
  <c r="AF19" i="13" s="1"/>
  <c r="W15" i="4" s="1"/>
  <c r="AE16" i="13"/>
  <c r="AD14" i="13"/>
  <c r="AD20" i="13"/>
  <c r="AF20" i="13" s="1"/>
  <c r="W14" i="4" s="1"/>
  <c r="F14" i="4"/>
  <c r="G14" i="4"/>
  <c r="X20" i="13" s="1"/>
  <c r="L14" i="4"/>
  <c r="AF13" i="13" l="1"/>
  <c r="W9" i="4" s="1"/>
  <c r="AB20" i="13"/>
  <c r="AF14" i="13"/>
  <c r="W10" i="4" s="1"/>
  <c r="AF9" i="13"/>
  <c r="W11" i="4" s="1"/>
  <c r="A3" i="4"/>
  <c r="B16" i="5"/>
  <c r="AB18" i="13"/>
  <c r="AF18" i="13" s="1"/>
  <c r="W13" i="4" s="1"/>
  <c r="X11" i="13"/>
  <c r="B9" i="5"/>
  <c r="AB10" i="13"/>
  <c r="AF10" i="13" s="1"/>
  <c r="W17" i="4" s="1"/>
  <c r="AF7" i="13"/>
  <c r="W6" i="4" s="1"/>
  <c r="AB11" i="13" l="1"/>
  <c r="B25" i="5"/>
  <c r="B23" i="5" l="1"/>
  <c r="AF11" i="13"/>
  <c r="W5" i="4" l="1"/>
  <c r="B7" i="5"/>
</calcChain>
</file>

<file path=xl/sharedStrings.xml><?xml version="1.0" encoding="utf-8"?>
<sst xmlns="http://schemas.openxmlformats.org/spreadsheetml/2006/main" count="3429" uniqueCount="466">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</sst>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6" fillId="0" borderId="0" xfId="0" applyFont="1" applyAlignment="1">
      <alignment horizontal="left" vertical="top" wrapText="1"/>
    </xf>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52" t="s">
        <v>186</v>
      </c>
      <c r="B2" s="146"/>
      <c r="C2" s="146"/>
      <c r="D2" s="146"/>
      <c r="E2" s="146"/>
      <c r="F2" s="146"/>
      <c r="G2" s="146"/>
      <c r="H2" s="146"/>
    </row>
    <row r="3" spans="1:8" ht="48" customHeight="1" x14ac:dyDescent="0.2">
      <c r="A3" s="151"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8" t="s">
        <v>190</v>
      </c>
      <c r="C7" s="146"/>
      <c r="D7" s="146"/>
      <c r="E7" s="146"/>
      <c r="F7" s="146"/>
      <c r="G7" s="146"/>
      <c r="H7" s="146"/>
    </row>
    <row r="8" spans="1:8" ht="36" customHeight="1" x14ac:dyDescent="0.2">
      <c r="A8" s="26" t="s">
        <v>191</v>
      </c>
      <c r="B8" s="148" t="s">
        <v>192</v>
      </c>
      <c r="C8" s="146"/>
      <c r="D8" s="146"/>
      <c r="E8" s="146"/>
      <c r="F8" s="146"/>
      <c r="G8" s="146"/>
      <c r="H8" s="146"/>
    </row>
    <row r="9" spans="1:8" ht="21" customHeight="1" x14ac:dyDescent="0.2">
      <c r="A9" s="25" t="s">
        <v>189</v>
      </c>
      <c r="B9" s="148" t="s">
        <v>193</v>
      </c>
      <c r="C9" s="146"/>
      <c r="D9" s="146"/>
      <c r="E9" s="146"/>
      <c r="F9" s="146"/>
      <c r="G9" s="146"/>
      <c r="H9" s="146"/>
    </row>
    <row r="10" spans="1:8" ht="36" customHeight="1" x14ac:dyDescent="0.2">
      <c r="A10" s="26" t="s">
        <v>191</v>
      </c>
      <c r="B10" s="148"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8" t="s">
        <v>196</v>
      </c>
      <c r="C13" s="146"/>
      <c r="D13" s="146"/>
      <c r="E13" s="146"/>
      <c r="F13" s="146"/>
      <c r="G13" s="146"/>
      <c r="H13" s="146"/>
    </row>
    <row r="14" spans="1:8" ht="36" customHeight="1" x14ac:dyDescent="0.2">
      <c r="A14" s="26" t="s">
        <v>191</v>
      </c>
      <c r="B14" s="148" t="s">
        <v>197</v>
      </c>
      <c r="C14" s="146"/>
      <c r="D14" s="146"/>
      <c r="E14" s="146"/>
      <c r="F14" s="146"/>
      <c r="G14" s="146"/>
      <c r="H14" s="146"/>
    </row>
    <row r="15" spans="1:8" ht="21" customHeight="1" x14ac:dyDescent="0.2">
      <c r="A15" s="25" t="s">
        <v>189</v>
      </c>
      <c r="B15" s="148" t="s">
        <v>198</v>
      </c>
      <c r="C15" s="146"/>
      <c r="D15" s="146"/>
      <c r="E15" s="146"/>
      <c r="F15" s="146"/>
      <c r="G15" s="146"/>
      <c r="H15" s="146"/>
    </row>
    <row r="16" spans="1:8" ht="36" customHeight="1" x14ac:dyDescent="0.2">
      <c r="A16" s="26" t="s">
        <v>191</v>
      </c>
      <c r="B16" s="148"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8" t="s">
        <v>201</v>
      </c>
      <c r="C19" s="146"/>
      <c r="D19" s="146"/>
      <c r="E19" s="146"/>
      <c r="F19" s="146"/>
      <c r="G19" s="146"/>
      <c r="H19" s="146"/>
    </row>
    <row r="20" spans="1:8" ht="51" customHeight="1" x14ac:dyDescent="0.2">
      <c r="A20" s="26" t="s">
        <v>191</v>
      </c>
      <c r="B20" s="148" t="s">
        <v>202</v>
      </c>
      <c r="C20" s="146"/>
      <c r="D20" s="146"/>
      <c r="E20" s="146"/>
      <c r="F20" s="146"/>
      <c r="G20" s="146"/>
      <c r="H20" s="146"/>
    </row>
    <row r="21" spans="1:8" ht="21" customHeight="1" x14ac:dyDescent="0.2">
      <c r="A21" s="25" t="s">
        <v>189</v>
      </c>
      <c r="B21" s="148" t="s">
        <v>203</v>
      </c>
      <c r="C21" s="146"/>
      <c r="D21" s="146"/>
      <c r="E21" s="146"/>
      <c r="F21" s="146"/>
      <c r="G21" s="146"/>
      <c r="H21" s="146"/>
    </row>
    <row r="22" spans="1:8" ht="51" customHeight="1" x14ac:dyDescent="0.2">
      <c r="A22" s="26" t="s">
        <v>191</v>
      </c>
      <c r="B22" s="148"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8" t="s">
        <v>206</v>
      </c>
      <c r="C25" s="146"/>
      <c r="D25" s="146"/>
      <c r="E25" s="146"/>
      <c r="F25" s="146"/>
      <c r="G25" s="146"/>
      <c r="H25" s="146"/>
    </row>
    <row r="26" spans="1:8" ht="51" customHeight="1" x14ac:dyDescent="0.2">
      <c r="A26" s="26" t="s">
        <v>191</v>
      </c>
      <c r="B26" s="148" t="s">
        <v>207</v>
      </c>
      <c r="C26" s="146"/>
      <c r="D26" s="146"/>
      <c r="E26" s="146"/>
      <c r="F26" s="146"/>
      <c r="G26" s="146"/>
      <c r="H26" s="146"/>
    </row>
    <row r="27" spans="1:8" ht="21" customHeight="1" x14ac:dyDescent="0.2">
      <c r="A27" s="25" t="s">
        <v>189</v>
      </c>
      <c r="B27" s="148" t="s">
        <v>208</v>
      </c>
      <c r="C27" s="146"/>
      <c r="D27" s="146"/>
      <c r="E27" s="146"/>
      <c r="F27" s="146"/>
      <c r="G27" s="146"/>
      <c r="H27" s="146"/>
    </row>
    <row r="28" spans="1:8" ht="51" customHeight="1" x14ac:dyDescent="0.2">
      <c r="A28" s="26" t="s">
        <v>191</v>
      </c>
      <c r="B28" s="148" t="s">
        <v>209</v>
      </c>
      <c r="C28" s="146"/>
      <c r="D28" s="146"/>
      <c r="E28" s="146"/>
      <c r="F28" s="146"/>
      <c r="G28" s="146"/>
      <c r="H28" s="146"/>
    </row>
    <row r="29" spans="1:8" ht="21" customHeight="1" x14ac:dyDescent="0.2">
      <c r="A29" s="25" t="s">
        <v>189</v>
      </c>
      <c r="B29" s="148" t="s">
        <v>210</v>
      </c>
      <c r="C29" s="146"/>
      <c r="D29" s="146"/>
      <c r="E29" s="146"/>
      <c r="F29" s="146"/>
      <c r="G29" s="146"/>
      <c r="H29" s="146"/>
    </row>
    <row r="30" spans="1:8" ht="36" customHeight="1" x14ac:dyDescent="0.2">
      <c r="A30" s="26" t="s">
        <v>191</v>
      </c>
      <c r="B30" s="148"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8" t="s">
        <v>213</v>
      </c>
      <c r="C33" s="146"/>
      <c r="D33" s="146"/>
      <c r="E33" s="146"/>
      <c r="F33" s="146"/>
      <c r="G33" s="146"/>
      <c r="H33" s="146"/>
    </row>
    <row r="34" spans="1:8" ht="51" customHeight="1" x14ac:dyDescent="0.2">
      <c r="A34" s="26" t="s">
        <v>191</v>
      </c>
      <c r="B34" s="148" t="s">
        <v>214</v>
      </c>
      <c r="C34" s="146"/>
      <c r="D34" s="146"/>
      <c r="E34" s="146"/>
      <c r="F34" s="146"/>
      <c r="G34" s="146"/>
      <c r="H34" s="146"/>
    </row>
    <row r="35" spans="1:8" ht="21" customHeight="1" x14ac:dyDescent="0.2">
      <c r="A35" s="25" t="s">
        <v>189</v>
      </c>
      <c r="B35" s="148" t="s">
        <v>215</v>
      </c>
      <c r="C35" s="146"/>
      <c r="D35" s="146"/>
      <c r="E35" s="146"/>
      <c r="F35" s="146"/>
      <c r="G35" s="146"/>
      <c r="H35" s="146"/>
    </row>
    <row r="36" spans="1:8" ht="36" customHeight="1" x14ac:dyDescent="0.2">
      <c r="A36" s="26" t="s">
        <v>191</v>
      </c>
      <c r="B36" s="148" t="s">
        <v>216</v>
      </c>
      <c r="C36" s="146"/>
      <c r="D36" s="146"/>
      <c r="E36" s="146"/>
      <c r="F36" s="146"/>
      <c r="G36" s="146"/>
      <c r="H36" s="146"/>
    </row>
    <row r="37" spans="1:8" ht="21" customHeight="1" x14ac:dyDescent="0.2">
      <c r="A37" s="25" t="s">
        <v>189</v>
      </c>
      <c r="B37" s="148" t="s">
        <v>217</v>
      </c>
      <c r="C37" s="146"/>
      <c r="D37" s="146"/>
      <c r="E37" s="146"/>
      <c r="F37" s="146"/>
      <c r="G37" s="146"/>
      <c r="H37" s="146"/>
    </row>
    <row r="38" spans="1:8" ht="51" customHeight="1" x14ac:dyDescent="0.2">
      <c r="A38" s="26" t="s">
        <v>191</v>
      </c>
      <c r="B38" s="148" t="s">
        <v>218</v>
      </c>
      <c r="C38" s="146"/>
      <c r="D38" s="146"/>
      <c r="E38" s="146"/>
      <c r="F38" s="146"/>
      <c r="G38" s="146"/>
      <c r="H38" s="146"/>
    </row>
    <row r="39" spans="1:8" ht="21" customHeight="1" x14ac:dyDescent="0.2">
      <c r="A39" s="25" t="s">
        <v>189</v>
      </c>
      <c r="B39" s="148"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8" t="s">
        <v>221</v>
      </c>
      <c r="C42" s="146"/>
      <c r="D42" s="146"/>
      <c r="E42" s="146"/>
      <c r="F42" s="146"/>
      <c r="G42" s="146"/>
      <c r="H42" s="146"/>
    </row>
    <row r="43" spans="1:8" ht="51" customHeight="1" x14ac:dyDescent="0.2">
      <c r="A43" s="26" t="s">
        <v>191</v>
      </c>
      <c r="B43" s="148" t="s">
        <v>222</v>
      </c>
      <c r="C43" s="146"/>
      <c r="D43" s="146"/>
      <c r="E43" s="146"/>
      <c r="F43" s="146"/>
      <c r="G43" s="146"/>
      <c r="H43" s="146"/>
    </row>
    <row r="44" spans="1:8" ht="21" customHeight="1" x14ac:dyDescent="0.2">
      <c r="A44" s="25" t="s">
        <v>189</v>
      </c>
      <c r="B44" s="148" t="s">
        <v>223</v>
      </c>
      <c r="C44" s="146"/>
      <c r="D44" s="146"/>
      <c r="E44" s="146"/>
      <c r="F44" s="146"/>
      <c r="G44" s="146"/>
      <c r="H44" s="146"/>
    </row>
    <row r="45" spans="1:8" ht="36" customHeight="1" x14ac:dyDescent="0.2">
      <c r="A45" s="26" t="s">
        <v>191</v>
      </c>
      <c r="B45" s="148" t="s">
        <v>224</v>
      </c>
      <c r="C45" s="146"/>
      <c r="D45" s="146"/>
      <c r="E45" s="146"/>
      <c r="F45" s="146"/>
      <c r="G45" s="146"/>
      <c r="H45" s="146"/>
    </row>
    <row r="46" spans="1:8" ht="21" customHeight="1" x14ac:dyDescent="0.2">
      <c r="A46" s="25" t="s">
        <v>189</v>
      </c>
      <c r="B46" s="148" t="s">
        <v>225</v>
      </c>
      <c r="C46" s="146"/>
      <c r="D46" s="146"/>
      <c r="E46" s="146"/>
      <c r="F46" s="146"/>
      <c r="G46" s="146"/>
      <c r="H46" s="146"/>
    </row>
    <row r="47" spans="1:8" ht="21" customHeight="1" x14ac:dyDescent="0.2">
      <c r="A47" s="26" t="s">
        <v>191</v>
      </c>
      <c r="B47" s="148"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8" t="s">
        <v>228</v>
      </c>
      <c r="C50" s="146"/>
      <c r="D50" s="146"/>
      <c r="E50" s="146"/>
      <c r="F50" s="146"/>
      <c r="G50" s="146"/>
      <c r="H50" s="146"/>
    </row>
    <row r="51" spans="1:8" ht="21" customHeight="1" x14ac:dyDescent="0.2">
      <c r="A51" s="26" t="s">
        <v>191</v>
      </c>
      <c r="B51" s="148" t="s">
        <v>229</v>
      </c>
      <c r="C51" s="146"/>
      <c r="D51" s="146"/>
      <c r="E51" s="146"/>
      <c r="F51" s="146"/>
      <c r="G51" s="146"/>
      <c r="H51" s="146"/>
    </row>
    <row r="52" spans="1:8" ht="21" customHeight="1" x14ac:dyDescent="0.2">
      <c r="A52" s="25" t="s">
        <v>189</v>
      </c>
      <c r="B52" s="148" t="s">
        <v>230</v>
      </c>
      <c r="C52" s="146"/>
      <c r="D52" s="146"/>
      <c r="E52" s="146"/>
      <c r="F52" s="146"/>
      <c r="G52" s="146"/>
      <c r="H52" s="146"/>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Josh</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1328   |   50 wins, 28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24</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28</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5</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Josh</v>
      </c>
      <c r="C21" s="31">
        <f>IF(OR($B21="—",$B21=""),"",ROUND(MAX('Sport Records'!$B$117:$O$117),0))</f>
        <v>1130</v>
      </c>
      <c r="D21" s="31" t="str">
        <f>IF(OR($B21="—",$B21=""),"—",COUNTIFS('Match Log'!$D$4:$D$1510,$B21,'Match Log'!$C$4:$C$1510,$A21,'Match Log'!$E$4:$E$1510,"Win")&amp;"–"&amp;(COUNTIFS('Match Log'!$D$4:$D$1510,$B21,'Match Log'!$C$4:$C$1510,$A21)-COUNTIFS('Match Log'!$D$4:$D$1510,$B21,'Match Log'!$C$4:$C$1510,$A21,'Match Log'!$E$4:$E$1510,"Win")))</f>
        <v>16–2</v>
      </c>
      <c r="E21" s="31">
        <f>IFERROR('Sport Records'!$P$19,0)</f>
        <v>59</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Josh</v>
      </c>
      <c r="C23" s="31">
        <f>IF(OR($B23="—",$B23=""),"",ROUND(MAX('Sport Records'!$B$119:$O$119),0))</f>
        <v>1077</v>
      </c>
      <c r="D23" s="31" t="str">
        <f>IF(OR($B23="—",$B23=""),"—",COUNTIFS('Match Log'!$D$4:$D$1510,$B23,'Match Log'!$C$4:$C$1510,$A23,'Match Log'!$E$4:$E$1510,"Win")&amp;"–"&amp;(COUNTIFS('Match Log'!$D$4:$D$1510,$B23,'Match Log'!$C$4:$C$1510,$A23)-COUNTIFS('Match Log'!$D$4:$D$1510,$B23,'Match Log'!$C$4:$C$1510,$A23,'Match Log'!$E$4:$E$1510,"Win")))</f>
        <v>11–3</v>
      </c>
      <c r="E23" s="31">
        <f>IFERROR('Sport Records'!$P$21,0)</f>
        <v>30</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1027</v>
      </c>
      <c r="D25" s="31" t="str">
        <f>IF(OR($B25="—",$B25=""),"—",COUNTIFS('Match Log'!$D$4:$D$1510,$B25,'Match Log'!$C$4:$C$1510,$A25,'Match Log'!$E$4:$E$1510,"Win")&amp;"–"&amp;(COUNTIFS('Match Log'!$D$4:$D$1510,$B25,'Match Log'!$C$4:$C$1510,$A25)-COUNTIFS('Match Log'!$D$4:$D$1510,$B25,'Match Log'!$C$4:$C$1510,$A25,'Match Log'!$E$4:$E$1510,"Win")))</f>
        <v>8–4</v>
      </c>
      <c r="E25" s="31">
        <f>IFERROR('Sport Records'!$P$23,0)</f>
        <v>13</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1151</v>
      </c>
      <c r="D28" s="31" t="str">
        <f>IF(OR($B28="—",$B28=""),"—",COUNTIFS('Match Log'!$D$4:$D$1510,$B28,'Match Log'!$C$4:$C$1510,$A28,'Match Log'!$E$4:$E$1510,"Win")&amp;"–"&amp;(COUNTIFS('Match Log'!$D$4:$D$1510,$B28,'Match Log'!$C$4:$C$1510,$A28)-COUNTIFS('Match Log'!$D$4:$D$1510,$B28,'Match Log'!$C$4:$C$1510,$A28,'Match Log'!$E$4:$E$1510,"Win")))</f>
        <v>28–16</v>
      </c>
      <c r="E28" s="31">
        <f>IFERROR('Sport Records'!$P$26,0)</f>
        <v>60</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1029</v>
      </c>
      <c r="D33" s="31" t="str">
        <f>IF(OR($B33="—",$B33=""),"—",COUNTIFS('Match Log'!$D$4:$D$1510,$B33,'Match Log'!$C$4:$C$1510,$A33,'Match Log'!$E$4:$E$1510,"Win")&amp;"–"&amp;(COUNTIFS('Match Log'!$D$4:$D$1510,$B33,'Match Log'!$C$4:$C$1510,$A33)-COUNTIFS('Match Log'!$D$4:$D$1510,$B33,'Match Log'!$C$4:$C$1510,$A33,'Match Log'!$E$4:$E$1510,"Win")))</f>
        <v>3–1</v>
      </c>
      <c r="E33" s="31">
        <f>IFERROR('Sport Records'!$P$31,0)</f>
        <v>4</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C24" sqref="C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348  ·  30 Oct 2026</v>
      </c>
      <c r="T2" s="49"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1327.5695831172361</v>
      </c>
      <c r="D5" s="55">
        <f ca="1">COUNTIF('Match Log'!$D$4:$D$1510,$B5)</f>
        <v>78</v>
      </c>
      <c r="E5" s="55">
        <f ca="1">COUNTIFS('Match Log'!$D$4:$D$1510,$B5,'Match Log'!$E$4:$E$1510,"Win")</f>
        <v>50</v>
      </c>
      <c r="F5" s="55">
        <f t="shared" ref="F5:F18" ca="1" si="1">$D5-$E5</f>
        <v>28</v>
      </c>
      <c r="G5" s="56">
        <f t="shared" ref="G5:G18" ca="1" si="2">IF($D5=0,"",$E5/$D5)</f>
        <v>0.64102564102564108</v>
      </c>
      <c r="H5" s="57">
        <f ca="1">SUMIF('Match Log'!$D$4:$D$1510,$B5,'Match Log'!$J$4:$J$1510)</f>
        <v>167.54441453466649</v>
      </c>
      <c r="I5" s="57">
        <f ca="1">SUMIF('Match Log'!$D$4:$D$1510,$B5,'Match Log'!$K$4:$K$1510)</f>
        <v>88.275168582569123</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1127.1568566150286</v>
      </c>
      <c r="N5" s="54">
        <f t="shared" ref="N5:N18" ca="1" si="3">MAX($C$5:$C$18)-$C5</f>
        <v>0</v>
      </c>
      <c r="O5" s="55" t="str">
        <f ca="1">IFERROR(INDEX(Calcs!$H$7:$H$20,MATCH($B5,Calcs!$A$7:$A$20,0)),"")</f>
        <v>W1</v>
      </c>
      <c r="P5" s="55" t="str">
        <f ca="1">IFERROR(INDEX(Calcs!$I$7:$I$20,MATCH($B5,Calcs!$A$7:$A$20,0)),"")</f>
        <v>WWWLW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27 Oct</v>
      </c>
      <c r="S5" s="55">
        <f ca="1">IFERROR(ROUND(INDEX(Calcs!$Q$7:$Q$20,MATCH($B5,Calcs!$A$7:$A$20,0)),1),"")</f>
        <v>0.6</v>
      </c>
      <c r="T5" s="55" t="str">
        <f ca="1">IFERROR(INDEX(Calcs!$T$7:$T$20,MATCH($B5,Calcs!$A$7:$A$20,0)),"")</f>
        <v>Active</v>
      </c>
      <c r="U5">
        <f ca="1">IFERROR(ROUND(INDEX(Calcs!$R$7:$R$20,MATCH($B5,Calcs!$A$7:$A$20,0))+INDEX(Calcs!$U$7:$U$20,MATCH($B5,Calcs!$A$7:$A$20,0)),0),0)</f>
        <v>0</v>
      </c>
      <c r="V5" s="57">
        <f ca="1">IFERROR(ROUND(INDEX(Calcs!$S$7:$S$20,MATCH($B5,Calcs!$A$7:$A$20,0)),0),"")</f>
        <v>1328</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Aaron</v>
      </c>
      <c r="C6" s="54">
        <f ca="1">IFERROR(INDEX(Calcs!$S$7:$S$20,MATCH($B6,Calcs!$A$7:$A$20,0)),"")</f>
        <v>1223.1911759451084</v>
      </c>
      <c r="D6" s="55">
        <f ca="1">COUNTIF('Match Log'!$D$4:$D$1510,$B6)</f>
        <v>94</v>
      </c>
      <c r="E6" s="55">
        <f ca="1">COUNTIFS('Match Log'!$D$4:$D$1510,$B6,'Match Log'!$E$4:$E$1510,"Win")</f>
        <v>44</v>
      </c>
      <c r="F6" s="55">
        <f t="shared" ca="1" si="1"/>
        <v>50</v>
      </c>
      <c r="G6" s="56">
        <f t="shared" ca="1" si="2"/>
        <v>0.46808510638297873</v>
      </c>
      <c r="H6" s="57">
        <f ca="1">SUMIF('Match Log'!$D$4:$D$1510,$B6,'Match Log'!$J$4:$J$1510)</f>
        <v>59.277239136802152</v>
      </c>
      <c r="I6" s="57">
        <f ca="1">SUMIF('Match Log'!$D$4:$D$1510,$B6,'Match Log'!$K$4:$K$1510)</f>
        <v>74.01393680830607</v>
      </c>
      <c r="J6" s="57">
        <f ca="1">SUMIF('Match Log'!$D$4:$D$1510,$B6,'Match Log'!$L$4:$L$1510)</f>
        <v>111</v>
      </c>
      <c r="K6" s="55">
        <f ca="1">SUMPRODUCT(--(COUNTIFS('Match Log'!$D$4:$D$1510,$B6,'Match Log'!$C$4:$C$1510,Lists!$C$2:$C$26)&gt;0))</f>
        <v>14</v>
      </c>
      <c r="L6" s="55" t="str">
        <f ca="1">IF($D6=0,"No games",IF(AND($D6&gt;='Guide &amp; Settings'!$C$45,$K6&gt;='Guide &amp; Settings'!$C$46),"Eligible","Provisional"))</f>
        <v>Eligible</v>
      </c>
      <c r="M6" s="54">
        <f ca="1">IFERROR(INDEX(Calcs!$C$7:$C$20,MATCH($B6,Calcs!$A$7:$A$20,0)),"")</f>
        <v>1134.4280478584974</v>
      </c>
      <c r="N6" s="54">
        <f t="shared" ca="1" si="3"/>
        <v>104.37840717212771</v>
      </c>
      <c r="O6" s="55" t="str">
        <f ca="1">IFERROR(INDEX(Calcs!$H$7:$H$20,MATCH($B6,Calcs!$A$7:$A$20,0)),"")</f>
        <v>W2</v>
      </c>
      <c r="P6" s="55" t="str">
        <f ca="1">IFERROR(INDEX(Calcs!$I$7:$I$20,MATCH($B6,Calcs!$A$7:$A$20,0)),"")</f>
        <v>LLLWW</v>
      </c>
      <c r="Q6" s="55" t="str">
        <f ca="1">IFERROR(IF(INDEX(Calcs!$L$7:$L$20,MATCH($B6,Calcs!$A$7:$A$20,0))&gt;0,"▲"&amp;INDEX(Calcs!$L$7:$L$20,MATCH($B6,Calcs!$A$7:$A$20,0)),IF(INDEX(Calcs!$L$7:$L$20,MATCH($B6,Calcs!$A$7:$A$20,0))&lt;0,"▼"&amp;ABS(INDEX(Calcs!$L$7:$L$20,MATCH($B6,Calcs!$A$7:$A$20,0))),"–")),"")</f>
        <v>▲1</v>
      </c>
      <c r="R6" s="55" t="str">
        <f ca="1">IFERROR(IF(INDEX(Calcs!$P$7:$P$20,MATCH($B6,Calcs!$A$7:$A$20,0))=0,"—",TEXT(INDEX(Calcs!$P$7:$P$20,MATCH($B6,Calcs!$A$7:$A$20,0)),"d mmm")),"")</f>
        <v>24 Oct</v>
      </c>
      <c r="S6" s="55">
        <f ca="1">IFERROR(ROUND(INDEX(Calcs!$Q$7:$Q$20,MATCH($B6,Calcs!$A$7:$A$20,0)),1),"")</f>
        <v>1</v>
      </c>
      <c r="T6" s="55" t="str">
        <f ca="1">IFERROR(INDEX(Calcs!$T$7:$T$20,MATCH($B6,Calcs!$A$7:$A$20,0)),"")</f>
        <v>Active</v>
      </c>
      <c r="U6">
        <f ca="1">IFERROR(ROUND(INDEX(Calcs!$R$7:$R$20,MATCH($B6,Calcs!$A$7:$A$20,0))+INDEX(Calcs!$U$7:$U$20,MATCH($B6,Calcs!$A$7:$A$20,0)),0),0)</f>
        <v>10</v>
      </c>
      <c r="V6" s="57">
        <f ca="1">IFERROR(ROUND(INDEX(Calcs!$S$7:$S$20,MATCH($B6,Calcs!$A$7:$A$20,0)),0),"")</f>
        <v>1223</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Shawn</v>
      </c>
      <c r="C7" s="54">
        <f ca="1">IFERROR(INDEX(Calcs!$S$7:$S$20,MATCH($B7,Calcs!$A$7:$A$20,0)),"")</f>
        <v>1169.2994290637935</v>
      </c>
      <c r="D7" s="55">
        <f ca="1">COUNTIF('Match Log'!$D$4:$D$1510,$B7)</f>
        <v>176</v>
      </c>
      <c r="E7" s="55">
        <f ca="1">COUNTIFS('Match Log'!$D$4:$D$1510,$B7,'Match Log'!$E$4:$E$1510,"Win")</f>
        <v>81</v>
      </c>
      <c r="F7" s="55">
        <f t="shared" ca="1" si="1"/>
        <v>95</v>
      </c>
      <c r="G7" s="56">
        <f t="shared" ca="1" si="2"/>
        <v>0.46022727272727271</v>
      </c>
      <c r="H7" s="57">
        <f ca="1">SUMIF('Match Log'!$D$4:$D$1510,$B7,'Match Log'!$J$4:$J$1510)</f>
        <v>-31.098488238297534</v>
      </c>
      <c r="I7" s="57">
        <f ca="1">SUMIF('Match Log'!$D$4:$D$1510,$B7,'Match Log'!$K$4:$K$1510)</f>
        <v>8.1479173020914608</v>
      </c>
      <c r="J7" s="57">
        <f ca="1">SUMIF('Match Log'!$D$4:$D$1510,$B7,'Match Log'!$L$4:$L$1510)</f>
        <v>196</v>
      </c>
      <c r="K7" s="55">
        <f ca="1">SUMPRODUCT(--(COUNTIFS('Match Log'!$D$4:$D$1510,$B7,'Match Log'!$C$4:$C$1510,Lists!$C$2:$C$26)&gt;0))</f>
        <v>19</v>
      </c>
      <c r="L7" s="55" t="str">
        <f ca="1">IF($D7=0,"No games",IF(AND($D7&gt;='Guide &amp; Settings'!$C$45,$K7&gt;='Guide &amp; Settings'!$C$46),"Eligible","Provisional"))</f>
        <v>Eligible</v>
      </c>
      <c r="M7" s="54">
        <f ca="1">IFERROR(INDEX(Calcs!$C$7:$C$20,MATCH($B7,Calcs!$A$7:$A$20,0)),"")</f>
        <v>1150.3456079746441</v>
      </c>
      <c r="N7" s="54">
        <f t="shared" ca="1" si="3"/>
        <v>158.27015405344264</v>
      </c>
      <c r="O7" s="55" t="str">
        <f ca="1">IFERROR(INDEX(Calcs!$H$7:$H$20,MATCH($B7,Calcs!$A$7:$A$20,0)),"")</f>
        <v>L3</v>
      </c>
      <c r="P7" s="55" t="str">
        <f ca="1">IFERROR(INDEX(Calcs!$I$7:$I$20,MATCH($B7,Calcs!$A$7:$A$20,0)),"")</f>
        <v>LWLLL</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30 Oct</v>
      </c>
      <c r="S7" s="55">
        <f ca="1">IFERROR(ROUND(INDEX(Calcs!$Q$7:$Q$20,MATCH($B7,Calcs!$A$7:$A$20,0)),1),"")</f>
        <v>0.1</v>
      </c>
      <c r="T7" s="55" t="str">
        <f ca="1">IFERROR(INDEX(Calcs!$T$7:$T$20,MATCH($B7,Calcs!$A$7:$A$20,0)),"")</f>
        <v>Active</v>
      </c>
      <c r="U7">
        <f ca="1">IFERROR(ROUND(INDEX(Calcs!$R$7:$R$20,MATCH($B7,Calcs!$A$7:$A$20,0))+INDEX(Calcs!$U$7:$U$20,MATCH($B7,Calcs!$A$7:$A$20,0)),0),0)</f>
        <v>0</v>
      </c>
      <c r="V7" s="57">
        <f ca="1">IFERROR(ROUND(INDEX(Calcs!$S$7:$S$20,MATCH($B7,Calcs!$A$7:$A$20,0)),0),"")</f>
        <v>1169</v>
      </c>
      <c r="W7" s="55" t="str">
        <f ca="1">IFERROR(INDEX(Calcs!$AF$7:$AF$20,MATCH($B7,Calcs!$A$7:$A$20,0)),"")</f>
        <v>Elite</v>
      </c>
      <c r="X7" s="57">
        <f ca="1">IFERROR(ROUND(SUMIF('Poker Stake Ledger'!$C$18:$C$137,$B7,'Poker Stake Ledger'!$K$18:$K$137),1),0)</f>
        <v>-3.8</v>
      </c>
    </row>
    <row r="8" spans="1:24" ht="15" customHeight="1" x14ac:dyDescent="0.2">
      <c r="A8" s="52">
        <f t="shared" si="0"/>
        <v>4</v>
      </c>
      <c r="B8" s="53" t="str">
        <f ca="1">IFERROR(INDEX(Calcs!$A$7:$A$20,MATCH(LARGE(Calcs!$AI$7:$AI$20,ROW()-4),Calcs!$AI$7:$AI$20,0)),"")</f>
        <v>Dean B</v>
      </c>
      <c r="C8" s="54">
        <f ca="1">IFERROR(INDEX(Calcs!$S$7:$S$20,MATCH($B8,Calcs!$A$7:$A$20,0)),"")</f>
        <v>1167.9015417269482</v>
      </c>
      <c r="D8" s="55">
        <f ca="1">COUNTIF('Match Log'!$D$4:$D$1510,$B8)</f>
        <v>42</v>
      </c>
      <c r="E8" s="55">
        <f ca="1">COUNTIFS('Match Log'!$D$4:$D$1510,$B8,'Match Log'!$E$4:$E$1510,"Win")</f>
        <v>25</v>
      </c>
      <c r="F8" s="55">
        <f t="shared" ca="1" si="1"/>
        <v>17</v>
      </c>
      <c r="G8" s="56">
        <f t="shared" ca="1" si="2"/>
        <v>0.59523809523809523</v>
      </c>
      <c r="H8" s="57">
        <f ca="1">SUMIF('Match Log'!$D$4:$D$1510,$B8,'Match Log'!$J$4:$J$1510)</f>
        <v>89.675227242644667</v>
      </c>
      <c r="I8" s="57">
        <f ca="1">SUMIF('Match Log'!$D$4:$D$1510,$B8,'Match Log'!$K$4:$K$1510)</f>
        <v>72.226314484303657</v>
      </c>
      <c r="J8" s="57">
        <f ca="1">SUMIF('Match Log'!$D$4:$D$1510,$B8,'Match Log'!$L$4:$L$1510)</f>
        <v>56</v>
      </c>
      <c r="K8" s="55">
        <f ca="1">SUMPRODUCT(--(COUNTIFS('Match Log'!$D$4:$D$1510,$B8,'Match Log'!$C$4:$C$1510,Lists!$C$2:$C$26)&gt;0))</f>
        <v>7</v>
      </c>
      <c r="L8" s="55" t="str">
        <f ca="1">IF($D8=0,"No games",IF(AND($D8&gt;='Guide &amp; Settings'!$C$45,$K8&gt;='Guide &amp; Settings'!$C$46),"Eligible","Provisional"))</f>
        <v>Eligible</v>
      </c>
      <c r="M8" s="54">
        <f ca="1">IFERROR(INDEX(Calcs!$C$7:$C$20,MATCH($B8,Calcs!$A$7:$A$20,0)),"")</f>
        <v>1134.6311578846237</v>
      </c>
      <c r="N8" s="54">
        <f t="shared" ca="1" si="3"/>
        <v>159.66804139028795</v>
      </c>
      <c r="O8" s="55" t="str">
        <f ca="1">IFERROR(INDEX(Calcs!$H$7:$H$20,MATCH($B8,Calcs!$A$7:$A$20,0)),"")</f>
        <v>L1</v>
      </c>
      <c r="P8" s="55" t="str">
        <f ca="1">IFERROR(INDEX(Calcs!$I$7:$I$20,MATCH($B8,Calcs!$A$7:$A$20,0)),"")</f>
        <v>WWLWL</v>
      </c>
      <c r="Q8" s="55" t="str">
        <f ca="1">IFERROR(IF(INDEX(Calcs!$L$7:$L$20,MATCH($B8,Calcs!$A$7:$A$20,0))&gt;0,"▲"&amp;INDEX(Calcs!$L$7:$L$20,MATCH($B8,Calcs!$A$7:$A$20,0)),IF(INDEX(Calcs!$L$7:$L$20,MATCH($B8,Calcs!$A$7:$A$20,0))&lt;0,"▼"&amp;ABS(INDEX(Calcs!$L$7:$L$20,MATCH($B8,Calcs!$A$7:$A$20,0))),"–")),"")</f>
        <v>–</v>
      </c>
      <c r="R8" s="55" t="str">
        <f ca="1">IFERROR(IF(INDEX(Calcs!$P$7:$P$20,MATCH($B8,Calcs!$A$7:$A$20,0))=0,"—",TEXT(INDEX(Calcs!$P$7:$P$20,MATCH($B8,Calcs!$A$7:$A$20,0)),"d mmm")),"")</f>
        <v>25 Sep</v>
      </c>
      <c r="S8" s="55">
        <f ca="1">IFERROR(ROUND(INDEX(Calcs!$Q$7:$Q$20,MATCH($B8,Calcs!$A$7:$A$20,0)),1),"")</f>
        <v>5.0999999999999996</v>
      </c>
      <c r="T8" s="55" t="str">
        <f ca="1">IFERROR(INDEX(Calcs!$T$7:$T$20,MATCH($B8,Calcs!$A$7:$A$20,0)),"")</f>
        <v>Inactive</v>
      </c>
      <c r="U8">
        <f ca="1">IFERROR(ROUND(INDEX(Calcs!$R$7:$R$20,MATCH($B8,Calcs!$A$7:$A$20,0))+INDEX(Calcs!$U$7:$U$20,MATCH($B8,Calcs!$A$7:$A$20,0)),0),0)</f>
        <v>50</v>
      </c>
      <c r="V8" s="57">
        <f ca="1">IFERROR(ROUND(INDEX(Calcs!$S$7:$S$20,MATCH($B8,Calcs!$A$7:$A$20,0)),0),"")</f>
        <v>1168</v>
      </c>
      <c r="W8" s="55" t="str">
        <f ca="1">IFERROR(INDEX(Calcs!$AF$7:$AF$20,MATCH($B8,Calcs!$A$7:$A$20,0)),"")</f>
        <v>Elite</v>
      </c>
      <c r="X8" s="57">
        <f ca="1">IFERROR(ROUND(SUMIF('Poker Stake Ledger'!$C$18:$C$137,$B8,'Poker Stake Ledger'!$K$18:$K$137),1),0)</f>
        <v>0</v>
      </c>
    </row>
    <row r="9" spans="1:24" ht="15" customHeight="1" x14ac:dyDescent="0.2">
      <c r="A9" s="52">
        <f t="shared" si="0"/>
        <v>5</v>
      </c>
      <c r="B9" s="53" t="str">
        <f ca="1">IFERROR(INDEX(Calcs!$A$7:$A$20,MATCH(LARGE(Calcs!$AI$7:$AI$20,ROW()-4),Calcs!$AI$7:$AI$20,0)),"")</f>
        <v>Daniel (Ferret)</v>
      </c>
      <c r="C9" s="54">
        <f ca="1">IFERROR(INDEX(Calcs!$S$7:$S$20,MATCH($B9,Calcs!$A$7:$A$20,0)),"")</f>
        <v>1149.3415971839049</v>
      </c>
      <c r="D9" s="55">
        <f ca="1">COUNTIF('Match Log'!$D$4:$D$1510,$B9)</f>
        <v>178</v>
      </c>
      <c r="E9" s="55">
        <f ca="1">COUNTIFS('Match Log'!$D$4:$D$1510,$B9,'Match Log'!$E$4:$E$1510,"Win")</f>
        <v>75</v>
      </c>
      <c r="F9" s="55">
        <f t="shared" ca="1" si="1"/>
        <v>103</v>
      </c>
      <c r="G9" s="56">
        <f t="shared" ca="1" si="2"/>
        <v>0.42134831460674155</v>
      </c>
      <c r="H9" s="57">
        <f ca="1">SUMIF('Match Log'!$D$4:$D$1510,$B9,'Match Log'!$J$4:$J$1510)</f>
        <v>-59.025020349704107</v>
      </c>
      <c r="I9" s="57">
        <f ca="1">SUMIF('Match Log'!$D$4:$D$1510,$B9,'Match Log'!$K$4:$K$1510)</f>
        <v>38.716617533609316</v>
      </c>
      <c r="J9" s="57">
        <f ca="1">SUMIF('Match Log'!$D$4:$D$1510,$B9,'Match Log'!$L$4:$L$1510)</f>
        <v>171</v>
      </c>
      <c r="K9" s="55">
        <f ca="1">SUMPRODUCT(--(COUNTIFS('Match Log'!$D$4:$D$1510,$B9,'Match Log'!$C$4:$C$1510,Lists!$C$2:$C$26)&gt;0))</f>
        <v>20</v>
      </c>
      <c r="L9" s="55" t="str">
        <f ca="1">IF($D9=0,"No games",IF(AND($D9&gt;='Guide &amp; Settings'!$C$45,$K9&gt;='Guide &amp; Settings'!$C$46),"Eligible","Provisional"))</f>
        <v>Eligible</v>
      </c>
      <c r="M9" s="54">
        <f ca="1">IFERROR(INDEX(Calcs!$C$7:$C$20,MATCH($B9,Calcs!$A$7:$A$20,0)),"")</f>
        <v>1179.0629759580163</v>
      </c>
      <c r="N9" s="54">
        <f t="shared" ca="1" si="3"/>
        <v>178.22798593333118</v>
      </c>
      <c r="O9" s="55" t="str">
        <f ca="1">IFERROR(INDEX(Calcs!$H$7:$H$20,MATCH($B9,Calcs!$A$7:$A$20,0)),"")</f>
        <v>W3</v>
      </c>
      <c r="P9" s="55" t="str">
        <f ca="1">IFERROR(INDEX(Calcs!$I$7:$I$20,MATCH($B9,Calcs!$A$7:$A$20,0)),"")</f>
        <v>WLWWW</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30 Oct</v>
      </c>
      <c r="S9" s="55">
        <f ca="1">IFERROR(ROUND(INDEX(Calcs!$Q$7:$Q$20,MATCH($B9,Calcs!$A$7:$A$20,0)),1),"")</f>
        <v>0.1</v>
      </c>
      <c r="T9" s="55" t="str">
        <f ca="1">IFERROR(INDEX(Calcs!$T$7:$T$20,MATCH($B9,Calcs!$A$7:$A$20,0)),"")</f>
        <v>Active</v>
      </c>
      <c r="U9">
        <f ca="1">IFERROR(ROUND(INDEX(Calcs!$R$7:$R$20,MATCH($B9,Calcs!$A$7:$A$20,0))+INDEX(Calcs!$U$7:$U$20,MATCH($B9,Calcs!$A$7:$A$20,0)),0),0)</f>
        <v>0</v>
      </c>
      <c r="V9" s="57">
        <f ca="1">IFERROR(ROUND(INDEX(Calcs!$S$7:$S$20,MATCH($B9,Calcs!$A$7:$A$20,0)),0),"")</f>
        <v>1149</v>
      </c>
      <c r="W9" s="55" t="str">
        <f ca="1">IFERROR(INDEX(Calcs!$AF$7:$AF$20,MATCH($B9,Calcs!$A$7:$A$20,0)),"")</f>
        <v>Elite</v>
      </c>
      <c r="X9" s="57">
        <f ca="1">IFERROR(ROUND(SUMIF('Poker Stake Ledger'!$C$18:$C$137,$B9,'Poker Stake Ledger'!$K$18:$K$137),1),0)</f>
        <v>-1.4</v>
      </c>
    </row>
    <row r="10" spans="1:24" ht="15" customHeight="1" x14ac:dyDescent="0.2">
      <c r="A10" s="52">
        <f t="shared" si="0"/>
        <v>6</v>
      </c>
      <c r="B10" s="53" t="str">
        <f ca="1">IFERROR(INDEX(Calcs!$A$7:$A$20,MATCH(LARGE(Calcs!$AI$7:$AI$20,ROW()-4),Calcs!$AI$7:$AI$20,0)),"")</f>
        <v>Simon</v>
      </c>
      <c r="C10" s="54">
        <f ca="1">IFERROR(INDEX(Calcs!$S$7:$S$20,MATCH($B10,Calcs!$A$7:$A$20,0)),"")</f>
        <v>1140.9460512957946</v>
      </c>
      <c r="D10" s="55">
        <f ca="1">COUNTIF('Match Log'!$D$4:$D$1510,$B10)</f>
        <v>47</v>
      </c>
      <c r="E10" s="55">
        <f ca="1">COUNTIFS('Match Log'!$D$4:$D$1510,$B10,'Match Log'!$E$4:$E$1510,"Win")</f>
        <v>24</v>
      </c>
      <c r="F10" s="55">
        <f t="shared" ca="1" si="1"/>
        <v>23</v>
      </c>
      <c r="G10" s="56">
        <f t="shared" ca="1" si="2"/>
        <v>0.51063829787234039</v>
      </c>
      <c r="H10" s="57">
        <f ca="1">SUMIF('Match Log'!$D$4:$D$1510,$B10,'Match Log'!$J$4:$J$1510)</f>
        <v>27.711833206495808</v>
      </c>
      <c r="I10" s="57">
        <f ca="1">SUMIF('Match Log'!$D$4:$D$1510,$B10,'Match Log'!$K$4:$K$1510)</f>
        <v>59.784218089298946</v>
      </c>
      <c r="J10" s="57">
        <f ca="1">SUMIF('Match Log'!$D$4:$D$1510,$B10,'Match Log'!$L$4:$L$1510)</f>
        <v>89</v>
      </c>
      <c r="K10" s="55">
        <f ca="1">SUMPRODUCT(--(COUNTIFS('Match Log'!$D$4:$D$1510,$B10,'Match Log'!$C$4:$C$1510,Lists!$C$2:$C$26)&gt;0))</f>
        <v>12</v>
      </c>
      <c r="L10" s="55" t="str">
        <f ca="1">IF($D10=0,"No games",IF(AND($D10&gt;='Guide &amp; Settings'!$C$45,$K10&gt;='Guide &amp; Settings'!$C$46),"Eligible","Provisional"))</f>
        <v>Eligible</v>
      </c>
      <c r="M10" s="54">
        <f ca="1">IFERROR(INDEX(Calcs!$C$7:$C$20,MATCH($B10,Calcs!$A$7:$A$20,0)),"")</f>
        <v>1093.3760939026447</v>
      </c>
      <c r="N10" s="54">
        <f t="shared" ca="1" si="3"/>
        <v>186.62353182144147</v>
      </c>
      <c r="O10" s="55" t="str">
        <f ca="1">IFERROR(INDEX(Calcs!$H$7:$H$20,MATCH($B10,Calcs!$A$7:$A$20,0)),"")</f>
        <v>L2</v>
      </c>
      <c r="P10" s="55" t="str">
        <f ca="1">IFERROR(INDEX(Calcs!$I$7:$I$20,MATCH($B10,Calcs!$A$7:$A$20,0)),"")</f>
        <v>LWWLL</v>
      </c>
      <c r="Q10" s="55" t="str">
        <f ca="1">IFERROR(IF(INDEX(Calcs!$L$7:$L$20,MATCH($B10,Calcs!$A$7:$A$20,0))&gt;0,"▲"&amp;INDEX(Calcs!$L$7:$L$20,MATCH($B10,Calcs!$A$7:$A$20,0)),IF(INDEX(Calcs!$L$7:$L$20,MATCH($B10,Calcs!$A$7:$A$20,0))&lt;0,"▼"&amp;ABS(INDEX(Calcs!$L$7:$L$20,MATCH($B10,Calcs!$A$7:$A$20,0))),"–")),"")</f>
        <v>▼1</v>
      </c>
      <c r="R10" s="55" t="str">
        <f ca="1">IFERROR(IF(INDEX(Calcs!$P$7:$P$20,MATCH($B10,Calcs!$A$7:$A$20,0))=0,"—",TEXT(INDEX(Calcs!$P$7:$P$20,MATCH($B10,Calcs!$A$7:$A$20,0)),"d mmm")),"")</f>
        <v>28 Oct</v>
      </c>
      <c r="S10" s="55">
        <f ca="1">IFERROR(ROUND(INDEX(Calcs!$Q$7:$Q$20,MATCH($B10,Calcs!$A$7:$A$20,0)),1),"")</f>
        <v>0.4</v>
      </c>
      <c r="T10" s="55" t="str">
        <f ca="1">IFERROR(INDEX(Calcs!$T$7:$T$20,MATCH($B10,Calcs!$A$7:$A$20,0)),"")</f>
        <v>Active</v>
      </c>
      <c r="U10">
        <f ca="1">IFERROR(ROUND(INDEX(Calcs!$R$7:$R$20,MATCH($B10,Calcs!$A$7:$A$20,0))+INDEX(Calcs!$U$7:$U$20,MATCH($B10,Calcs!$A$7:$A$20,0)),0),0)</f>
        <v>30</v>
      </c>
      <c r="V10" s="57">
        <f ca="1">IFERROR(ROUND(INDEX(Calcs!$S$7:$S$20,MATCH($B10,Calcs!$A$7:$A$20,0)),0),"")</f>
        <v>1141</v>
      </c>
      <c r="W10" s="55" t="str">
        <f ca="1">IFERROR(INDEX(Calcs!$AF$7:$AF$20,MATCH($B10,Calcs!$A$7:$A$20,0)),"")</f>
        <v>Elite</v>
      </c>
      <c r="X10" s="57">
        <f ca="1">IFERROR(ROUND(SUMIF('Poker Stake Ledger'!$C$18:$C$137,$B10,'Poker Stake Ledger'!$K$18:$K$137),1),0)</f>
        <v>-5.6</v>
      </c>
    </row>
    <row r="11" spans="1:24" ht="15" customHeight="1" x14ac:dyDescent="0.2">
      <c r="A11" s="52">
        <f t="shared" si="0"/>
        <v>7</v>
      </c>
      <c r="B11" s="53" t="str">
        <f ca="1">IFERROR(INDEX(Calcs!$A$7:$A$20,MATCH(LARGE(Calcs!$AI$7:$AI$20,ROW()-4),Calcs!$AI$7:$AI$20,0)),"")</f>
        <v>Chase</v>
      </c>
      <c r="C11" s="54">
        <f ca="1">IFERROR(INDEX(Calcs!$S$7:$S$20,MATCH($B11,Calcs!$A$7:$A$20,0)),"")</f>
        <v>1018.0761030598392</v>
      </c>
      <c r="D11" s="55">
        <f ca="1">COUNTIF('Match Log'!$D$4:$D$1510,$B11)</f>
        <v>23</v>
      </c>
      <c r="E11" s="55">
        <f ca="1">COUNTIFS('Match Log'!$D$4:$D$1510,$B11,'Match Log'!$E$4:$E$1510,"Win")</f>
        <v>9</v>
      </c>
      <c r="F11" s="55">
        <f t="shared" ca="1" si="1"/>
        <v>14</v>
      </c>
      <c r="G11" s="56">
        <f t="shared" ca="1" si="2"/>
        <v>0.39130434782608697</v>
      </c>
      <c r="H11" s="57">
        <f ca="1">SUMIF('Match Log'!$D$4:$D$1510,$B11,'Match Log'!$J$4:$J$1510)</f>
        <v>9.3432383355777748</v>
      </c>
      <c r="I11" s="57">
        <f ca="1">SUMIF('Match Log'!$D$4:$D$1510,$B11,'Match Log'!$K$4:$K$1510)</f>
        <v>-8.2671352757385339</v>
      </c>
      <c r="J11" s="57">
        <f ca="1">SUMIF('Match Log'!$D$4:$D$1510,$B11,'Match Log'!$L$4:$L$1510)</f>
        <v>47</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1146.2715652098545</v>
      </c>
      <c r="N11" s="54">
        <f t="shared" ca="1" si="3"/>
        <v>309.49348005739694</v>
      </c>
      <c r="O11" s="55" t="str">
        <f ca="1">IFERROR(INDEX(Calcs!$H$7:$H$20,MATCH($B11,Calcs!$A$7:$A$20,0)),"")</f>
        <v>L4</v>
      </c>
      <c r="P11" s="55" t="str">
        <f ca="1">IFERROR(INDEX(Calcs!$I$7:$I$20,MATCH($B11,Calcs!$A$7:$A$20,0)),"")</f>
        <v>WLLLL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2 Oct</v>
      </c>
      <c r="S11" s="55">
        <f ca="1">IFERROR(ROUND(INDEX(Calcs!$Q$7:$Q$20,MATCH($B11,Calcs!$A$7:$A$20,0)),1),"")</f>
        <v>4.0999999999999996</v>
      </c>
      <c r="T11" s="55" t="str">
        <f ca="1">IFERROR(INDEX(Calcs!$T$7:$T$20,MATCH($B11,Calcs!$A$7:$A$20,0)),"")</f>
        <v>Inactive</v>
      </c>
      <c r="U11">
        <f ca="1">IFERROR(ROUND(INDEX(Calcs!$R$7:$R$20,MATCH($B11,Calcs!$A$7:$A$20,0))+INDEX(Calcs!$U$7:$U$20,MATCH($B11,Calcs!$A$7:$A$20,0)),0),0)</f>
        <v>30</v>
      </c>
      <c r="V11" s="57">
        <f ca="1">IFERROR(ROUND(INDEX(Calcs!$S$7:$S$20,MATCH($B11,Calcs!$A$7:$A$20,0)),0),"")</f>
        <v>1018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Oscar</v>
      </c>
      <c r="C12" s="54">
        <f ca="1">IFERROR(INDEX(Calcs!$S$7:$S$20,MATCH($B12,Calcs!$A$7:$A$20,0)),"")</f>
        <v>1016.8465069072693</v>
      </c>
      <c r="D12" s="55">
        <f ca="1">COUNTIF('Match Log'!$D$4:$D$1510,$B12)</f>
        <v>94</v>
      </c>
      <c r="E12" s="55">
        <f ca="1">COUNTIFS('Match Log'!$D$4:$D$1510,$B12,'Match Log'!$E$4:$E$1510,"Win")</f>
        <v>35</v>
      </c>
      <c r="F12" s="55">
        <f t="shared" ca="1" si="1"/>
        <v>59</v>
      </c>
      <c r="G12" s="56">
        <f t="shared" ca="1" si="2"/>
        <v>0.37234042553191488</v>
      </c>
      <c r="H12" s="57">
        <f ca="1">SUMIF('Match Log'!$D$4:$D$1510,$B12,'Match Log'!$J$4:$J$1510)</f>
        <v>-58.036375737538563</v>
      </c>
      <c r="I12" s="57">
        <f ca="1">SUMIF('Match Log'!$D$4:$D$1510,$B12,'Match Log'!$K$4:$K$1510)</f>
        <v>-48.117117355192455</v>
      </c>
      <c r="J12" s="57">
        <f ca="1">SUMIF('Match Log'!$D$4:$D$1510,$B12,'Match Log'!$L$4:$L$1510)</f>
        <v>123</v>
      </c>
      <c r="K12" s="55">
        <f ca="1">SUMPRODUCT(--(COUNTIFS('Match Log'!$D$4:$D$1510,$B12,'Match Log'!$C$4:$C$1510,Lists!$C$2:$C$26)&gt;0))</f>
        <v>14</v>
      </c>
      <c r="L12" s="55" t="str">
        <f ca="1">IF($D12=0,"No games",IF(AND($D12&gt;='Guide &amp; Settings'!$C$45,$K12&gt;='Guide &amp; Settings'!$C$46),"Eligible","Provisional"))</f>
        <v>Eligible</v>
      </c>
      <c r="M12" s="54">
        <f ca="1">IFERROR(INDEX(Calcs!$C$7:$C$20,MATCH($B12,Calcs!$A$7:$A$20,0)),"")</f>
        <v>1159.0985927625284</v>
      </c>
      <c r="N12" s="54">
        <f t="shared" ca="1" si="3"/>
        <v>310.72307620996685</v>
      </c>
      <c r="O12" s="55" t="str">
        <f ca="1">IFERROR(INDEX(Calcs!$H$7:$H$20,MATCH($B12,Calcs!$A$7:$A$20,0)),"")</f>
        <v>W2</v>
      </c>
      <c r="P12" s="55" t="str">
        <f ca="1">IFERROR(INDEX(Calcs!$I$7:$I$20,MATCH($B12,Calcs!$A$7:$A$20,0)),"")</f>
        <v>WLLWW</v>
      </c>
      <c r="Q12" s="55" t="str">
        <f ca="1">IFERROR(IF(INDEX(Calcs!$L$7:$L$20,MATCH($B12,Calcs!$A$7:$A$20,0))&gt;0,"▲"&amp;INDEX(Calcs!$L$7:$L$20,MATCH($B12,Calcs!$A$7:$A$20,0)),IF(INDEX(Calcs!$L$7:$L$20,MATCH($B12,Calcs!$A$7:$A$20,0))&lt;0,"▼"&amp;ABS(INDEX(Calcs!$L$7:$L$20,MATCH($B12,Calcs!$A$7:$A$20,0))),"–")),"")</f>
        <v>▲2</v>
      </c>
      <c r="R12" s="55" t="str">
        <f ca="1">IFERROR(IF(INDEX(Calcs!$P$7:$P$20,MATCH($B12,Calcs!$A$7:$A$20,0))=0,"—",TEXT(INDEX(Calcs!$P$7:$P$20,MATCH($B12,Calcs!$A$7:$A$20,0)),"d mmm")),"")</f>
        <v>28 Oct</v>
      </c>
      <c r="S12" s="55">
        <f ca="1">IFERROR(ROUND(INDEX(Calcs!$Q$7:$Q$20,MATCH($B12,Calcs!$A$7:$A$20,0)),1),"")</f>
        <v>0.4</v>
      </c>
      <c r="T12" s="55" t="str">
        <f ca="1">IFERROR(INDEX(Calcs!$T$7:$T$20,MATCH($B12,Calcs!$A$7:$A$20,0)),"")</f>
        <v>Active</v>
      </c>
      <c r="U12">
        <f ca="1">IFERROR(ROUND(INDEX(Calcs!$R$7:$R$20,MATCH($B12,Calcs!$A$7:$A$20,0))+INDEX(Calcs!$U$7:$U$20,MATCH($B12,Calcs!$A$7:$A$20,0)),0),0)</f>
        <v>0</v>
      </c>
      <c r="V12" s="57">
        <f ca="1">IFERROR(ROUND(INDEX(Calcs!$S$7:$S$20,MATCH($B12,Calcs!$A$7:$A$20,0)),0),"")</f>
        <v>1017</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Dean M</v>
      </c>
      <c r="C13" s="54">
        <f ca="1">IFERROR(INDEX(Calcs!$S$7:$S$20,MATCH($B13,Calcs!$A$7:$A$20,0)),"")</f>
        <v>1007.5488947064855</v>
      </c>
      <c r="D13" s="55">
        <f ca="1">COUNTIF('Match Log'!$D$4:$D$1510,$B13)</f>
        <v>15</v>
      </c>
      <c r="E13" s="55">
        <f ca="1">COUNTIFS('Match Log'!$D$4:$D$1510,$B13,'Match Log'!$E$4:$E$1510,"Win")</f>
        <v>7</v>
      </c>
      <c r="F13" s="55">
        <f t="shared" ca="1" si="1"/>
        <v>8</v>
      </c>
      <c r="G13" s="56">
        <f t="shared" ca="1" si="2"/>
        <v>0.46666666666666667</v>
      </c>
      <c r="H13" s="57">
        <f ca="1">SUMIF('Match Log'!$D$4:$D$1510,$B13,'Match Log'!$J$4:$J$1510)</f>
        <v>28.076161354904098</v>
      </c>
      <c r="I13" s="57">
        <f ca="1">SUMIF('Match Log'!$D$4:$D$1510,$B13,'Match Log'!$K$4:$K$1510)</f>
        <v>24.47273335158134</v>
      </c>
      <c r="J13" s="57">
        <f ca="1">SUMIF('Match Log'!$D$4:$D$1510,$B13,'Match Log'!$L$4:$L$1510)</f>
        <v>35</v>
      </c>
      <c r="K13" s="55">
        <f ca="1">SUMPRODUCT(--(COUNTIFS('Match Log'!$D$4:$D$1510,$B13,'Match Log'!$C$4:$C$1510,Lists!$C$2:$C$26)&gt;0))</f>
        <v>4</v>
      </c>
      <c r="L13" s="55" t="str">
        <f ca="1">IF($D13=0,"No games",IF(AND($D13&gt;='Guide &amp; Settings'!$C$45,$K13&gt;='Guide &amp; Settings'!$C$46),"Eligible","Provisional"))</f>
        <v>Eligible</v>
      </c>
      <c r="M13" s="54">
        <f ca="1">IFERROR(INDEX(Calcs!$C$7:$C$20,MATCH($B13,Calcs!$A$7:$A$20,0)),"")</f>
        <v>1064.2869798362001</v>
      </c>
      <c r="N13" s="54">
        <f t="shared" ca="1" si="3"/>
        <v>320.02068841075061</v>
      </c>
      <c r="O13" s="55" t="str">
        <f ca="1">IFERROR(INDEX(Calcs!$H$7:$H$20,MATCH($B13,Calcs!$A$7:$A$20,0)),"")</f>
        <v>W1</v>
      </c>
      <c r="P13" s="55" t="str">
        <f ca="1">IFERROR(INDEX(Calcs!$I$7:$I$20,MATCH($B13,Calcs!$A$7:$A$20,0)),"")</f>
        <v>LWWLW</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15 Aug</v>
      </c>
      <c r="S13" s="55">
        <f ca="1">IFERROR(ROUND(INDEX(Calcs!$Q$7:$Q$20,MATCH($B13,Calcs!$A$7:$A$20,0)),1),"")</f>
        <v>11</v>
      </c>
      <c r="T13" s="55" t="str">
        <f ca="1">IFERROR(INDEX(Calcs!$T$7:$T$20,MATCH($B13,Calcs!$A$7:$A$20,0)),"")</f>
        <v>Inactive</v>
      </c>
      <c r="U13">
        <f ca="1">IFERROR(ROUND(INDEX(Calcs!$R$7:$R$20,MATCH($B13,Calcs!$A$7:$A$20,0))+INDEX(Calcs!$U$7:$U$20,MATCH($B13,Calcs!$A$7:$A$20,0)),0),0)</f>
        <v>80</v>
      </c>
      <c r="V13" s="57">
        <f ca="1">IFERROR(ROUND(INDEX(Calcs!$S$7:$S$20,MATCH($B13,Calcs!$A$7:$A$20,0)),0),"")</f>
        <v>1008</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327.56958311723611</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Dylan A</v>
      </c>
      <c r="C15" s="54">
        <f ca="1">IFERROR(INDEX(Calcs!$S$7:$S$20,MATCH($B15,Calcs!$A$7:$A$20,0)),"")</f>
        <v>960.50724028215677</v>
      </c>
      <c r="D15" s="55">
        <f ca="1">COUNTIF('Match Log'!$D$4:$D$1510,$B15)</f>
        <v>17</v>
      </c>
      <c r="E15" s="55">
        <f ca="1">COUNTIFS('Match Log'!$D$4:$D$1510,$B15,'Match Log'!$E$4:$E$1510,"Win")</f>
        <v>6</v>
      </c>
      <c r="F15" s="55">
        <f t="shared" ca="1" si="1"/>
        <v>11</v>
      </c>
      <c r="G15" s="56">
        <f t="shared" ca="1" si="2"/>
        <v>0.35294117647058826</v>
      </c>
      <c r="H15" s="57">
        <f ca="1">SUMIF('Match Log'!$D$4:$D$1510,$B15,'Match Log'!$J$4:$J$1510)</f>
        <v>-23.658438129506465</v>
      </c>
      <c r="I15" s="57">
        <f ca="1">SUMIF('Match Log'!$D$4:$D$1510,$B15,'Match Log'!$K$4:$K$1510)</f>
        <v>-2.8343215883365609</v>
      </c>
      <c r="J15" s="57">
        <f ca="1">SUMIF('Match Log'!$D$4:$D$1510,$B15,'Match Log'!$L$4:$L$1510)</f>
        <v>37</v>
      </c>
      <c r="K15" s="55">
        <f ca="1">SUMPRODUCT(--(COUNTIFS('Match Log'!$D$4:$D$1510,$B15,'Match Log'!$C$4:$C$1510,Lists!$C$2:$C$26)&gt;0))</f>
        <v>5</v>
      </c>
      <c r="L15" s="55" t="str">
        <f ca="1">IF($D15=0,"No games",IF(AND($D15&gt;='Guide &amp; Settings'!$C$45,$K15&gt;='Guide &amp; Settings'!$C$46),"Eligible","Provisional"))</f>
        <v>Eligible</v>
      </c>
      <c r="M15" s="54">
        <f ca="1">IFERROR(INDEX(Calcs!$C$7:$C$20,MATCH($B15,Calcs!$A$7:$A$20,0)),"")</f>
        <v>1111.0628839164388</v>
      </c>
      <c r="N15" s="54">
        <f t="shared" ca="1" si="3"/>
        <v>367.06234283507933</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3 Oct</v>
      </c>
      <c r="S15" s="55">
        <f ca="1">IFERROR(ROUND(INDEX(Calcs!$Q$7:$Q$20,MATCH($B15,Calcs!$A$7:$A$20,0)),1),"")</f>
        <v>4</v>
      </c>
      <c r="T15" s="55" t="str">
        <f ca="1">IFERROR(INDEX(Calcs!$T$7:$T$20,MATCH($B15,Calcs!$A$7:$A$20,0)),"")</f>
        <v>Inactive</v>
      </c>
      <c r="U15">
        <f ca="1">IFERROR(ROUND(INDEX(Calcs!$R$7:$R$20,MATCH($B15,Calcs!$A$7:$A$20,0))+INDEX(Calcs!$U$7:$U$20,MATCH($B15,Calcs!$A$7:$A$20,0)),0),0)</f>
        <v>50</v>
      </c>
      <c r="V15" s="57">
        <f ca="1">IFERROR(ROUND(INDEX(Calcs!$S$7:$S$20,MATCH($B15,Calcs!$A$7:$A$20,0)),0),"")</f>
        <v>961</v>
      </c>
      <c r="W15" s="55" t="str">
        <f ca="1">IFERROR(INDEX(Calcs!$AF$7:$AF$20,MATCH($B15,Calcs!$A$7:$A$20,0)),"")</f>
        <v>Developing</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869.51759653351382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1102.5617350947855</v>
      </c>
      <c r="N16" s="54">
        <f t="shared" ca="1" si="3"/>
        <v>458.05198658372228</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19.7</v>
      </c>
      <c r="T16" s="55" t="str">
        <f ca="1">IFERROR(INDEX(Calcs!$T$7:$T$20,MATCH($B16,Calcs!$A$7:$A$20,0)),"")</f>
        <v>Inactive</v>
      </c>
      <c r="U16">
        <f ca="1">IFERROR(ROUND(INDEX(Calcs!$R$7:$R$20,MATCH($B16,Calcs!$A$7:$A$20,0))+INDEX(Calcs!$U$7:$U$20,MATCH($B16,Calcs!$A$7:$A$20,0)),0),0)</f>
        <v>160</v>
      </c>
      <c r="V16" s="57">
        <f ca="1">IFERROR(ROUND(INDEX(Calcs!$S$7:$S$20,MATCH($B16,Calcs!$A$7:$A$20,0)),0),"")</f>
        <v>870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817.03133644117429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1171.8789592287735</v>
      </c>
      <c r="N17" s="54">
        <f t="shared" ca="1" si="3"/>
        <v>510.53824667606182</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10</v>
      </c>
      <c r="T17" s="55" t="str">
        <f ca="1">IFERROR(INDEX(Calcs!$T$7:$T$20,MATCH($B17,Calcs!$A$7:$A$20,0)),"")</f>
        <v>Inactive</v>
      </c>
      <c r="U17">
        <f ca="1">IFERROR(ROUND(INDEX(Calcs!$R$7:$R$20,MATCH($B17,Calcs!$A$7:$A$20,0))+INDEX(Calcs!$U$7:$U$20,MATCH($B17,Calcs!$A$7:$A$20,0)),0),0)</f>
        <v>90</v>
      </c>
      <c r="V17" s="57">
        <f ca="1">IFERROR(ROUND(INDEX(Calcs!$S$7:$S$20,MATCH($B17,Calcs!$A$7:$A$20,0)),0),"")</f>
        <v>817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742.22294373677494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1143.0188534100253</v>
      </c>
      <c r="N18" s="54">
        <f t="shared" ca="1" si="3"/>
        <v>585.34663938046117</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14.9</v>
      </c>
      <c r="T18" s="55" t="str">
        <f ca="1">IFERROR(INDEX(Calcs!$T$7:$T$20,MATCH($B18,Calcs!$A$7:$A$20,0)),"")</f>
        <v>Inactive</v>
      </c>
      <c r="U18">
        <f ca="1">IFERROR(ROUND(INDEX(Calcs!$R$7:$R$20,MATCH($B18,Calcs!$A$7:$A$20,0))+INDEX(Calcs!$U$7:$U$20,MATCH($B18,Calcs!$A$7:$A$20,0)),0),0)</f>
        <v>120</v>
      </c>
      <c r="V18" s="57">
        <f ca="1">IFERROR(ROUND(INDEX(Calcs!$S$7:$S$20,MATCH($B18,Calcs!$A$7:$A$20,0)),0),"")</f>
        <v>742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1327.5695831172361</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50–28</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0.64102564102564108</v>
      </c>
      <c r="D9" s="63" t="s">
        <v>37</v>
      </c>
      <c r="E9" s="37">
        <f>COUNTIFS('Match Log'!$D$4:$D$1510,$B$3,'Match Log'!$C$4:$C$1510,$D9)</f>
        <v>7</v>
      </c>
      <c r="F9" s="37">
        <f>COUNTIFS('Match Log'!$D$4:$D$1510,$B$3,'Match Log'!$C$4:$C$1510,$D9,'Match Log'!$E$4:$E$1510,"Win")</f>
        <v>4</v>
      </c>
      <c r="G9" s="64">
        <f t="shared" si="0"/>
        <v>0.5714285714285714</v>
      </c>
      <c r="H9" s="65">
        <f>IFERROR(IF($E9=0,"",INDEX('Sport Records'!$B$106:$O$130,MATCH($D9,'Sport Records'!$A$106:$A$130,0),MATCH($B$3,'Sport Records'!$B$105:$O$105,0))),"")</f>
        <v>1011.5691449895494</v>
      </c>
    </row>
    <row r="10" spans="1:8" ht="15" customHeight="1" x14ac:dyDescent="0.2">
      <c r="A10" s="61" t="s">
        <v>10</v>
      </c>
      <c r="B10" s="62">
        <f ca="1">IFERROR(INDEX(Dashboard!$D$5:$D$18,MATCH($B$3,Dashboard!$B$5:$B$18,0)),"")</f>
        <v>78</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1127.1568566150286</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W1</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WWWLW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18</v>
      </c>
      <c r="F16" s="40">
        <f>COUNTIFS('Match Log'!$D$4:$D$1510,$B$3,'Match Log'!$C$4:$C$1510,$D16,'Match Log'!$E$4:$E$1510,"Win")</f>
        <v>16</v>
      </c>
      <c r="G16" s="68">
        <f t="shared" si="0"/>
        <v>0.88888888888888884</v>
      </c>
      <c r="H16" s="69">
        <f>IFERROR(IF($E16=0,"",INDEX('Sport Records'!$B$106:$O$130,MATCH($D16,'Sport Records'!$A$106:$A$130,0),MATCH($B$3,'Sport Records'!$B$105:$O$105,0))),"")</f>
        <v>1129.9285906424818</v>
      </c>
    </row>
    <row r="17" spans="1:8" ht="15" customHeight="1" x14ac:dyDescent="0.2">
      <c r="A17" s="71" t="s">
        <v>278</v>
      </c>
      <c r="B17" s="72" t="str">
        <f ca="1">IFERROR(TEXT(INDEX(Calcs!$P$7:$P$20,MATCH($B$3,Calcs!$A$7:$A$20,0)),"d mmm")&amp;"  ·  "&amp;INDEX(Calcs!$T$7:$T$20,MATCH($B$3,Calcs!$A$7:$A$20,0)),"")</f>
        <v>27 Oct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14</v>
      </c>
      <c r="F18" s="40">
        <f>COUNTIFS('Match Log'!$D$4:$D$1510,$B$3,'Match Log'!$C$4:$C$1510,$D18,'Match Log'!$E$4:$E$1510,"Win")</f>
        <v>11</v>
      </c>
      <c r="G18" s="68">
        <f t="shared" si="0"/>
        <v>0.7857142857142857</v>
      </c>
      <c r="H18" s="69">
        <f>IFERROR(IF($E18=0,"",INDEX('Sport Records'!$B$106:$O$130,MATCH($D18,'Sport Records'!$A$106:$A$130,0),MATCH($B$3,'Sport Records'!$B$105:$O$105,0))),"")</f>
        <v>1077.2098408201373</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88</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64</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82</v>
      </c>
      <c r="D28" s="63" t="s">
        <v>446</v>
      </c>
      <c r="E28" s="37">
        <f>COUNTIFS('Match Log'!$D$4:$D$1510,$B$3,'Match Log'!$C$4:$C$1510,$D28)</f>
        <v>4</v>
      </c>
      <c r="F28" s="37">
        <f>COUNTIFS('Match Log'!$D$4:$D$1510,$B$3,'Match Log'!$C$4:$C$1510,$D28,'Match Log'!$E$4:$E$1510,"Win")</f>
        <v>3</v>
      </c>
      <c r="G28" s="64">
        <f t="shared" si="0"/>
        <v>0.75</v>
      </c>
      <c r="H28" s="65">
        <f>IFERROR(IF($E28=0,"",INDEX('Sport Records'!$B$106:$O$130,MATCH($D28,'Sport Records'!$A$106:$A$130,0),MATCH($B$3,'Sport Records'!$B$105:$O$105,0))),"")</f>
        <v>1029.3182674333191</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53% of 30</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67% of 46</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38% of 13</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51% of 71</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54% of 37</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62% of 13</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67% of 24</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47% of 30</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33% of 46</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49% of 71</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46% of 37</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33% of 24</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41</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47</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17</v>
      </c>
      <c r="I27" s="77">
        <f>IF($A27=I$21,0,SUMPRODUCT(('Match Log'!$D$4:$D$1510=$A27)*(COUNTIFS('Match Log'!$A$4:$A$1510,'Match Log'!$A$4:$A$1510,'Match Log'!$D$4:$D$1510,I$21)&gt;0)))</f>
        <v>83</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52</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17</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36</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41</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47</v>
      </c>
      <c r="G29" s="77">
        <f>IF($A29=G$21,0,SUMPRODUCT(('Match Log'!$D$4:$D$1510=$A29)*(COUNTIFS('Match Log'!$A$4:$A$1510,'Match Log'!$A$4:$A$1510,'Match Log'!$D$4:$D$1510,G$21)&gt;0)))</f>
        <v>83</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52</v>
      </c>
      <c r="H32" s="77">
        <f>IF($A32=H$21,0,SUMPRODUCT(('Match Log'!$D$4:$D$1510=$A32)*(COUNTIFS('Match Log'!$A$4:$A$1510,'Match Log'!$A$4:$A$1510,'Match Log'!$D$4:$D$1510,H$21)&gt;0)))</f>
        <v>36</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348</v>
      </c>
    </row>
    <row r="4" spans="1:18" ht="18.75" customHeight="1" x14ac:dyDescent="0.2">
      <c r="A4" s="43" t="s">
        <v>298</v>
      </c>
      <c r="C4" s="163" t="str">
        <f ca="1">INDEX($A$89:$A$102,MATCH(MAX($S$89:$S$102),$S$89:$S$102,0))</f>
        <v>Josh</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12</v>
      </c>
      <c r="H9" s="83">
        <f>COUNTIFS('Match Log'!$D$4:$D$1510,H$7,'Match Log'!$C$4:$C$1510,$A9)</f>
        <v>10</v>
      </c>
      <c r="I9" s="83">
        <f>COUNTIFS('Match Log'!$D$4:$D$1510,I$7,'Match Log'!$C$4:$C$1510,$A9)</f>
        <v>10</v>
      </c>
      <c r="J9" s="83">
        <f>COUNTIFS('Match Log'!$D$4:$D$1510,J$7,'Match Log'!$C$4:$C$1510,$A9)</f>
        <v>4</v>
      </c>
      <c r="K9" s="83">
        <f>COUNTIFS('Match Log'!$D$4:$D$1510,K$7,'Match Log'!$C$4:$C$1510,$A9)</f>
        <v>0</v>
      </c>
      <c r="L9" s="83">
        <f>COUNTIFS('Match Log'!$D$4:$D$1510,L$7,'Match Log'!$C$4:$C$1510,$A9)</f>
        <v>11</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24</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7</v>
      </c>
      <c r="G12" s="83">
        <f>COUNTIFS('Match Log'!$D$4:$D$1510,G$7,'Match Log'!$C$4:$C$1510,$A12)</f>
        <v>1</v>
      </c>
      <c r="H12" s="83">
        <f>COUNTIFS('Match Log'!$D$4:$D$1510,H$7,'Match Log'!$C$4:$C$1510,$A12)</f>
        <v>2</v>
      </c>
      <c r="I12" s="83">
        <f>COUNTIFS('Match Log'!$D$4:$D$1510,I$7,'Match Log'!$C$4:$C$1510,$A12)</f>
        <v>14</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28</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4</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3</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5</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18</v>
      </c>
      <c r="G19" s="83">
        <f>COUNTIFS('Match Log'!$D$4:$D$1510,G$7,'Match Log'!$C$4:$C$1510,$A19)</f>
        <v>15</v>
      </c>
      <c r="H19" s="83">
        <f>COUNTIFS('Match Log'!$D$4:$D$1510,H$7,'Match Log'!$C$4:$C$1510,$A19)</f>
        <v>10</v>
      </c>
      <c r="I19" s="83">
        <f>COUNTIFS('Match Log'!$D$4:$D$1510,I$7,'Match Log'!$C$4:$C$1510,$A19)</f>
        <v>19</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59</v>
      </c>
      <c r="Q19" s="85" t="str">
        <f t="shared" si="0"/>
        <v>Josh</v>
      </c>
      <c r="R19" s="84">
        <f t="shared" si="1"/>
        <v>16</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14</v>
      </c>
      <c r="G21" s="83">
        <f>COUNTIFS('Match Log'!$D$4:$D$1510,G$7,'Match Log'!$C$4:$C$1510,$A21)</f>
        <v>16</v>
      </c>
      <c r="H21" s="83">
        <f>COUNTIFS('Match Log'!$D$4:$D$1510,H$7,'Match Log'!$C$4:$C$1510,$A21)</f>
        <v>1</v>
      </c>
      <c r="I21" s="83">
        <f>COUNTIFS('Match Log'!$D$4:$D$1510,I$7,'Match Log'!$C$4:$C$1510,$A21)</f>
        <v>14</v>
      </c>
      <c r="J21" s="83">
        <f>COUNTIFS('Match Log'!$D$4:$D$1510,J$7,'Match Log'!$C$4:$C$1510,$A21)</f>
        <v>0</v>
      </c>
      <c r="K21" s="83">
        <f>COUNTIFS('Match Log'!$D$4:$D$1510,K$7,'Match Log'!$C$4:$C$1510,$A21)</f>
        <v>0</v>
      </c>
      <c r="L21" s="83">
        <f>COUNTIFS('Match Log'!$D$4:$D$1510,L$7,'Match Log'!$C$4:$C$1510,$A21)</f>
        <v>13</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30</v>
      </c>
      <c r="Q21" s="85" t="str">
        <f t="shared" si="0"/>
        <v>Josh</v>
      </c>
      <c r="R21" s="84">
        <f t="shared" si="1"/>
        <v>11</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12</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12</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13</v>
      </c>
      <c r="Q23" s="85" t="str">
        <f t="shared" si="0"/>
        <v>Daniel (Ferret)</v>
      </c>
      <c r="R23" s="84">
        <f t="shared" si="1"/>
        <v>8</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51</v>
      </c>
      <c r="H26" s="83">
        <f>COUNTIFS('Match Log'!$D$4:$D$1510,H$7,'Match Log'!$C$4:$C$1510,$A26)</f>
        <v>1</v>
      </c>
      <c r="I26" s="83">
        <f>COUNTIFS('Match Log'!$D$4:$D$1510,I$7,'Match Log'!$C$4:$C$1510,$A26)</f>
        <v>44</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60</v>
      </c>
      <c r="Q26" s="85" t="str">
        <f t="shared" si="0"/>
        <v>Daniel (Ferret)</v>
      </c>
      <c r="R26" s="84">
        <f t="shared" si="1"/>
        <v>28</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4</v>
      </c>
      <c r="G31" s="83">
        <f>COUNTIFS('Match Log'!$D$4:$D$1510,G$7,'Match Log'!$C$4:$C$1510,$A31)</f>
        <v>0</v>
      </c>
      <c r="H31" s="83">
        <f>COUNTIFS('Match Log'!$D$4:$D$1510,H$7,'Match Log'!$C$4:$C$1510,$A31)</f>
        <v>0</v>
      </c>
      <c r="I31" s="83">
        <f>COUNTIFS('Match Log'!$D$4:$D$1510,I$7,'Match Log'!$C$4:$C$1510,$A31)</f>
        <v>4</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4</v>
      </c>
      <c r="Q31" s="85" t="str">
        <f t="shared" si="0"/>
        <v>Josh</v>
      </c>
      <c r="R31" s="84">
        <f t="shared" si="1"/>
        <v>3</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4</v>
      </c>
      <c r="H36" s="83">
        <f>COUNTIFS('Match Log'!$D$4:$D$1510,H$34,'Match Log'!$C$4:$C$1510,$A36,'Match Log'!$E$4:$E$1510,"Win")</f>
        <v>3</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5</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4</v>
      </c>
      <c r="G39" s="83">
        <f>COUNTIFS('Match Log'!$D$4:$D$1510,G$34,'Match Log'!$C$4:$C$1510,$A39,'Match Log'!$E$4:$E$1510,"Win")</f>
        <v>1</v>
      </c>
      <c r="H39" s="83">
        <f>COUNTIFS('Match Log'!$D$4:$D$1510,H$34,'Match Log'!$C$4:$C$1510,$A39,'Match Log'!$E$4:$E$1510,"Win")</f>
        <v>2</v>
      </c>
      <c r="I39" s="83">
        <f>COUNTIFS('Match Log'!$D$4:$D$1510,I$34,'Match Log'!$C$4:$C$1510,$A39,'Match Log'!$E$4:$E$1510,"Win")</f>
        <v>6</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1</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16</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11</v>
      </c>
      <c r="G48" s="83">
        <f>COUNTIFS('Match Log'!$D$4:$D$1510,G$34,'Match Log'!$C$4:$C$1510,$A48,'Match Log'!$E$4:$E$1510,"Win")</f>
        <v>1</v>
      </c>
      <c r="H48" s="83">
        <f>COUNTIFS('Match Log'!$D$4:$D$1510,H$34,'Match Log'!$C$4:$C$1510,$A48,'Match Log'!$E$4:$E$1510,"Win")</f>
        <v>0</v>
      </c>
      <c r="I48" s="83">
        <f>COUNTIFS('Match Log'!$D$4:$D$1510,I$34,'Match Log'!$C$4:$C$1510,$A48,'Match Log'!$E$4:$E$1510,"Win")</f>
        <v>5</v>
      </c>
      <c r="J48" s="83">
        <f>COUNTIFS('Match Log'!$D$4:$D$1510,J$34,'Match Log'!$C$4:$C$1510,$A48,'Match Log'!$E$4:$E$1510,"Win")</f>
        <v>0</v>
      </c>
      <c r="K48" s="83">
        <f>COUNTIFS('Match Log'!$D$4:$D$1510,K$34,'Match Log'!$C$4:$C$1510,$A48,'Match Log'!$E$4:$E$1510,"Win")</f>
        <v>0</v>
      </c>
      <c r="L48" s="83">
        <f>COUNTIFS('Match Log'!$D$4:$D$1510,L$34,'Match Log'!$C$4:$C$1510,$A48,'Match Log'!$E$4:$E$1510,"Win")</f>
        <v>9</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5</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8</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28</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3</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0.33333333333333331</v>
      </c>
      <c r="H63" s="86">
        <f t="shared" si="3"/>
        <v>0.3</v>
      </c>
      <c r="I63" s="86">
        <f t="shared" si="3"/>
        <v>0.3</v>
      </c>
      <c r="J63" s="86">
        <f t="shared" si="3"/>
        <v>0.25</v>
      </c>
      <c r="K63" s="86" t="str">
        <f t="shared" si="3"/>
        <v/>
      </c>
      <c r="L63" s="86">
        <f t="shared" si="3"/>
        <v>0.45454545454545453</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0.5714285714285714</v>
      </c>
      <c r="G66" s="86">
        <f t="shared" si="6"/>
        <v>1</v>
      </c>
      <c r="H66" s="86">
        <f t="shared" si="6"/>
        <v>1</v>
      </c>
      <c r="I66" s="86">
        <f t="shared" si="6"/>
        <v>0.42857142857142855</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0.5</v>
      </c>
      <c r="H70" s="86" t="str">
        <f t="shared" si="10"/>
        <v/>
      </c>
      <c r="I70" s="86">
        <f t="shared" si="10"/>
        <v>0</v>
      </c>
      <c r="J70" s="86" t="str">
        <f t="shared" si="10"/>
        <v/>
      </c>
      <c r="K70" s="86" t="str">
        <f t="shared" si="10"/>
        <v/>
      </c>
      <c r="L70" s="86">
        <f t="shared" si="10"/>
        <v>0.33333333333333331</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0.88888888888888884</v>
      </c>
      <c r="G73" s="86">
        <f t="shared" si="13"/>
        <v>0.8666666666666667</v>
      </c>
      <c r="H73" s="86">
        <f t="shared" si="13"/>
        <v>0.5</v>
      </c>
      <c r="I73" s="86">
        <f t="shared" si="13"/>
        <v>0.15789473684210525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0.7857142857142857</v>
      </c>
      <c r="G75" s="86">
        <f t="shared" si="15"/>
        <v>6.25E-2</v>
      </c>
      <c r="H75" s="86">
        <f t="shared" si="15"/>
        <v>0</v>
      </c>
      <c r="I75" s="86">
        <f t="shared" si="15"/>
        <v>0.35714285714285715</v>
      </c>
      <c r="J75" s="86" t="str">
        <f t="shared" si="15"/>
        <v/>
      </c>
      <c r="K75" s="86" t="str">
        <f t="shared" si="15"/>
        <v/>
      </c>
      <c r="L75" s="86">
        <f t="shared" si="15"/>
        <v>0.69230769230769229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0.41666666666666669</v>
      </c>
      <c r="C77" s="86" t="str">
        <f t="shared" si="17"/>
        <v/>
      </c>
      <c r="D77" s="86">
        <f t="shared" si="17"/>
        <v>0</v>
      </c>
      <c r="E77" s="86" t="str">
        <f t="shared" si="17"/>
        <v/>
      </c>
      <c r="F77" s="86" t="str">
        <f t="shared" si="17"/>
        <v/>
      </c>
      <c r="G77" s="86" t="str">
        <f t="shared" si="17"/>
        <v/>
      </c>
      <c r="H77" s="86" t="str">
        <f t="shared" si="17"/>
        <v/>
      </c>
      <c r="I77" s="86">
        <f t="shared" si="17"/>
        <v>0.66666666666666663</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0.45098039215686275</v>
      </c>
      <c r="H80" s="86">
        <f t="shared" si="20"/>
        <v>0</v>
      </c>
      <c r="I80" s="86">
        <f t="shared" si="20"/>
        <v>0.63636363636363635</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0.75</v>
      </c>
      <c r="G85" s="86" t="str">
        <f t="shared" si="25"/>
        <v/>
      </c>
      <c r="H85" s="86" t="str">
        <f t="shared" si="25"/>
        <v/>
      </c>
      <c r="I85" s="86">
        <f t="shared" si="25"/>
        <v>0.25</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1167.9015417269482</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78</v>
      </c>
      <c r="C90" s="83">
        <f>SUMPRODUCT(--(COUNTIFS('Match Log'!$D$4:$D$1510,$A90,'Match Log'!$C$4:$C$1510,Lists!$C$2:$C$26)&gt;0))</f>
        <v>15</v>
      </c>
      <c r="D90" s="83">
        <f>COUNTIFS('Match Log'!$D$4:$D$1510,$A90,'Match Log'!$E$4:$E$1510,"Win")</f>
        <v>50</v>
      </c>
      <c r="E90" s="86">
        <f t="shared" si="27"/>
        <v>0.64102564102564108</v>
      </c>
      <c r="F90" s="88">
        <f ca="1">IFERROR(INDEX(Calcs!$S$7:$S$20,MATCH($A90,Calcs!$A$7:$A$20,0)),"")</f>
        <v>1327.5695831172361</v>
      </c>
      <c r="G90" s="83" t="str">
        <f>IF($B90=0,"No games",IF(AND($B90&gt;='Guide &amp; Settings'!$C$45,$C90&gt;='Guide &amp; Settings'!$C$46),"Eligible","Provisional"))</f>
        <v>Eligible</v>
      </c>
      <c r="S90" s="89">
        <f ca="1">IF($G90="Eligible",IF(IFERROR(INDEX(Calcs!$T$7:$T$20,MATCH($A90,Calcs!$A$7:$A$20,0)),"")="Inactive",-1,$F90),-1)</f>
        <v>1327.5695831172361</v>
      </c>
    </row>
    <row r="91" spans="1:19" ht="15" customHeight="1" x14ac:dyDescent="0.2">
      <c r="A91" s="82" t="s">
        <v>21</v>
      </c>
      <c r="B91" s="83">
        <f>COUNTIF('Match Log'!$D$4:$D$1510,$A91)</f>
        <v>47</v>
      </c>
      <c r="C91" s="83">
        <f>SUMPRODUCT(--(COUNTIFS('Match Log'!$D$4:$D$1510,$A91,'Match Log'!$C$4:$C$1510,Lists!$C$2:$C$26)&gt;0))</f>
        <v>12</v>
      </c>
      <c r="D91" s="83">
        <f>COUNTIFS('Match Log'!$D$4:$D$1510,$A91,'Match Log'!$E$4:$E$1510,"Win")</f>
        <v>24</v>
      </c>
      <c r="E91" s="86">
        <f t="shared" si="27"/>
        <v>0.51063829787234039</v>
      </c>
      <c r="F91" s="88">
        <f ca="1">IFERROR(INDEX(Calcs!$S$7:$S$20,MATCH($A91,Calcs!$A$7:$A$20,0)),"")</f>
        <v>1140.9460512957946</v>
      </c>
      <c r="G91" s="83" t="str">
        <f>IF($B91=0,"No games",IF(AND($B91&gt;='Guide &amp; Settings'!$C$45,$C91&gt;='Guide &amp; Settings'!$C$46),"Eligible","Provisional"))</f>
        <v>Eligible</v>
      </c>
      <c r="S91" s="89">
        <f ca="1">IF($G91="Eligible",IF(IFERROR(INDEX(Calcs!$T$7:$T$20,MATCH($A91,Calcs!$A$7:$A$20,0)),"")="Inactive",-1,$F91),-1)</f>
        <v>1140.9460512957946</v>
      </c>
    </row>
    <row r="92" spans="1:19" ht="15" customHeight="1" x14ac:dyDescent="0.2">
      <c r="A92" s="82" t="s">
        <v>25</v>
      </c>
      <c r="B92" s="83">
        <f>COUNTIF('Match Log'!$D$4:$D$1510,$A92)</f>
        <v>94</v>
      </c>
      <c r="C92" s="83">
        <f>SUMPRODUCT(--(COUNTIFS('Match Log'!$D$4:$D$1510,$A92,'Match Log'!$C$4:$C$1510,Lists!$C$2:$C$26)&gt;0))</f>
        <v>14</v>
      </c>
      <c r="D92" s="83">
        <f>COUNTIFS('Match Log'!$D$4:$D$1510,$A92,'Match Log'!$E$4:$E$1510,"Win")</f>
        <v>35</v>
      </c>
      <c r="E92" s="86">
        <f t="shared" si="27"/>
        <v>0.37234042553191488</v>
      </c>
      <c r="F92" s="88">
        <f ca="1">IFERROR(INDEX(Calcs!$S$7:$S$20,MATCH($A92,Calcs!$A$7:$A$20,0)),"")</f>
        <v>1016.8465069072693</v>
      </c>
      <c r="G92" s="83" t="str">
        <f>IF($B92=0,"No games",IF(AND($B92&gt;='Guide &amp; Settings'!$C$45,$C92&gt;='Guide &amp; Settings'!$C$46),"Eligible","Provisional"))</f>
        <v>Eligible</v>
      </c>
      <c r="S92" s="89">
        <f ca="1">IF($G92="Eligible",IF(IFERROR(INDEX(Calcs!$T$7:$T$20,MATCH($A92,Calcs!$A$7:$A$20,0)),"")="Inactive",-1,$F92),-1)</f>
        <v>1016.8465069072693</v>
      </c>
    </row>
    <row r="93" spans="1:19" ht="15" customHeight="1" x14ac:dyDescent="0.2">
      <c r="A93" s="82" t="s">
        <v>22</v>
      </c>
      <c r="B93" s="83">
        <f>COUNTIF('Match Log'!$D$4:$D$1510,$A93)</f>
        <v>178</v>
      </c>
      <c r="C93" s="83">
        <f>SUMPRODUCT(--(COUNTIFS('Match Log'!$D$4:$D$1510,$A93,'Match Log'!$C$4:$C$1510,Lists!$C$2:$C$26)&gt;0))</f>
        <v>20</v>
      </c>
      <c r="D93" s="83">
        <f>COUNTIFS('Match Log'!$D$4:$D$1510,$A93,'Match Log'!$E$4:$E$1510,"Win")</f>
        <v>75</v>
      </c>
      <c r="E93" s="86">
        <f t="shared" si="27"/>
        <v>0.42134831460674155</v>
      </c>
      <c r="F93" s="88">
        <f ca="1">IFERROR(INDEX(Calcs!$S$7:$S$20,MATCH($A93,Calcs!$A$7:$A$20,0)),"")</f>
        <v>1149.3415971839049</v>
      </c>
      <c r="G93" s="83" t="str">
        <f>IF($B93=0,"No games",IF(AND($B93&gt;='Guide &amp; Settings'!$C$45,$C93&gt;='Guide &amp; Settings'!$C$46),"Eligible","Provisional"))</f>
        <v>Eligible</v>
      </c>
      <c r="S93" s="89">
        <f ca="1">IF($G93="Eligible",IF(IFERROR(INDEX(Calcs!$T$7:$T$20,MATCH($A93,Calcs!$A$7:$A$20,0)),"")="Inactive",-1,$F93),-1)</f>
        <v>1149.3415971839049</v>
      </c>
    </row>
    <row r="94" spans="1:19" ht="15" customHeight="1" x14ac:dyDescent="0.2">
      <c r="A94" s="82" t="s">
        <v>15</v>
      </c>
      <c r="B94" s="83">
        <f>COUNTIF('Match Log'!$D$4:$D$1510,$A94)</f>
        <v>94</v>
      </c>
      <c r="C94" s="83">
        <f>SUMPRODUCT(--(COUNTIFS('Match Log'!$D$4:$D$1510,$A94,'Match Log'!$C$4:$C$1510,Lists!$C$2:$C$26)&gt;0))</f>
        <v>14</v>
      </c>
      <c r="D94" s="83">
        <f>COUNTIFS('Match Log'!$D$4:$D$1510,$A94,'Match Log'!$E$4:$E$1510,"Win")</f>
        <v>44</v>
      </c>
      <c r="E94" s="86">
        <f t="shared" si="27"/>
        <v>0.46808510638297873</v>
      </c>
      <c r="F94" s="88">
        <f ca="1">IFERROR(INDEX(Calcs!$S$7:$S$20,MATCH($A94,Calcs!$A$7:$A$20,0)),"")</f>
        <v>1223.1911759451084</v>
      </c>
      <c r="G94" s="83" t="str">
        <f>IF($B94=0,"No games",IF(AND($B94&gt;='Guide &amp; Settings'!$C$45,$C94&gt;='Guide &amp; Settings'!$C$46),"Eligible","Provisional"))</f>
        <v>Eligible</v>
      </c>
      <c r="S94" s="89">
        <f ca="1">IF($G94="Eligible",IF(IFERROR(INDEX(Calcs!$T$7:$T$20,MATCH($A94,Calcs!$A$7:$A$20,0)),"")="Inactive",-1,$F94),-1)</f>
        <v>1223.1911759451084</v>
      </c>
    </row>
    <row r="95" spans="1:19" ht="15" customHeight="1" x14ac:dyDescent="0.2">
      <c r="A95" s="82" t="s">
        <v>20</v>
      </c>
      <c r="B95" s="83">
        <f>COUNTIF('Match Log'!$D$4:$D$1510,$A95)</f>
        <v>176</v>
      </c>
      <c r="C95" s="83">
        <f>SUMPRODUCT(--(COUNTIFS('Match Log'!$D$4:$D$1510,$A95,'Match Log'!$C$4:$C$1510,Lists!$C$2:$C$26)&gt;0))</f>
        <v>19</v>
      </c>
      <c r="D95" s="83">
        <f>COUNTIFS('Match Log'!$D$4:$D$1510,$A95,'Match Log'!$E$4:$E$1510,"Win")</f>
        <v>81</v>
      </c>
      <c r="E95" s="86">
        <f t="shared" si="27"/>
        <v>0.46022727272727271</v>
      </c>
      <c r="F95" s="88">
        <f ca="1">IFERROR(INDEX(Calcs!$S$7:$S$20,MATCH($A95,Calcs!$A$7:$A$20,0)),"")</f>
        <v>1169.2994290637935</v>
      </c>
      <c r="G95" s="83" t="str">
        <f>IF($B95=0,"No games",IF(AND($B95&gt;='Guide &amp; Settings'!$C$45,$C95&gt;='Guide &amp; Settings'!$C$46),"Eligible","Provisional"))</f>
        <v>Eligible</v>
      </c>
      <c r="S95" s="89">
        <f ca="1">IF($G95="Eligible",IF(IFERROR(INDEX(Calcs!$T$7:$T$20,MATCH($A95,Calcs!$A$7:$A$20,0)),"")="Inactive",-1,$F95),-1)</f>
        <v>1169.2994290637935</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869.51759653351382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1007.5488947064855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960.50724028215677</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1018.0761030598392</v>
      </c>
      <c r="G99" s="83" t="str">
        <f>IF($B99=0,"No games",IF(AND($B99&gt;='Guide &amp; Settings'!$C$45,$C99&gt;='Guide &amp; Settings'!$C$46),"Eligible","Provisional"))</f>
        <v>Eligible</v>
      </c>
      <c r="S99" s="89">
        <f ca="1">IF($G99="Eligible",IF(IFERROR(INDEX(Calcs!$T$7:$T$20,MATCH($A99,Calcs!$A$7:$A$20,0)),"")="Inactive",-1,$F99),-1)</f>
        <v>-1</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817.03133644117429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742.22294373677494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991.40983115800134</v>
      </c>
      <c r="H107" s="88">
        <f>IFERROR(LOOKUP(2,1/(('Match Log'!$D$4:$D$1510=H$105)*('Match Log'!$C$4:$C$1510=$A107)),'Match Log'!$AB$4:$AB$1510),"")</f>
        <v>972.75709217302438</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1009.5410414934624</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1011.5691449895494</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977.96068592683184</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1005.8226354258381</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1004.5962743784276</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1129.9285906424818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880.30460091655812</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Josh</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1077.2098408201373</v>
      </c>
      <c r="G119" s="88">
        <f>IFERROR(LOOKUP(2,1/(('Match Log'!$D$4:$D$1510=G$105)*('Match Log'!$C$4:$C$1510=$A119)),'Match Log'!$AB$4:$AB$1510),"")</f>
        <v>862.9705950891248</v>
      </c>
      <c r="H119" s="88">
        <f>IFERROR(LOOKUP(2,1/(('Match Log'!$D$4:$D$1510=H$105)*('Match Log'!$C$4:$C$1510=$A119)),'Match Log'!$AB$4:$AB$1510),"")</f>
        <v>994.66666666666663</v>
      </c>
      <c r="I119" s="88">
        <f>IFERROR(LOOKUP(2,1/(('Match Log'!$D$4:$D$1510=I$105)*('Match Log'!$C$4:$C$1510=$A119)),'Match Log'!$AB$4:$AB$1510),"")</f>
        <v>963.43012014616841</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1044.8134840009573</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Josh</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1004.4279815334085</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1026.8696198032385</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975.59681790697778</v>
      </c>
      <c r="H124" s="88">
        <f>IFERROR(LOOKUP(2,1/(('Match Log'!$D$4:$D$1510=H$105)*('Match Log'!$C$4:$C$1510=$A124)),'Match Log'!$AB$4:$AB$1510),"")</f>
        <v>995.11454772974389</v>
      </c>
      <c r="I124" s="88">
        <f>IFERROR(LOOKUP(2,1/(('Match Log'!$D$4:$D$1510=I$105)*('Match Log'!$C$4:$C$1510=$A124)),'Match Log'!$AB$4:$AB$1510),"")</f>
        <v>1150.8492840587933</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1029.3182674333191</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970.68173256668092</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Shawn</v>
      </c>
      <c r="C6" s="91" t="str">
        <f>IFERROR(INDEX(Calcs!$H$25:$H$724,MATCH(LARGE(Calcs!$I$25:$I$724,1),Calcs!$I$25:$I$724,0)),"")</f>
        <v>Oscar</v>
      </c>
      <c r="D6" s="91" t="str">
        <f>IFERROR(INDEX(Calcs!$C$25:$C$724,MATCH(LARGE(Calcs!$I$25:$I$724,1),Calcs!$I$25:$I$724,0)),"")</f>
        <v>Mario Kart</v>
      </c>
      <c r="E6" s="91" t="str">
        <f>IFERROR(TEXT(INDEX(Calcs!$F$25:$F$724,MATCH(LARGE(Calcs!$I$25:$I$724,1),Calcs!$I$25:$I$724,0)),"0%"),"")</f>
        <v>8%</v>
      </c>
      <c r="F6" s="91" t="str">
        <f>IFERROR(TEXT(INDEX(Calcs!$B$25:$B$724,MATCH(LARGE(Calcs!$I$25:$I$724,1),Calcs!$I$25:$I$724,0)),"d mmm"),"")</f>
        <v>8 Oct</v>
      </c>
    </row>
    <row r="7" spans="1:6" ht="15" customHeight="1" x14ac:dyDescent="0.2">
      <c r="A7" s="67">
        <v>2</v>
      </c>
      <c r="B7" s="40" t="str">
        <f>IFERROR(INDEX(Calcs!$D$25:$D$724,MATCH(LARGE(Calcs!$I$25:$I$724,2),Calcs!$I$25:$I$724,0)),"")</f>
        <v>Aaron</v>
      </c>
      <c r="C7" s="40" t="str">
        <f>IFERROR(INDEX(Calcs!$H$25:$H$724,MATCH(LARGE(Calcs!$I$25:$I$724,2),Calcs!$I$25:$I$724,0)),"")</f>
        <v>Shawn</v>
      </c>
      <c r="D7" s="40" t="str">
        <f>IFERROR(INDEX(Calcs!$C$25:$C$724,MATCH(LARGE(Calcs!$I$25:$I$724,2),Calcs!$I$25:$I$724,0)),"")</f>
        <v>Mario Golf</v>
      </c>
      <c r="E7" s="40" t="str">
        <f>IFERROR(TEXT(INDEX(Calcs!$F$25:$F$724,MATCH(LARGE(Calcs!$I$25:$I$724,2),Calcs!$I$25:$I$724,0)),"0%"),"")</f>
        <v>17%</v>
      </c>
      <c r="F7" s="40" t="str">
        <f>IFERROR(TEXT(INDEX(Calcs!$B$25:$B$724,MATCH(LARGE(Calcs!$I$25:$I$724,2),Calcs!$I$25:$I$724,0)),"d mmm"),"")</f>
        <v>10 Jul</v>
      </c>
    </row>
    <row r="8" spans="1:6" ht="15" customHeight="1" x14ac:dyDescent="0.2">
      <c r="A8" s="63">
        <v>3</v>
      </c>
      <c r="B8" s="37" t="str">
        <f>IFERROR(INDEX(Calcs!$D$25:$D$724,MATCH(LARGE(Calcs!$I$25:$I$724,3),Calcs!$I$25:$I$724,0)),"")</f>
        <v>Daniel (Ferret)</v>
      </c>
      <c r="C8" s="37" t="str">
        <f>IFERROR(INDEX(Calcs!$H$25:$H$724,MATCH(LARGE(Calcs!$I$25:$I$724,3),Calcs!$I$25:$I$724,0)),"")</f>
        <v>Shawn</v>
      </c>
      <c r="D8" s="37" t="str">
        <f>IFERROR(INDEX(Calcs!$C$25:$C$724,MATCH(LARGE(Calcs!$I$25:$I$724,3),Calcs!$I$25:$I$724,0)),"")</f>
        <v>FIFA</v>
      </c>
      <c r="E8" s="37" t="str">
        <f>IFERROR(TEXT(INDEX(Calcs!$F$25:$F$724,MATCH(LARGE(Calcs!$I$25:$I$724,3),Calcs!$I$25:$I$724,0)),"0%"),"")</f>
        <v>20%</v>
      </c>
      <c r="F8" s="37" t="str">
        <f>IFERROR(TEXT(INDEX(Calcs!$B$25:$B$724,MATCH(LARGE(Calcs!$I$25:$I$724,3),Calcs!$I$25:$I$724,0)),"d mmm"),"")</f>
        <v>30 May</v>
      </c>
    </row>
    <row r="9" spans="1:6" ht="15" customHeight="1" x14ac:dyDescent="0.2">
      <c r="A9" s="67">
        <v>4</v>
      </c>
      <c r="B9" s="40" t="str">
        <f>IFERROR(INDEX(Calcs!$D$25:$D$724,MATCH(LARGE(Calcs!$I$25:$I$724,4),Calcs!$I$25:$I$724,0)),"")</f>
        <v>Shawn</v>
      </c>
      <c r="C9" s="40" t="str">
        <f>IFERROR(INDEX(Calcs!$H$25:$H$724,MATCH(LARGE(Calcs!$I$25:$I$724,4),Calcs!$I$25:$I$724,0)),"")</f>
        <v>Daniel (Ferret)</v>
      </c>
      <c r="D9" s="40" t="str">
        <f>IFERROR(INDEX(Calcs!$C$25:$C$724,MATCH(LARGE(Calcs!$I$25:$I$724,4),Calcs!$I$25:$I$724,0)),"")</f>
        <v>Mario Party</v>
      </c>
      <c r="E9" s="40" t="str">
        <f>IFERROR(TEXT(INDEX(Calcs!$F$25:$F$724,MATCH(LARGE(Calcs!$I$25:$I$724,4),Calcs!$I$25:$I$724,0)),"0%"),"")</f>
        <v>23%</v>
      </c>
      <c r="F9" s="40" t="str">
        <f>IFERROR(TEXT(INDEX(Calcs!$B$25:$B$724,MATCH(LARGE(Calcs!$I$25:$I$724,4),Calcs!$I$25:$I$724,0)),"d mmm"),"")</f>
        <v>5 Jul</v>
      </c>
    </row>
    <row r="10" spans="1:6" ht="15" customHeight="1" x14ac:dyDescent="0.2">
      <c r="A10" s="63">
        <v>5</v>
      </c>
      <c r="B10" s="37" t="str">
        <f>IFERROR(INDEX(Calcs!$D$25:$D$724,MATCH(LARGE(Calcs!$I$25:$I$724,5),Calcs!$I$25:$I$724,0)),"")</f>
        <v>Dean B</v>
      </c>
      <c r="C10" s="37" t="str">
        <f>IFERROR(INDEX(Calcs!$H$25:$H$724,MATCH(LARGE(Calcs!$I$25:$I$724,5),Calcs!$I$25:$I$724,0)),"")</f>
        <v>David</v>
      </c>
      <c r="D10" s="37" t="str">
        <f>IFERROR(INDEX(Calcs!$C$25:$C$724,MATCH(LARGE(Calcs!$I$25:$I$724,5),Calcs!$I$25:$I$724,0)),"")</f>
        <v>Darts</v>
      </c>
      <c r="E10" s="37" t="str">
        <f>IFERROR(TEXT(INDEX(Calcs!$F$25:$F$724,MATCH(LARGE(Calcs!$I$25:$I$724,5),Calcs!$I$25:$I$724,0)),"0%"),"")</f>
        <v>23%</v>
      </c>
      <c r="F10" s="37" t="str">
        <f>IFERROR(TEXT(INDEX(Calcs!$B$25:$B$724,MATCH(LARGE(Calcs!$I$25:$I$724,5),Calcs!$I$25:$I$724,0)),"d mmm"),"")</f>
        <v>21 Aug</v>
      </c>
    </row>
    <row r="11" spans="1:6" ht="15" customHeight="1" x14ac:dyDescent="0.2">
      <c r="A11" s="67">
        <v>6</v>
      </c>
      <c r="B11" s="40" t="str">
        <f>IFERROR(INDEX(Calcs!$D$25:$D$724,MATCH(LARGE(Calcs!$I$25:$I$724,6),Calcs!$I$25:$I$724,0)),"")</f>
        <v>Simon</v>
      </c>
      <c r="C11" s="40" t="str">
        <f>IFERROR(INDEX(Calcs!$H$25:$H$724,MATCH(LARGE(Calcs!$I$25:$I$724,6),Calcs!$I$25:$I$724,0)),"")</f>
        <v>Oscar</v>
      </c>
      <c r="D11" s="40" t="str">
        <f>IFERROR(INDEX(Calcs!$C$25:$C$724,MATCH(LARGE(Calcs!$I$25:$I$724,6),Calcs!$I$25:$I$724,0)),"")</f>
        <v>Table Tennis</v>
      </c>
      <c r="E11" s="40" t="str">
        <f>IFERROR(TEXT(INDEX(Calcs!$F$25:$F$724,MATCH(LARGE(Calcs!$I$25:$I$724,6),Calcs!$I$25:$I$724,0)),"0%"),"")</f>
        <v>23%</v>
      </c>
      <c r="F11" s="40" t="str">
        <f>IFERROR(TEXT(INDEX(Calcs!$B$25:$B$724,MATCH(LARGE(Calcs!$I$25:$I$724,6),Calcs!$I$25:$I$724,0)),"d mmm"),"")</f>
        <v>23 Aug</v>
      </c>
    </row>
    <row r="12" spans="1:6" ht="15" customHeight="1" x14ac:dyDescent="0.2">
      <c r="A12" s="63">
        <v>7</v>
      </c>
      <c r="B12" s="37" t="str">
        <f>IFERROR(INDEX(Calcs!$D$25:$D$724,MATCH(LARGE(Calcs!$I$25:$I$724,7),Calcs!$I$25:$I$724,0)),"")</f>
        <v>Aaron</v>
      </c>
      <c r="C12" s="37" t="str">
        <f>IFERROR(INDEX(Calcs!$H$25:$H$724,MATCH(LARGE(Calcs!$I$25:$I$724,7),Calcs!$I$25:$I$724,0)),"")</f>
        <v>Shawn</v>
      </c>
      <c r="D12" s="37" t="str">
        <f>IFERROR(INDEX(Calcs!$C$25:$C$724,MATCH(LARGE(Calcs!$I$25:$I$724,7),Calcs!$I$25:$I$724,0)),"")</f>
        <v>Table Tennis</v>
      </c>
      <c r="E12" s="37" t="str">
        <f>IFERROR(TEXT(INDEX(Calcs!$F$25:$F$724,MATCH(LARGE(Calcs!$I$25:$I$724,7),Calcs!$I$25:$I$724,0)),"0%"),"")</f>
        <v>24%</v>
      </c>
      <c r="F12" s="37" t="str">
        <f>IFERROR(TEXT(INDEX(Calcs!$B$25:$B$724,MATCH(LARGE(Calcs!$I$25:$I$724,7),Calcs!$I$25:$I$724,0)),"d mmm"),"")</f>
        <v>21 Aug</v>
      </c>
    </row>
    <row r="13" spans="1:6" ht="15" customHeight="1" x14ac:dyDescent="0.2">
      <c r="A13" s="67">
        <v>8</v>
      </c>
      <c r="B13" s="40" t="str">
        <f>IFERROR(INDEX(Calcs!$D$25:$D$724,MATCH(LARGE(Calcs!$I$25:$I$724,8),Calcs!$I$25:$I$724,0)),"")</f>
        <v>Oscar</v>
      </c>
      <c r="C13" s="40" t="str">
        <f>IFERROR(INDEX(Calcs!$H$25:$H$724,MATCH(LARGE(Calcs!$I$25:$I$724,8),Calcs!$I$25:$I$724,0)),"")</f>
        <v>Daniel (Ferret)</v>
      </c>
      <c r="D13" s="40" t="str">
        <f>IFERROR(INDEX(Calcs!$C$25:$C$724,MATCH(LARGE(Calcs!$I$25:$I$724,8),Calcs!$I$25:$I$724,0)),"")</f>
        <v>Mario Kart</v>
      </c>
      <c r="E13" s="40" t="str">
        <f>IFERROR(TEXT(INDEX(Calcs!$F$25:$F$724,MATCH(LARGE(Calcs!$I$25:$I$724,8),Calcs!$I$25:$I$724,0)),"0%"),"")</f>
        <v>25%</v>
      </c>
      <c r="F13" s="40" t="str">
        <f>IFERROR(TEXT(INDEX(Calcs!$B$25:$B$724,MATCH(LARGE(Calcs!$I$25:$I$724,8),Calcs!$I$25:$I$724,0)),"d mmm"),"")</f>
        <v>3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8%</v>
      </c>
      <c r="C20" s="40" t="str">
        <f>$B$6</f>
        <v>Shawn</v>
      </c>
      <c r="D20" s="40" t="str">
        <f>$D$6</f>
        <v>Mario Kart</v>
      </c>
      <c r="E20" s="40" t="str">
        <f>$F$6</f>
        <v>8 Oct</v>
      </c>
      <c r="F20" s="40" t="str">
        <f>"beat "&amp;$C$6</f>
        <v>beat Oscar</v>
      </c>
    </row>
    <row r="21" spans="1:8" ht="15" customHeight="1" x14ac:dyDescent="0.2">
      <c r="A21" s="92" t="s">
        <v>325</v>
      </c>
      <c r="B21" s="37" t="str">
        <f ca="1">TEXT(MAX(Dashboard!$D$5:$D$18),"0")</f>
        <v>178</v>
      </c>
      <c r="C21" s="37" t="str">
        <f ca="1">INDEX(Dashboard!$B$5:$B$18,MATCH(MAX(Dashboard!$D$5:$D$18),Dashboard!$D$5:$D$18,0))</f>
        <v>Daniel (Ferret)</v>
      </c>
      <c r="D21" s="37" t="s">
        <v>326</v>
      </c>
      <c r="E21" s="37" t="s">
        <v>326</v>
      </c>
      <c r="F21" s="37" t="str">
        <f ca="1">"across "&amp;INDEX(Dashboard!$K$5:$K$18,MATCH($C21,Dashboard!$B$5:$B$18,0))&amp;" sports"</f>
        <v>across 20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60 games</v>
      </c>
      <c r="C23" s="37" t="str">
        <f>INDEX('Sport Records'!$A$8:$A$32,MATCH(MAX('Sport Records'!$P$8:$P$32),'Sport Records'!$P$8:$P$32,0))</f>
        <v>Mario Golf</v>
      </c>
      <c r="D23" s="37" t="s">
        <v>326</v>
      </c>
      <c r="E23" s="37" t="s">
        <v>326</v>
      </c>
      <c r="F23" s="37" t="s">
        <v>329</v>
      </c>
    </row>
    <row r="24" spans="1:8" ht="15" customHeight="1" x14ac:dyDescent="0.2">
      <c r="A24" s="93" t="s">
        <v>330</v>
      </c>
      <c r="B24" s="40" t="str">
        <f>MAX(Calcs!$O$7:$O$20)&amp;" wins"</f>
        <v>3 wins</v>
      </c>
      <c r="C24" s="40" t="str">
        <f>INDEX(Calcs!$A$7:$A$20,MATCH(MAX(Calcs!$O$7:$O$20),Calcs!$O$7:$O$20,0))</f>
        <v>Daniel (Ferret)</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Daniel (Ferret)</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104 points clear of Aaron.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Daniel (Ferret) is on a heater — 3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Oscar is surging — up 2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12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Daniel (Ferret) never misses a session — 178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Daniel (Ferret) rules Mario Golf — the family's most-played game with 60 contests.</v>
      </c>
      <c r="B11" s="97"/>
      <c r="C11" s="97"/>
      <c r="D11" s="102"/>
      <c r="E11" s="103"/>
      <c r="F11" s="97"/>
    </row>
    <row r="12" spans="1:6" ht="15" customHeight="1" x14ac:dyDescent="0.2">
      <c r="A12" s="98" t="str">
        <f>"🎲  "&amp;MAX('Match Log'!$A$4:$A$1510)&amp;" games played across "&amp;COUNTIF('Sport Records'!$P$8:$P$32,"&gt;0")&amp;" different sports — and counting."</f>
        <v>🎲  348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1328</v>
      </c>
      <c r="D17" s="109" t="str">
        <f>"leader"</f>
        <v>leader</v>
      </c>
      <c r="E17" s="105"/>
      <c r="F17" s="27"/>
    </row>
    <row r="18" spans="1:6" ht="15" customHeight="1" x14ac:dyDescent="0.2">
      <c r="A18" s="110">
        <v>2</v>
      </c>
      <c r="B18" s="62" t="str">
        <f ca="1">Dashboard!$B$6</f>
        <v>Aaron</v>
      </c>
      <c r="C18" s="144">
        <f ca="1">ROUND(Dashboard!$C$6,0)</f>
        <v>1223</v>
      </c>
      <c r="D18" s="111" t="str">
        <f ca="1">ROUND(Dashboard!$C$5-Dashboard!$C$6,0)&amp;" behind"</f>
        <v>104 behind</v>
      </c>
      <c r="E18" s="105"/>
      <c r="F18" s="27"/>
    </row>
    <row r="19" spans="1:6" ht="15" customHeight="1" x14ac:dyDescent="0.2">
      <c r="A19" s="110">
        <v>3</v>
      </c>
      <c r="B19" s="62" t="str">
        <f ca="1">Dashboard!$B$7</f>
        <v>Shawn</v>
      </c>
      <c r="C19" s="144">
        <f ca="1">ROUND(Dashboard!$C$7,0)</f>
        <v>1169</v>
      </c>
      <c r="D19" s="111" t="str">
        <f ca="1">ROUND(Dashboard!$C$5-Dashboard!$C$7,0)&amp;" behind"</f>
        <v>158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L</v>
      </c>
      <c r="D40" s="113" t="str">
        <f>IFERROR(IF(INDEX('Match Log'!$E$1:$E$1510,_xlfn.AGGREGATE(14,6,ROW('Match Log'!$A$4:$A$1510)/('Match Log'!$D$4:$D$1510=$A40),8))="Win","W","L"),"")</f>
        <v>L</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W</v>
      </c>
      <c r="K40" s="113" t="str">
        <f>IFERROR(IF(INDEX('Match Log'!$E$1:$E$1510,_xlfn.AGGREGATE(14,6,ROW('Match Log'!$A$4:$A$1510)/('Match Log'!$D$4:$D$1510=$A40),1))="Win","W","L"),"")</f>
        <v>W</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W</v>
      </c>
      <c r="E44" s="113" t="str">
        <f>IFERROR(IF(INDEX('Match Log'!$E$1:$E$1510,_xlfn.AGGREGATE(14,6,ROW('Match Log'!$A$4:$A$1510)/('Match Log'!$D$4:$D$1510=$A44),7))="Win","W","L"),"")</f>
        <v>L</v>
      </c>
      <c r="F44" s="113" t="str">
        <f>IFERROR(IF(INDEX('Match Log'!$E$1:$E$1510,_xlfn.AGGREGATE(14,6,ROW('Match Log'!$A$4:$A$1510)/('Match Log'!$D$4:$D$1510=$A44),6))="Win","W","L"),"")</f>
        <v>W</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L</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W</v>
      </c>
      <c r="C45" s="113" t="str">
        <f>IFERROR(IF(INDEX('Match Log'!$E$1:$E$1510,_xlfn.AGGREGATE(14,6,ROW('Match Log'!$A$4:$A$1510)/('Match Log'!$D$4:$D$1510=$A45),9))="Win","W","L"),"")</f>
        <v>W</v>
      </c>
      <c r="D45" s="113" t="str">
        <f>IFERROR(IF(INDEX('Match Log'!$E$1:$E$1510,_xlfn.AGGREGATE(14,6,ROW('Match Log'!$A$4:$A$1510)/('Match Log'!$D$4:$D$1510=$A45),8))="Win","W","L"),"")</f>
        <v>L</v>
      </c>
      <c r="E45" s="113" t="str">
        <f>IFERROR(IF(INDEX('Match Log'!$E$1:$E$1510,_xlfn.AGGREGATE(14,6,ROW('Match Log'!$A$4:$A$1510)/('Match Log'!$D$4:$D$1510=$A45),7))="Win","W","L"),"")</f>
        <v>W</v>
      </c>
      <c r="F45" s="113" t="str">
        <f>IFERROR(IF(INDEX('Match Log'!$E$1:$E$1510,_xlfn.AGGREGATE(14,6,ROW('Match Log'!$A$4:$A$1510)/('Match Log'!$D$4:$D$1510=$A45),6))="Win","W","L"),"")</f>
        <v>L</v>
      </c>
      <c r="G45" s="113" t="str">
        <f>IFERROR(IF(INDEX('Match Log'!$E$1:$E$1510,_xlfn.AGGREGATE(14,6,ROW('Match Log'!$A$4:$A$1510)/('Match Log'!$D$4:$D$1510=$A45),5))="Win","W","L"),"")</f>
        <v>L</v>
      </c>
      <c r="H45" s="113" t="str">
        <f>IFERROR(IF(INDEX('Match Log'!$E$1:$E$1510,_xlfn.AGGREGATE(14,6,ROW('Match Log'!$A$4:$A$1510)/('Match Log'!$D$4:$D$1510=$A45),4))="Win","W","L"),"")</f>
        <v>W</v>
      </c>
      <c r="I45" s="113" t="str">
        <f>IFERROR(IF(INDEX('Match Log'!$E$1:$E$1510,_xlfn.AGGREGATE(14,6,ROW('Match Log'!$A$4:$A$1510)/('Match Log'!$D$4:$D$1510=$A45),3))="Win","W","L"),"")</f>
        <v>L</v>
      </c>
      <c r="J45" s="113" t="str">
        <f>IFERROR(IF(INDEX('Match Log'!$E$1:$E$1510,_xlfn.AGGREGATE(14,6,ROW('Match Log'!$A$4:$A$1510)/('Match Log'!$D$4:$D$1510=$A45),2))="Win","W","L"),"")</f>
        <v>L</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W</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W</v>
      </c>
      <c r="G46" s="113" t="str">
        <f>IFERROR(IF(INDEX('Match Log'!$E$1:$E$1510,_xlfn.AGGREGATE(14,6,ROW('Match Log'!$A$4:$A$1510)/('Match Log'!$D$4:$D$1510=$A46),5))="Win","W","L"),"")</f>
        <v>L</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L</v>
      </c>
      <c r="K46" s="113" t="str">
        <f>IFERROR(IF(INDEX('Match Log'!$E$1:$E$1510,_xlfn.AGGREGATE(14,6,ROW('Match Log'!$A$4:$A$1510)/('Match Log'!$D$4:$D$1510=$A46),1))="Win","W","L"),"")</f>
        <v>L</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W</v>
      </c>
      <c r="C47" s="113" t="str">
        <f>IFERROR(IF(INDEX('Match Log'!$E$1:$E$1510,_xlfn.AGGREGATE(14,6,ROW('Match Log'!$A$4:$A$1510)/('Match Log'!$D$4:$D$1510=$A47),9))="Win","W","L"),"")</f>
        <v>L</v>
      </c>
      <c r="D47" s="113" t="str">
        <f>IFERROR(IF(INDEX('Match Log'!$E$1:$E$1510,_xlfn.AGGREGATE(14,6,ROW('Match Log'!$A$4:$A$1510)/('Match Log'!$D$4:$D$1510=$A47),8))="Win","W","L"),"")</f>
        <v>L</v>
      </c>
      <c r="E47" s="113" t="str">
        <f>IFERROR(IF(INDEX('Match Log'!$E$1:$E$1510,_xlfn.AGGREGATE(14,6,ROW('Match Log'!$A$4:$A$1510)/('Match Log'!$D$4:$D$1510=$A47),7))="Win","W","L"),"")</f>
        <v>L</v>
      </c>
      <c r="F47" s="113" t="str">
        <f>IFERROR(IF(INDEX('Match Log'!$E$1:$E$1510,_xlfn.AGGREGATE(14,6,ROW('Match Log'!$A$4:$A$1510)/('Match Log'!$D$4:$D$1510=$A47),6))="Win","W","L"),"")</f>
        <v>L</v>
      </c>
      <c r="G47" s="113" t="str">
        <f>IFERROR(IF(INDEX('Match Log'!$E$1:$E$1510,_xlfn.AGGREGATE(14,6,ROW('Match Log'!$A$4:$A$1510)/('Match Log'!$D$4:$D$1510=$A47),5))="Win","W","L"),"")</f>
        <v>W</v>
      </c>
      <c r="H47" s="113" t="str">
        <f>IFERROR(IF(INDEX('Match Log'!$E$1:$E$1510,_xlfn.AGGREGATE(14,6,ROW('Match Log'!$A$4:$A$1510)/('Match Log'!$D$4:$D$1510=$A47),4))="Win","W","L"),"")</f>
        <v>L</v>
      </c>
      <c r="I47" s="113" t="str">
        <f>IFERROR(IF(INDEX('Match Log'!$E$1:$E$1510,_xlfn.AGGREGATE(14,6,ROW('Match Log'!$A$4:$A$1510)/('Match Log'!$D$4:$D$1510=$A47),3))="Win","W","L"),"")</f>
        <v>W</v>
      </c>
      <c r="J47" s="113" t="str">
        <f>IFERROR(IF(INDEX('Match Log'!$E$1:$E$1510,_xlfn.AGGREGATE(14,6,ROW('Match Log'!$A$4:$A$1510)/('Match Log'!$D$4:$D$1510=$A47),2))="Win","W","L"),"")</f>
        <v>W</v>
      </c>
      <c r="K47" s="113" t="str">
        <f>IFERROR(IF(INDEX('Match Log'!$E$1:$E$1510,_xlfn.AGGREGATE(14,6,ROW('Match Log'!$A$4:$A$1510)/('Match Log'!$D$4:$D$1510=$A47),1))="Win","W","L"),"")</f>
        <v>W</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W</v>
      </c>
      <c r="D50" s="113" t="str">
        <f>IFERROR(IF(INDEX('Match Log'!$E$1:$E$1510,_xlfn.AGGREGATE(14,6,ROW('Match Log'!$A$4:$A$1510)/('Match Log'!$D$4:$D$1510=$A50),8))="Win","W","L"),"")</f>
        <v>L</v>
      </c>
      <c r="E50" s="113" t="str">
        <f>IFERROR(IF(INDEX('Match Log'!$E$1:$E$1510,_xlfn.AGGREGATE(14,6,ROW('Match Log'!$A$4:$A$1510)/('Match Log'!$D$4:$D$1510=$A50),7))="Win","W","L"),"")</f>
        <v>W</v>
      </c>
      <c r="F50" s="113" t="str">
        <f>IFERROR(IF(INDEX('Match Log'!$E$1:$E$1510,_xlfn.AGGREGATE(14,6,ROW('Match Log'!$A$4:$A$1510)/('Match Log'!$D$4:$D$1510=$A50),6))="Win","W","L"),"")</f>
        <v>L</v>
      </c>
      <c r="G50" s="113" t="str">
        <f>IFERROR(IF(INDEX('Match Log'!$E$1:$E$1510,_xlfn.AGGREGATE(14,6,ROW('Match Log'!$A$4:$A$1510)/('Match Log'!$D$4:$D$1510=$A50),5))="Win","W","L"),"")</f>
        <v>W</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W</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0.41666666666666669</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0.5714285714285714</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0.88888888888888884</v>
      </c>
      <c r="N62" s="116">
        <f>IFERROR(INDEX('Sport Records'!$B$62:$O$86,MATCH($N$57,'Sport Records'!$A$62:$A$86,0),MATCH($A62,'Sport Records'!$B$61:$O$61,0)),"")</f>
        <v>0</v>
      </c>
      <c r="O62" s="116">
        <f>IFERROR(INDEX('Sport Records'!$B$62:$O$86,MATCH($O$57,'Sport Records'!$A$62:$A$86,0),MATCH($A62,'Sport Records'!$B$61:$O$61,0)),"")</f>
        <v>0.7857142857142857</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0.75</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0.33333333333333331</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0.5</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6.25E-2</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0.45098039215686275</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0.3</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0.42857142857142855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0.15789473684210525</v>
      </c>
      <c r="N65" s="116">
        <f>IFERROR(INDEX('Sport Records'!$B$62:$O$86,MATCH($N$57,'Sport Records'!$A$62:$A$86,0),MATCH($A65,'Sport Records'!$B$61:$O$61,0)),"")</f>
        <v>0.83333333333333337</v>
      </c>
      <c r="O65" s="116">
        <f>IFERROR(INDEX('Sport Records'!$B$62:$O$86,MATCH($O$57,'Sport Records'!$A$62:$A$86,0),MATCH($A65,'Sport Records'!$B$61:$O$61,0)),"")</f>
        <v>0.35714285714285715</v>
      </c>
      <c r="P65" s="116" t="str">
        <f>IFERROR(INDEX('Sport Records'!$B$62:$O$86,MATCH($P$57,'Sport Records'!$A$62:$A$86,0),MATCH($A65,'Sport Records'!$B$61:$O$61,0)),"")</f>
        <v/>
      </c>
      <c r="Q65" s="116">
        <f>IFERROR(INDEX('Sport Records'!$B$62:$O$86,MATCH($Q$57,'Sport Records'!$A$62:$A$86,0),MATCH($A65,'Sport Records'!$B$61:$O$61,0)),"")</f>
        <v>0.66666666666666663</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0.63636363636363635</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0.25</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0.45454545454545453</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0.33333333333333331</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0.69230769230769229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735" activePane="bottomRight" state="frozen"/>
      <selection pane="topRight" activeCell="F1" sqref="F1"/>
      <selection pane="bottomLeft" activeCell="A442" sqref="A442"/>
      <selection pane="bottomRight" activeCell="E759" sqref="E75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v>318</v>
      </c>
      <c r="B753" s="118">
        <v>46303</v>
      </c>
      <c r="C753" s="119" t="s">
        <v>45</v>
      </c>
      <c r="D753" s="119" t="s">
        <v>20</v>
      </c>
      <c r="E753" s="117" t="s">
        <v>371</v>
      </c>
      <c r="F753" s="120">
        <f t="shared" si="220"/>
        <v>2</v>
      </c>
      <c r="G753" s="121" t="str">
        <f t="shared" si="221"/>
        <v>Oscar</v>
      </c>
      <c r="H753" s="122">
        <f>IF($D753="",0,IFERROR(LOOKUP(2,1/(($D$3:D752=$D753)*($A$3:A752&lt;$A753)),$N$3:N752),'Guide &amp; Settings'!$C$41))</f>
        <v>1221.4104830819899</v>
      </c>
      <c r="I753" s="123">
        <f t="shared" si="222"/>
        <v>8.2802547770700632E-2</v>
      </c>
      <c r="J753" s="124">
        <f>IF($D753="",0,IF($F753&lt;2,0,IF($E753="Win",('Guide &amp; Settings'!$C$42/(($F753-1)*COUNTIFS($A$4:$A$1510,$A753,$E$4:$E$1510,"Win")))*SUMIFS($X$4:$X$1510,$A$4:$A$1510,$A753,$E$4:$E$1510,"Loss"),-('Guide &amp; Settings'!$C$42/($F753-1))*$X753)))</f>
        <v>-11.962442899404918</v>
      </c>
      <c r="K753" s="124">
        <f>IF($D753="",0,'Guide &amp; Settings'!$C$43*(IF($E753="Win",1,0)-$I753))</f>
        <v>-0.99363057324840764</v>
      </c>
      <c r="L753" s="125">
        <f>IF($D753="",0,'Guide &amp; Settings'!$C$44*IF($F753&gt;=3,$F753,0))</f>
        <v>0</v>
      </c>
      <c r="M753" s="124">
        <f t="shared" si="223"/>
        <v>-12.956073472653326</v>
      </c>
      <c r="N753" s="122">
        <f t="shared" si="224"/>
        <v>1208.4544096093366</v>
      </c>
      <c r="O753" s="121" t="str">
        <f t="shared" si="225"/>
        <v>OK</v>
      </c>
      <c r="P753">
        <f t="shared" si="226"/>
        <v>968.26132335618615</v>
      </c>
      <c r="Q753">
        <f t="shared" si="227"/>
        <v>0.81111074442281417</v>
      </c>
      <c r="R753">
        <f t="shared" si="228"/>
        <v>6.25E-2</v>
      </c>
      <c r="S753">
        <f t="shared" si="229"/>
        <v>0.75480769230769229</v>
      </c>
      <c r="T753" s="89">
        <f t="shared" si="230"/>
        <v>14</v>
      </c>
      <c r="U753" s="126">
        <f>IF($D753="",0,IFERROR(LOOKUP(2,1/(($D$3:D752=$D753)*($C$3:C752=$C753)*($A$3:A752&lt;$A753)),$AB$3:AB752),1000))</f>
        <v>844.70538647951662</v>
      </c>
      <c r="V753" s="126">
        <f t="shared" si="231"/>
        <v>943.83830663806225</v>
      </c>
      <c r="W753">
        <f t="shared" si="232"/>
        <v>1033.4482647185719</v>
      </c>
      <c r="X753">
        <f t="shared" si="233"/>
        <v>0.37382634060640368</v>
      </c>
      <c r="Y753">
        <f t="shared" si="234"/>
        <v>1063.0786926105654</v>
      </c>
      <c r="Z753">
        <f t="shared" si="235"/>
        <v>0.2214807915954829</v>
      </c>
      <c r="AA753">
        <f>IF($D753="",0,IF($F753&lt;2,0,IF($E753="Win",('Guide &amp; Settings'!$C$42/(($F753-1)*COUNTIFS($A$4:$A$1510,$A753,$E$4:$E$1510,"Win")))*SUMIFS($Z$4:$Z$1510,$A$4:$A$1510,$A753,$E$4:$E$1510,"Loss"),-('Guide &amp; Settings'!$C$42/($F753-1))*$Z753)))</f>
        <v>-7.0873853310554527</v>
      </c>
      <c r="AB753" s="126">
        <f t="shared" si="236"/>
        <v>837.61800114846119</v>
      </c>
      <c r="AC753" s="126">
        <f>IF($D753="","",IF($AD753=0,0,IF(COUNTIFS($D$4:$D753,$D753,$B$4:$B753,$B753)&gt;1,0,IF($B753&lt;'Guide &amp; Settings'!$C$50,0,IF(($B753-$AD753)/7-'Guide &amp; Settings'!$C$48&gt;=0,(INT(($B753-$AD753)/7-'Guide &amp; Settings'!$C$48)+1)*'Guide &amp; Settings'!$C$49,0)))))</f>
        <v>0</v>
      </c>
      <c r="AD753" s="142">
        <f t="shared" si="237"/>
        <v>46298</v>
      </c>
      <c r="AE753">
        <f t="shared" si="238"/>
        <v>1</v>
      </c>
      <c r="AF753">
        <f t="shared" si="239"/>
        <v>0</v>
      </c>
    </row>
    <row r="754" spans="1:32" x14ac:dyDescent="0.2">
      <c r="A754" s="117">
        <v>318</v>
      </c>
      <c r="B754" s="118">
        <v>46303</v>
      </c>
      <c r="C754" s="119" t="s">
        <v>45</v>
      </c>
      <c r="D754" s="119" t="s">
        <v>25</v>
      </c>
      <c r="E754" s="117" t="s">
        <v>370</v>
      </c>
      <c r="F754" s="120">
        <f t="shared" si="220"/>
        <v>2</v>
      </c>
      <c r="G754" s="121" t="str">
        <f t="shared" si="221"/>
        <v>Oscar</v>
      </c>
      <c r="H754" s="122">
        <f>IF($D754="",0,IFERROR(LOOKUP(2,1/(($D$3:D753=$D754)*($A$3:A753&lt;$A754)),$N$3:N753),'Guide &amp; Settings'!$C$41))</f>
        <v>968.26132335618615</v>
      </c>
      <c r="I754" s="123">
        <f t="shared" si="222"/>
        <v>0.91719745222929938</v>
      </c>
      <c r="J754" s="124">
        <f>IF($D754="",0,IF($F754&lt;2,0,IF($E754="Win",('Guide &amp; Settings'!$C$42/(($F754-1)*COUNTIFS($A$4:$A$1510,$A754,$E$4:$E$1510,"Win")))*SUMIFS($X$4:$X$1510,$A$4:$A$1510,$A754,$E$4:$E$1510,"Loss"),-('Guide &amp; Settings'!$C$42/($F754-1))*$X754)))</f>
        <v>11.962442899404918</v>
      </c>
      <c r="K754" s="124">
        <f>IF($D754="",0,'Guide &amp; Settings'!$C$43*(IF($E754="Win",1,0)-$I754))</f>
        <v>0.99363057324840742</v>
      </c>
      <c r="L754" s="125">
        <f>IF($D754="",0,'Guide &amp; Settings'!$C$44*IF($F754&gt;=3,$F754,0))</f>
        <v>0</v>
      </c>
      <c r="M754" s="124">
        <f t="shared" si="223"/>
        <v>12.956073472653326</v>
      </c>
      <c r="N754" s="122">
        <f t="shared" si="224"/>
        <v>981.21739682883947</v>
      </c>
      <c r="O754" s="121" t="str">
        <f t="shared" si="225"/>
        <v>OK</v>
      </c>
      <c r="P754">
        <f t="shared" si="226"/>
        <v>968.26132335618615</v>
      </c>
      <c r="Q754">
        <f t="shared" si="227"/>
        <v>0.5</v>
      </c>
      <c r="R754">
        <f t="shared" si="228"/>
        <v>0.69230769230769229</v>
      </c>
      <c r="S754">
        <f t="shared" si="229"/>
        <v>0.75480769230769229</v>
      </c>
      <c r="T754" s="89">
        <f t="shared" si="230"/>
        <v>11</v>
      </c>
      <c r="U754" s="126">
        <f>IF($D754="",0,IFERROR(LOOKUP(2,1/(($D$3:D753=$D754)*($C$3:C753=$C754)*($A$3:A753&lt;$A754)),$AB$3:AB753),1000))</f>
        <v>1063.0786926105654</v>
      </c>
      <c r="V754" s="126">
        <f t="shared" si="231"/>
        <v>1033.4482647185719</v>
      </c>
      <c r="W754">
        <f t="shared" si="232"/>
        <v>1033.4482647185719</v>
      </c>
      <c r="X754">
        <f t="shared" si="233"/>
        <v>0.5</v>
      </c>
      <c r="Y754">
        <f t="shared" si="234"/>
        <v>1063.0786926105654</v>
      </c>
      <c r="Z754">
        <f t="shared" si="235"/>
        <v>0.5</v>
      </c>
      <c r="AA754">
        <f>IF($D754="",0,IF($F754&lt;2,0,IF($E754="Win",('Guide &amp; Settings'!$C$42/(($F754-1)*COUNTIFS($A$4:$A$1510,$A754,$E$4:$E$1510,"Win")))*SUMIFS($Z$4:$Z$1510,$A$4:$A$1510,$A754,$E$4:$E$1510,"Loss"),-('Guide &amp; Settings'!$C$42/($F754-1))*$Z754)))</f>
        <v>7.0873853310554527</v>
      </c>
      <c r="AB754" s="126">
        <f t="shared" si="236"/>
        <v>1070.1660779416209</v>
      </c>
      <c r="AC754" s="126">
        <f>IF($D754="","",IF($AD754=0,0,IF(COUNTIFS($D$4:$D754,$D754,$B$4:$B754,$B754)&gt;1,0,IF($B754&lt;'Guide &amp; Settings'!$C$50,0,IF(($B754-$AD754)/7-'Guide &amp; Settings'!$C$48&gt;=0,(INT(($B754-$AD754)/7-'Guide &amp; Settings'!$C$48)+1)*'Guide &amp; Settings'!$C$49,0)))))</f>
        <v>0</v>
      </c>
      <c r="AD754" s="142">
        <f t="shared" si="237"/>
        <v>46291</v>
      </c>
      <c r="AE754">
        <f t="shared" si="238"/>
        <v>1</v>
      </c>
      <c r="AF754">
        <f t="shared" si="239"/>
        <v>0</v>
      </c>
    </row>
    <row r="755" spans="1:32" x14ac:dyDescent="0.2">
      <c r="A755" s="117">
        <v>319</v>
      </c>
      <c r="B755" s="118">
        <v>46303</v>
      </c>
      <c r="C755" s="119" t="s">
        <v>45</v>
      </c>
      <c r="D755" s="119" t="s">
        <v>20</v>
      </c>
      <c r="E755" s="117" t="s">
        <v>370</v>
      </c>
      <c r="F755" s="120">
        <f t="shared" si="220"/>
        <v>2</v>
      </c>
      <c r="G755" s="121" t="str">
        <f t="shared" si="221"/>
        <v>Shawn</v>
      </c>
      <c r="H755" s="122">
        <f>IF($D755="",0,IFERROR(LOOKUP(2,1/(($D$3:D754=$D755)*($A$3:A754&lt;$A755)),$N$3:N754),'Guide &amp; Settings'!$C$41))</f>
        <v>1208.4544096093366</v>
      </c>
      <c r="I755" s="123">
        <f t="shared" si="222"/>
        <v>7.6086956521739121E-2</v>
      </c>
      <c r="J755" s="124">
        <f>IF($D755="",0,IF($F755&lt;2,0,IF($E755="Win",('Guide &amp; Settings'!$C$42/(($F755-1)*COUNTIFS($A$4:$A$1510,$A755,$E$4:$E$1510,"Win")))*SUMIFS($X$4:$X$1510,$A$4:$A$1510,$A755,$E$4:$E$1510,"Loss"),-('Guide &amp; Settings'!$C$42/($F755-1))*$X755)))</f>
        <v>21.055903946888161</v>
      </c>
      <c r="K755" s="124">
        <f>IF($D755="",0,'Guide &amp; Settings'!$C$43*(IF($E755="Win",1,0)-$I755))</f>
        <v>11.086956521739131</v>
      </c>
      <c r="L755" s="125">
        <f>IF($D755="",0,'Guide &amp; Settings'!$C$44*IF($F755&gt;=3,$F755,0))</f>
        <v>0</v>
      </c>
      <c r="M755" s="124">
        <f t="shared" si="223"/>
        <v>32.142860468627291</v>
      </c>
      <c r="N755" s="122">
        <f t="shared" si="224"/>
        <v>1240.5972700779639</v>
      </c>
      <c r="O755" s="121" t="str">
        <f t="shared" si="225"/>
        <v>OK</v>
      </c>
      <c r="P755">
        <f t="shared" si="226"/>
        <v>1208.4544096093366</v>
      </c>
      <c r="Q755">
        <f t="shared" si="227"/>
        <v>0.5</v>
      </c>
      <c r="R755">
        <f t="shared" si="228"/>
        <v>5.8823529411764705E-2</v>
      </c>
      <c r="S755">
        <f t="shared" si="229"/>
        <v>0.77310924369747902</v>
      </c>
      <c r="T755" s="89">
        <f t="shared" si="230"/>
        <v>15</v>
      </c>
      <c r="U755" s="126">
        <f>IF($D755="",0,IFERROR(LOOKUP(2,1/(($D$3:D754=$D755)*($C$3:C754=$C755)*($A$3:A754&lt;$A755)),$AB$3:AB754),1000))</f>
        <v>837.61800114846119</v>
      </c>
      <c r="V755" s="126">
        <f t="shared" si="231"/>
        <v>930.3271032636801</v>
      </c>
      <c r="W755">
        <f t="shared" si="232"/>
        <v>930.3271032636801</v>
      </c>
      <c r="X755">
        <f t="shared" si="233"/>
        <v>0.5</v>
      </c>
      <c r="Y755">
        <f t="shared" si="234"/>
        <v>837.61800114846119</v>
      </c>
      <c r="Z755">
        <f t="shared" si="235"/>
        <v>0.5</v>
      </c>
      <c r="AA755">
        <f>IF($D755="",0,IF($F755&lt;2,0,IF($E755="Win",('Guide &amp; Settings'!$C$42/(($F755-1)*COUNTIFS($A$4:$A$1510,$A755,$E$4:$E$1510,"Win")))*SUMIFS($Z$4:$Z$1510,$A$4:$A$1510,$A755,$E$4:$E$1510,"Loss"),-('Guide &amp; Settings'!$C$42/($F755-1))*$Z755)))</f>
        <v>25.352593940663649</v>
      </c>
      <c r="AB755" s="126">
        <f t="shared" si="236"/>
        <v>862.9705950891248</v>
      </c>
      <c r="AC755" s="126">
        <f>IF($D755="","",IF($AD755=0,0,IF(COUNTIFS($D$4:$D755,$D755,$B$4:$B755,$B755)&gt;1,0,IF($B755&lt;'Guide &amp; Settings'!$C$50,0,IF(($B755-$AD755)/7-'Guide &amp; Settings'!$C$48&gt;=0,(INT(($B755-$AD755)/7-'Guide &amp; Settings'!$C$48)+1)*'Guide &amp; Settings'!$C$49,0)))))</f>
        <v>0</v>
      </c>
      <c r="AD755" s="142">
        <f t="shared" si="237"/>
        <v>46298</v>
      </c>
      <c r="AE755">
        <f t="shared" si="238"/>
        <v>1</v>
      </c>
      <c r="AF755">
        <f t="shared" si="239"/>
        <v>0</v>
      </c>
    </row>
    <row r="756" spans="1:32" x14ac:dyDescent="0.2">
      <c r="A756" s="117">
        <v>319</v>
      </c>
      <c r="B756" s="118">
        <v>46303</v>
      </c>
      <c r="C756" s="119" t="s">
        <v>45</v>
      </c>
      <c r="D756" s="119" t="s">
        <v>25</v>
      </c>
      <c r="E756" s="117" t="s">
        <v>371</v>
      </c>
      <c r="F756" s="120">
        <f t="shared" si="220"/>
        <v>2</v>
      </c>
      <c r="G756" s="121" t="str">
        <f t="shared" si="221"/>
        <v>Shawn</v>
      </c>
      <c r="H756" s="122">
        <f>IF($D756="",0,IFERROR(LOOKUP(2,1/(($D$3:D755=$D756)*($A$3:A755&lt;$A756)),$N$3:N755),'Guide &amp; Settings'!$C$41))</f>
        <v>981.21739682883947</v>
      </c>
      <c r="I756" s="123">
        <f t="shared" si="222"/>
        <v>0.92391304347826086</v>
      </c>
      <c r="J756" s="124">
        <f>IF($D756="",0,IF($F756&lt;2,0,IF($E756="Win",('Guide &amp; Settings'!$C$42/(($F756-1)*COUNTIFS($A$4:$A$1510,$A756,$E$4:$E$1510,"Win")))*SUMIFS($X$4:$X$1510,$A$4:$A$1510,$A756,$E$4:$E$1510,"Loss"),-('Guide &amp; Settings'!$C$42/($F756-1))*$X756)))</f>
        <v>-21.055903946888161</v>
      </c>
      <c r="K756" s="124">
        <f>IF($D756="",0,'Guide &amp; Settings'!$C$43*(IF($E756="Win",1,0)-$I756))</f>
        <v>-11.086956521739131</v>
      </c>
      <c r="L756" s="125">
        <f>IF($D756="",0,'Guide &amp; Settings'!$C$44*IF($F756&gt;=3,$F756,0))</f>
        <v>0</v>
      </c>
      <c r="M756" s="124">
        <f t="shared" si="223"/>
        <v>-32.142860468627291</v>
      </c>
      <c r="N756" s="122">
        <f t="shared" si="224"/>
        <v>949.07453636021216</v>
      </c>
      <c r="O756" s="121" t="str">
        <f t="shared" si="225"/>
        <v>OK</v>
      </c>
      <c r="P756">
        <f t="shared" si="226"/>
        <v>1208.4544096093366</v>
      </c>
      <c r="Q756">
        <f t="shared" si="227"/>
        <v>0.2128080731775624</v>
      </c>
      <c r="R756">
        <f t="shared" si="228"/>
        <v>0.7142857142857143</v>
      </c>
      <c r="S756">
        <f t="shared" si="229"/>
        <v>0.77310924369747902</v>
      </c>
      <c r="T756" s="89">
        <f t="shared" si="230"/>
        <v>12</v>
      </c>
      <c r="U756" s="126">
        <f>IF($D756="",0,IFERROR(LOOKUP(2,1/(($D$3:D755=$D756)*($C$3:C755=$C756)*($A$3:A755&lt;$A756)),$AB$3:AB755),1000))</f>
        <v>1070.1660779416209</v>
      </c>
      <c r="V756" s="126">
        <f t="shared" si="231"/>
        <v>1044.0047011437441</v>
      </c>
      <c r="W756">
        <f t="shared" si="232"/>
        <v>930.3271032636801</v>
      </c>
      <c r="X756">
        <f t="shared" si="233"/>
        <v>0.65799699834025505</v>
      </c>
      <c r="Y756">
        <f t="shared" si="234"/>
        <v>837.61800114846119</v>
      </c>
      <c r="Z756">
        <f t="shared" si="235"/>
        <v>0.79226856064573903</v>
      </c>
      <c r="AA756">
        <f>IF($D756="",0,IF($F756&lt;2,0,IF($E756="Win",('Guide &amp; Settings'!$C$42/(($F756-1)*COUNTIFS($A$4:$A$1510,$A756,$E$4:$E$1510,"Win")))*SUMIFS($Z$4:$Z$1510,$A$4:$A$1510,$A756,$E$4:$E$1510,"Loss"),-('Guide &amp; Settings'!$C$42/($F756-1))*$Z756)))</f>
        <v>-25.352593940663649</v>
      </c>
      <c r="AB756" s="126">
        <f t="shared" si="236"/>
        <v>1044.8134840009573</v>
      </c>
      <c r="AC756" s="126">
        <f>IF($D756="","",IF($AD756=0,0,IF(COUNTIFS($D$4:$D756,$D756,$B$4:$B756,$B756)&gt;1,0,IF($B756&lt;'Guide &amp; Settings'!$C$50,0,IF(($B756-$AD756)/7-'Guide &amp; Settings'!$C$48&gt;=0,(INT(($B756-$AD756)/7-'Guide &amp; Settings'!$C$48)+1)*'Guide &amp; Settings'!$C$49,0)))))</f>
        <v>0</v>
      </c>
      <c r="AD756" s="142">
        <f t="shared" si="237"/>
        <v>46291</v>
      </c>
      <c r="AE756">
        <f t="shared" si="238"/>
        <v>1</v>
      </c>
      <c r="AF756">
        <f t="shared" si="239"/>
        <v>0</v>
      </c>
    </row>
    <row r="757" spans="1:32" x14ac:dyDescent="0.2">
      <c r="A757" s="117">
        <v>320</v>
      </c>
      <c r="B757" s="118">
        <v>46303</v>
      </c>
      <c r="C757" s="119" t="s">
        <v>37</v>
      </c>
      <c r="D757" s="119" t="s">
        <v>19</v>
      </c>
      <c r="E757" s="117" t="s">
        <v>370</v>
      </c>
      <c r="F757" s="120">
        <f t="shared" si="220"/>
        <v>2</v>
      </c>
      <c r="G757" s="121" t="str">
        <f t="shared" si="221"/>
        <v>Josh</v>
      </c>
      <c r="H757" s="122">
        <f>IF($D757="",0,IFERROR(LOOKUP(2,1/(($D$3:D756=$D757)*($A$3:A756&lt;$A757)),$N$3:N756),'Guide &amp; Settings'!$C$41))</f>
        <v>1233.497020705217</v>
      </c>
      <c r="I757" s="123">
        <f t="shared" si="222"/>
        <v>0.52</v>
      </c>
      <c r="J757" s="124">
        <f>IF($D757="",0,IF($F757&lt;2,0,IF($E757="Win",('Guide &amp; Settings'!$C$42/(($F757-1)*COUNTIFS($A$4:$A$1510,$A757,$E$4:$E$1510,"Win")))*SUMIFS($X$4:$X$1510,$A$4:$A$1510,$A757,$E$4:$E$1510,"Loss"),-('Guide &amp; Settings'!$C$42/($F757-1))*$X757)))</f>
        <v>12.678816289448276</v>
      </c>
      <c r="K757" s="124">
        <f>IF($D757="",0,'Guide &amp; Settings'!$C$43*(IF($E757="Win",1,0)-$I757))</f>
        <v>5.76</v>
      </c>
      <c r="L757" s="125">
        <f>IF($D757="",0,'Guide &amp; Settings'!$C$44*IF($F757&gt;=3,$F757,0))</f>
        <v>0</v>
      </c>
      <c r="M757" s="124">
        <f t="shared" si="223"/>
        <v>18.438816289448276</v>
      </c>
      <c r="N757" s="122">
        <f t="shared" si="224"/>
        <v>1251.9358369946654</v>
      </c>
      <c r="O757" s="121" t="str">
        <f t="shared" si="225"/>
        <v>OK</v>
      </c>
      <c r="P757">
        <f t="shared" si="226"/>
        <v>1233.497020705217</v>
      </c>
      <c r="Q757">
        <f t="shared" si="227"/>
        <v>0.5</v>
      </c>
      <c r="R757">
        <f t="shared" si="228"/>
        <v>0.5</v>
      </c>
      <c r="S757">
        <f t="shared" si="229"/>
        <v>0.96153846153846156</v>
      </c>
      <c r="T757" s="89">
        <f t="shared" si="230"/>
        <v>4</v>
      </c>
      <c r="U757" s="126">
        <f>IF($D757="",0,IFERROR(LOOKUP(2,1/(($D$3:D756=$D757)*($C$3:C756=$C757)*($A$3:A756&lt;$A757)),$AB$3:AB756),1000))</f>
        <v>1001.4894058706261</v>
      </c>
      <c r="V757" s="126">
        <f t="shared" si="231"/>
        <v>1130.3825252231766</v>
      </c>
      <c r="W757">
        <f t="shared" si="232"/>
        <v>1130.3825252231766</v>
      </c>
      <c r="X757">
        <f t="shared" si="233"/>
        <v>0.5</v>
      </c>
      <c r="Y757">
        <f t="shared" si="234"/>
        <v>1001.4894058706261</v>
      </c>
      <c r="Z757">
        <f t="shared" si="235"/>
        <v>0.5</v>
      </c>
      <c r="AA757">
        <f>IF($D757="",0,IF($F757&lt;2,0,IF($E757="Win",('Guide &amp; Settings'!$C$42/(($F757-1)*COUNTIFS($A$4:$A$1510,$A757,$E$4:$E$1510,"Win")))*SUMIFS($Z$4:$Z$1510,$A$4:$A$1510,$A757,$E$4:$E$1510,"Loss"),-('Guide &amp; Settings'!$C$42/($F757-1))*$Z757)))</f>
        <v>15.380960705045043</v>
      </c>
      <c r="AB757" s="126">
        <f t="shared" si="236"/>
        <v>1016.8703665756711</v>
      </c>
      <c r="AC757" s="126">
        <f>IF($D757="","",IF($AD757=0,0,IF(COUNTIFS($D$4:$D757,$D757,$B$4:$B757,$B757)&gt;1,0,IF($B757&lt;'Guide &amp; Settings'!$C$50,0,IF(($B757-$AD757)/7-'Guide &amp; Settings'!$C$48&gt;=0,(INT(($B757-$AD757)/7-'Guide &amp; Settings'!$C$48)+1)*'Guide &amp; Settings'!$C$49,0)))))</f>
        <v>0</v>
      </c>
      <c r="AD757" s="142">
        <f t="shared" si="237"/>
        <v>46292</v>
      </c>
      <c r="AE757">
        <f t="shared" si="238"/>
        <v>1</v>
      </c>
      <c r="AF757">
        <f t="shared" si="239"/>
        <v>0</v>
      </c>
    </row>
    <row r="758" spans="1:32" x14ac:dyDescent="0.2">
      <c r="A758" s="117">
        <v>320</v>
      </c>
      <c r="B758" s="118">
        <v>46303</v>
      </c>
      <c r="C758" s="119" t="s">
        <v>37</v>
      </c>
      <c r="D758" s="119" t="s">
        <v>22</v>
      </c>
      <c r="E758" s="117" t="s">
        <v>371</v>
      </c>
      <c r="F758" s="120">
        <f t="shared" si="220"/>
        <v>2</v>
      </c>
      <c r="G758" s="121" t="str">
        <f t="shared" si="221"/>
        <v>Josh</v>
      </c>
      <c r="H758" s="122">
        <f>IF($D758="",0,IFERROR(LOOKUP(2,1/(($D$3:D757=$D758)*($A$3:A757&lt;$A758)),$N$3:N757),'Guide &amp; Settings'!$C$41))</f>
        <v>1209.3527190435154</v>
      </c>
      <c r="I758" s="123">
        <f t="shared" si="222"/>
        <v>0.48000000000000004</v>
      </c>
      <c r="J758" s="124">
        <f>IF($D758="",0,IF($F758&lt;2,0,IF($E758="Win",('Guide &amp; Settings'!$C$42/(($F758-1)*COUNTIFS($A$4:$A$1510,$A758,$E$4:$E$1510,"Win")))*SUMIFS($X$4:$X$1510,$A$4:$A$1510,$A758,$E$4:$E$1510,"Loss"),-('Guide &amp; Settings'!$C$42/($F758-1))*$X758)))</f>
        <v>-12.678816289448276</v>
      </c>
      <c r="K758" s="124">
        <f>IF($D758="",0,'Guide &amp; Settings'!$C$43*(IF($E758="Win",1,0)-$I758))</f>
        <v>-5.7600000000000007</v>
      </c>
      <c r="L758" s="125">
        <f>IF($D758="",0,'Guide &amp; Settings'!$C$44*IF($F758&gt;=3,$F758,0))</f>
        <v>0</v>
      </c>
      <c r="M758" s="124">
        <f t="shared" si="223"/>
        <v>-18.438816289448276</v>
      </c>
      <c r="N758" s="122">
        <f t="shared" si="224"/>
        <v>1190.9139027540671</v>
      </c>
      <c r="O758" s="121" t="str">
        <f t="shared" si="225"/>
        <v>OK</v>
      </c>
      <c r="P758">
        <f t="shared" si="226"/>
        <v>1233.497020705217</v>
      </c>
      <c r="Q758">
        <f t="shared" si="227"/>
        <v>0.46530938220223139</v>
      </c>
      <c r="R758">
        <f t="shared" si="228"/>
        <v>0.46153846153846156</v>
      </c>
      <c r="S758">
        <f t="shared" si="229"/>
        <v>0.96153846153846156</v>
      </c>
      <c r="T758" s="89">
        <f t="shared" si="230"/>
        <v>11</v>
      </c>
      <c r="U758" s="126">
        <f>IF($D758="",0,IFERROR(LOOKUP(2,1/(($D$3:D757=$D758)*($C$3:C757=$C758)*($A$3:A757&lt;$A758)),$AB$3:AB757),1000))</f>
        <v>988.04042504575511</v>
      </c>
      <c r="V758" s="126">
        <f t="shared" si="231"/>
        <v>1057.2005169200552</v>
      </c>
      <c r="W758">
        <f t="shared" si="232"/>
        <v>1130.3825252231766</v>
      </c>
      <c r="X758">
        <f t="shared" si="233"/>
        <v>0.39621300904525864</v>
      </c>
      <c r="Y758">
        <f t="shared" si="234"/>
        <v>1001.4894058706261</v>
      </c>
      <c r="Z758">
        <f t="shared" si="235"/>
        <v>0.48065502203265759</v>
      </c>
      <c r="AA758">
        <f>IF($D758="",0,IF($F758&lt;2,0,IF($E758="Win",('Guide &amp; Settings'!$C$42/(($F758-1)*COUNTIFS($A$4:$A$1510,$A758,$E$4:$E$1510,"Win")))*SUMIFS($Z$4:$Z$1510,$A$4:$A$1510,$A758,$E$4:$E$1510,"Loss"),-('Guide &amp; Settings'!$C$42/($F758-1))*$Z758)))</f>
        <v>-15.380960705045043</v>
      </c>
      <c r="AB758" s="126">
        <f t="shared" si="236"/>
        <v>972.65946434071009</v>
      </c>
      <c r="AC758" s="126">
        <f>IF($D758="","",IF($AD758=0,0,IF(COUNTIFS($D$4:$D758,$D758,$B$4:$B758,$B758)&gt;1,0,IF($B758&lt;'Guide &amp; Settings'!$C$50,0,IF(($B758-$AD758)/7-'Guide &amp; Settings'!$C$48&gt;=0,(INT(($B758-$AD758)/7-'Guide &amp; Settings'!$C$48)+1)*'Guide &amp; Settings'!$C$49,0)))))</f>
        <v>0</v>
      </c>
      <c r="AD758" s="142">
        <f t="shared" si="237"/>
        <v>46298</v>
      </c>
      <c r="AE758">
        <f t="shared" si="238"/>
        <v>1</v>
      </c>
      <c r="AF758">
        <f t="shared" si="239"/>
        <v>0</v>
      </c>
    </row>
    <row r="759" spans="1:32" x14ac:dyDescent="0.2">
      <c r="A759" s="117">
        <v>321</v>
      </c>
      <c r="B759" s="118">
        <v>46319</v>
      </c>
      <c r="C759" s="119" t="s">
        <v>34</v>
      </c>
      <c r="D759" s="119" t="s">
        <v>21</v>
      </c>
      <c r="E759" s="117" t="s">
        <v>371</v>
      </c>
      <c r="F759" s="120">
        <f t="shared" si="220"/>
        <v>2</v>
      </c>
      <c r="G759" s="121" t="str">
        <f t="shared" si="221"/>
        <v>Oscar</v>
      </c>
      <c r="H759" s="122">
        <f>IF($D759="",0,IFERROR(LOOKUP(2,1/(($D$3:D758=$D759)*($A$3:A758&lt;$A759)),$N$3:N758),'Guide &amp; Settings'!$C$41))</f>
        <v>1215.996181687143</v>
      </c>
      <c r="I759" s="123">
        <f t="shared" si="222"/>
        <v>0.33333333333333331</v>
      </c>
      <c r="J759" s="124">
        <f>IF($D759="",0,IF($F759&lt;2,0,IF($E759="Win",('Guide &amp; Settings'!$C$42/(($F759-1)*COUNTIFS($A$4:$A$1510,$A759,$E$4:$E$1510,"Win")))*SUMIFS($X$4:$X$1510,$A$4:$A$1510,$A759,$E$4:$E$1510,"Loss"),-('Guide &amp; Settings'!$C$42/($F759-1))*$X759)))</f>
        <v>-22.814989876150666</v>
      </c>
      <c r="K759" s="124">
        <f>IF($D759="",0,'Guide &amp; Settings'!$C$43*(IF($E759="Win",1,0)-$I759))</f>
        <v>-4</v>
      </c>
      <c r="L759" s="125">
        <f>IF($D759="",0,'Guide &amp; Settings'!$C$44*IF($F759&gt;=3,$F759,0))</f>
        <v>0</v>
      </c>
      <c r="M759" s="124">
        <f t="shared" si="223"/>
        <v>-26.814989876150666</v>
      </c>
      <c r="N759" s="122">
        <f t="shared" si="224"/>
        <v>1189.1811918109922</v>
      </c>
      <c r="O759" s="121" t="str">
        <f t="shared" si="225"/>
        <v>OK</v>
      </c>
      <c r="P759">
        <f t="shared" si="226"/>
        <v>949.07453636021216</v>
      </c>
      <c r="Q759">
        <f t="shared" si="227"/>
        <v>0.82295892223975453</v>
      </c>
      <c r="R759">
        <f t="shared" si="228"/>
        <v>0.2</v>
      </c>
      <c r="S759">
        <f t="shared" si="229"/>
        <v>0.60000000000000009</v>
      </c>
      <c r="T759" s="89">
        <f t="shared" si="230"/>
        <v>3</v>
      </c>
      <c r="U759" s="126">
        <f>IF($D759="",0,IFERROR(LOOKUP(2,1/(($D$3:D758=$D759)*($C$3:C758=$C759)*($A$3:A758&lt;$A759)),$AB$3:AB758),1000))</f>
        <v>984.18398397467593</v>
      </c>
      <c r="V759" s="126">
        <f t="shared" si="231"/>
        <v>1129.0666075449678</v>
      </c>
      <c r="W759">
        <f t="shared" si="232"/>
        <v>971.01035111751526</v>
      </c>
      <c r="X759">
        <f t="shared" si="233"/>
        <v>0.7129684336297083</v>
      </c>
      <c r="Y759">
        <f t="shared" si="234"/>
        <v>1007.570042379687</v>
      </c>
      <c r="Z759">
        <f t="shared" si="235"/>
        <v>0.46639549192708279</v>
      </c>
      <c r="AA759">
        <f>IF($D759="",0,IF($F759&lt;2,0,IF($E759="Win",('Guide &amp; Settings'!$C$42/(($F759-1)*COUNTIFS($A$4:$A$1510,$A759,$E$4:$E$1510,"Win")))*SUMIFS($Z$4:$Z$1510,$A$4:$A$1510,$A759,$E$4:$E$1510,"Loss"),-('Guide &amp; Settings'!$C$42/($F759-1))*$Z759)))</f>
        <v>-14.924655741666649</v>
      </c>
      <c r="AB759" s="126">
        <f t="shared" si="236"/>
        <v>969.25932823300923</v>
      </c>
      <c r="AC759" s="126">
        <f>IF($D759="","",IF($AD759=0,0,IF(COUNTIFS($D$4:$D759,$D759,$B$4:$B759,$B759)&gt;1,0,IF($B759&lt;'Guide &amp; Settings'!$C$50,0,IF(($B759-$AD759)/7-'Guide &amp; Settings'!$C$48&gt;=0,(INT(($B759-$AD759)/7-'Guide &amp; Settings'!$C$48)+1)*'Guide &amp; Settings'!$C$49,0)))))</f>
        <v>30</v>
      </c>
      <c r="AD759" s="142">
        <f t="shared" si="237"/>
        <v>46271</v>
      </c>
      <c r="AE759">
        <f t="shared" si="238"/>
        <v>1</v>
      </c>
      <c r="AF759">
        <f t="shared" si="239"/>
        <v>0</v>
      </c>
    </row>
    <row r="760" spans="1:32" x14ac:dyDescent="0.2">
      <c r="A760" s="117">
        <v>321</v>
      </c>
      <c r="B760" s="118">
        <v>46319</v>
      </c>
      <c r="C760" s="119" t="s">
        <v>34</v>
      </c>
      <c r="D760" s="119" t="s">
        <v>25</v>
      </c>
      <c r="E760" s="117" t="s">
        <v>370</v>
      </c>
      <c r="F760" s="120">
        <f t="shared" si="220"/>
        <v>2</v>
      </c>
      <c r="G760" s="121" t="str">
        <f t="shared" si="221"/>
        <v>Oscar</v>
      </c>
      <c r="H760" s="122">
        <f>IF($D760="",0,IFERROR(LOOKUP(2,1/(($D$3:D759=$D760)*($A$3:A759&lt;$A760)),$N$3:N759),'Guide &amp; Settings'!$C$41))</f>
        <v>949.07453636021216</v>
      </c>
      <c r="I760" s="123">
        <f t="shared" si="222"/>
        <v>0.66666666666666663</v>
      </c>
      <c r="J760" s="124">
        <f>IF($D760="",0,IF($F760&lt;2,0,IF($E760="Win",('Guide &amp; Settings'!$C$42/(($F760-1)*COUNTIFS($A$4:$A$1510,$A760,$E$4:$E$1510,"Win")))*SUMIFS($X$4:$X$1510,$A$4:$A$1510,$A760,$E$4:$E$1510,"Loss"),-('Guide &amp; Settings'!$C$42/($F760-1))*$X760)))</f>
        <v>22.814989876150666</v>
      </c>
      <c r="K760" s="124">
        <f>IF($D760="",0,'Guide &amp; Settings'!$C$43*(IF($E760="Win",1,0)-$I760))</f>
        <v>4</v>
      </c>
      <c r="L760" s="125">
        <f>IF($D760="",0,'Guide &amp; Settings'!$C$44*IF($F760&gt;=3,$F760,0))</f>
        <v>0</v>
      </c>
      <c r="M760" s="124">
        <f t="shared" si="223"/>
        <v>26.814989876150666</v>
      </c>
      <c r="N760" s="122">
        <f t="shared" si="224"/>
        <v>975.88952623636283</v>
      </c>
      <c r="O760" s="121" t="str">
        <f t="shared" si="225"/>
        <v>OK</v>
      </c>
      <c r="P760">
        <f t="shared" si="226"/>
        <v>949.07453636021216</v>
      </c>
      <c r="Q760">
        <f t="shared" si="227"/>
        <v>0.5</v>
      </c>
      <c r="R760">
        <f t="shared" si="228"/>
        <v>0.4</v>
      </c>
      <c r="S760">
        <f t="shared" si="229"/>
        <v>0.60000000000000009</v>
      </c>
      <c r="T760" s="89">
        <f t="shared" si="230"/>
        <v>3</v>
      </c>
      <c r="U760" s="126">
        <f>IF($D760="",0,IFERROR(LOOKUP(2,1/(($D$3:D759=$D760)*($C$3:C759=$C760)*($A$3:A759&lt;$A760)),$AB$3:AB759),1000))</f>
        <v>1007.570042379687</v>
      </c>
      <c r="V760" s="126">
        <f t="shared" si="231"/>
        <v>971.01035111751526</v>
      </c>
      <c r="W760">
        <f t="shared" si="232"/>
        <v>971.01035111751526</v>
      </c>
      <c r="X760">
        <f t="shared" si="233"/>
        <v>0.5</v>
      </c>
      <c r="Y760">
        <f t="shared" si="234"/>
        <v>1007.570042379687</v>
      </c>
      <c r="Z760">
        <f t="shared" si="235"/>
        <v>0.5</v>
      </c>
      <c r="AA760">
        <f>IF($D760="",0,IF($F760&lt;2,0,IF($E760="Win",('Guide &amp; Settings'!$C$42/(($F760-1)*COUNTIFS($A$4:$A$1510,$A760,$E$4:$E$1510,"Win")))*SUMIFS($Z$4:$Z$1510,$A$4:$A$1510,$A760,$E$4:$E$1510,"Loss"),-('Guide &amp; Settings'!$C$42/($F760-1))*$Z760)))</f>
        <v>14.924655741666649</v>
      </c>
      <c r="AB760" s="126">
        <f t="shared" si="236"/>
        <v>1022.4946981213537</v>
      </c>
      <c r="AC760" s="126">
        <f>IF($D760="","",IF($AD760=0,0,IF(COUNTIFS($D$4:$D760,$D760,$B$4:$B760,$B760)&gt;1,0,IF($B760&lt;'Guide &amp; Settings'!$C$50,0,IF(($B760-$AD760)/7-'Guide &amp; Settings'!$C$48&gt;=0,(INT(($B760-$AD760)/7-'Guide &amp; Settings'!$C$48)+1)*'Guide &amp; Settings'!$C$49,0)))))</f>
        <v>0</v>
      </c>
      <c r="AD760" s="142">
        <f t="shared" si="237"/>
        <v>46303</v>
      </c>
      <c r="AE760">
        <f t="shared" si="238"/>
        <v>1</v>
      </c>
      <c r="AF760">
        <f t="shared" si="239"/>
        <v>0</v>
      </c>
    </row>
    <row r="761" spans="1:32" x14ac:dyDescent="0.2">
      <c r="A761" s="117">
        <v>322</v>
      </c>
      <c r="B761" s="118">
        <v>46319</v>
      </c>
      <c r="C761" s="119" t="s">
        <v>34</v>
      </c>
      <c r="D761" s="119" t="s">
        <v>21</v>
      </c>
      <c r="E761" s="117" t="s">
        <v>370</v>
      </c>
      <c r="F761" s="120">
        <f t="shared" si="220"/>
        <v>2</v>
      </c>
      <c r="G761" s="121" t="str">
        <f t="shared" si="221"/>
        <v>Simon</v>
      </c>
      <c r="H761" s="122">
        <f>IF($D761="",0,IFERROR(LOOKUP(2,1/(($D$3:D760=$D761)*($A$3:A760&lt;$A761)),$N$3:N760),'Guide &amp; Settings'!$C$41))</f>
        <v>1189.1811918109922</v>
      </c>
      <c r="I761" s="123">
        <f t="shared" si="222"/>
        <v>0.25</v>
      </c>
      <c r="J761" s="124">
        <f>IF($D761="",0,IF($F761&lt;2,0,IF($E761="Win",('Guide &amp; Settings'!$C$42/(($F761-1)*COUNTIFS($A$4:$A$1510,$A761,$E$4:$E$1510,"Win")))*SUMIFS($X$4:$X$1510,$A$4:$A$1510,$A761,$E$4:$E$1510,"Loss"),-('Guide &amp; Settings'!$C$42/($F761-1))*$X761)))</f>
        <v>11.738003292993543</v>
      </c>
      <c r="K761" s="124">
        <f>IF($D761="",0,'Guide &amp; Settings'!$C$43*(IF($E761="Win",1,0)-$I761))</f>
        <v>9</v>
      </c>
      <c r="L761" s="125">
        <f>IF($D761="",0,'Guide &amp; Settings'!$C$44*IF($F761&gt;=3,$F761,0))</f>
        <v>0</v>
      </c>
      <c r="M761" s="124">
        <f t="shared" si="223"/>
        <v>20.738003292993543</v>
      </c>
      <c r="N761" s="122">
        <f t="shared" si="224"/>
        <v>1209.9191951039859</v>
      </c>
      <c r="O761" s="121" t="str">
        <f t="shared" si="225"/>
        <v>OK</v>
      </c>
      <c r="P761">
        <f t="shared" si="226"/>
        <v>1189.1811918109922</v>
      </c>
      <c r="Q761">
        <f t="shared" si="227"/>
        <v>0.5</v>
      </c>
      <c r="R761">
        <f t="shared" si="228"/>
        <v>0.16666666666666666</v>
      </c>
      <c r="S761">
        <f t="shared" si="229"/>
        <v>0.66666666666666663</v>
      </c>
      <c r="T761" s="89">
        <f t="shared" si="230"/>
        <v>4</v>
      </c>
      <c r="U761" s="126">
        <f>IF($D761="",0,IFERROR(LOOKUP(2,1/(($D$3:D760=$D761)*($C$3:C760=$C761)*($A$3:A760&lt;$A761)),$AB$3:AB760),1000))</f>
        <v>969.25932823300923</v>
      </c>
      <c r="V761" s="126">
        <f t="shared" si="231"/>
        <v>1091.4381413318886</v>
      </c>
      <c r="W761">
        <f t="shared" si="232"/>
        <v>1091.4381413318886</v>
      </c>
      <c r="X761">
        <f t="shared" si="233"/>
        <v>0.5</v>
      </c>
      <c r="Y761">
        <f t="shared" si="234"/>
        <v>969.25932823300923</v>
      </c>
      <c r="Z761">
        <f t="shared" si="235"/>
        <v>0.5</v>
      </c>
      <c r="AA761">
        <f>IF($D761="",0,IF($F761&lt;2,0,IF($E761="Win",('Guide &amp; Settings'!$C$42/(($F761-1)*COUNTIFS($A$4:$A$1510,$A761,$E$4:$E$1510,"Win")))*SUMIFS($Z$4:$Z$1510,$A$4:$A$1510,$A761,$E$4:$E$1510,"Loss"),-('Guide &amp; Settings'!$C$42/($F761-1))*$Z761)))</f>
        <v>18.43257220269383</v>
      </c>
      <c r="AB761" s="126">
        <f t="shared" si="236"/>
        <v>987.69190043570302</v>
      </c>
      <c r="AC761" s="126">
        <f>IF($D761="","",IF($AD761=0,0,IF(COUNTIFS($D$4:$D761,$D761,$B$4:$B761,$B761)&gt;1,0,IF($B761&lt;'Guide &amp; Settings'!$C$50,0,IF(($B761-$AD761)/7-'Guide &amp; Settings'!$C$48&gt;=0,(INT(($B761-$AD761)/7-'Guide &amp; Settings'!$C$48)+1)*'Guide &amp; Settings'!$C$49,0)))))</f>
        <v>0</v>
      </c>
      <c r="AD761" s="142">
        <f t="shared" si="237"/>
        <v>46271</v>
      </c>
      <c r="AE761">
        <f t="shared" si="238"/>
        <v>1</v>
      </c>
      <c r="AF761">
        <f t="shared" si="239"/>
        <v>0</v>
      </c>
    </row>
    <row r="762" spans="1:32" x14ac:dyDescent="0.2">
      <c r="A762" s="117">
        <v>322</v>
      </c>
      <c r="B762" s="118">
        <v>46319</v>
      </c>
      <c r="C762" s="119" t="s">
        <v>34</v>
      </c>
      <c r="D762" s="119" t="s">
        <v>25</v>
      </c>
      <c r="E762" s="117" t="s">
        <v>371</v>
      </c>
      <c r="F762" s="120">
        <f t="shared" si="220"/>
        <v>2</v>
      </c>
      <c r="G762" s="121" t="str">
        <f t="shared" si="221"/>
        <v>Simon</v>
      </c>
      <c r="H762" s="122">
        <f>IF($D762="",0,IFERROR(LOOKUP(2,1/(($D$3:D761=$D762)*($A$3:A761&lt;$A762)),$N$3:N761),'Guide &amp; Settings'!$C$41))</f>
        <v>975.88952623636283</v>
      </c>
      <c r="I762" s="123">
        <f t="shared" si="222"/>
        <v>0.75</v>
      </c>
      <c r="J762" s="124">
        <f>IF($D762="",0,IF($F762&lt;2,0,IF($E762="Win",('Guide &amp; Settings'!$C$42/(($F762-1)*COUNTIFS($A$4:$A$1510,$A762,$E$4:$E$1510,"Win")))*SUMIFS($X$4:$X$1510,$A$4:$A$1510,$A762,$E$4:$E$1510,"Loss"),-('Guide &amp; Settings'!$C$42/($F762-1))*$X762)))</f>
        <v>-11.738003292993543</v>
      </c>
      <c r="K762" s="124">
        <f>IF($D762="",0,'Guide &amp; Settings'!$C$43*(IF($E762="Win",1,0)-$I762))</f>
        <v>-9</v>
      </c>
      <c r="L762" s="125">
        <f>IF($D762="",0,'Guide &amp; Settings'!$C$44*IF($F762&gt;=3,$F762,0))</f>
        <v>0</v>
      </c>
      <c r="M762" s="124">
        <f t="shared" si="223"/>
        <v>-20.738003292993543</v>
      </c>
      <c r="N762" s="122">
        <f t="shared" si="224"/>
        <v>955.15152294336929</v>
      </c>
      <c r="O762" s="121" t="str">
        <f t="shared" si="225"/>
        <v>OK</v>
      </c>
      <c r="P762">
        <f t="shared" si="226"/>
        <v>1189.1811918109922</v>
      </c>
      <c r="Q762">
        <f t="shared" si="227"/>
        <v>0.22656574112692776</v>
      </c>
      <c r="R762">
        <f t="shared" si="228"/>
        <v>0.5</v>
      </c>
      <c r="S762">
        <f t="shared" si="229"/>
        <v>0.66666666666666663</v>
      </c>
      <c r="T762" s="89">
        <f t="shared" si="230"/>
        <v>4</v>
      </c>
      <c r="U762" s="126">
        <f>IF($D762="",0,IFERROR(LOOKUP(2,1/(($D$3:D761=$D762)*($C$3:C761=$C762)*($A$3:A761&lt;$A762)),$AB$3:AB761),1000))</f>
        <v>1022.4946981213537</v>
      </c>
      <c r="V762" s="126">
        <f t="shared" si="231"/>
        <v>996.60293596302552</v>
      </c>
      <c r="W762">
        <f t="shared" si="232"/>
        <v>1091.4381413318886</v>
      </c>
      <c r="X762">
        <f t="shared" si="233"/>
        <v>0.36681260290604822</v>
      </c>
      <c r="Y762">
        <f t="shared" si="234"/>
        <v>969.25932823300923</v>
      </c>
      <c r="Z762">
        <f t="shared" si="235"/>
        <v>0.57601788133418219</v>
      </c>
      <c r="AA762">
        <f>IF($D762="",0,IF($F762&lt;2,0,IF($E762="Win",('Guide &amp; Settings'!$C$42/(($F762-1)*COUNTIFS($A$4:$A$1510,$A762,$E$4:$E$1510,"Win")))*SUMIFS($Z$4:$Z$1510,$A$4:$A$1510,$A762,$E$4:$E$1510,"Loss"),-('Guide &amp; Settings'!$C$42/($F762-1))*$Z762)))</f>
        <v>-18.43257220269383</v>
      </c>
      <c r="AB762" s="126">
        <f t="shared" si="236"/>
        <v>1004.0621259186599</v>
      </c>
      <c r="AC762" s="126">
        <f>IF($D762="","",IF($AD762=0,0,IF(COUNTIFS($D$4:$D762,$D762,$B$4:$B762,$B762)&gt;1,0,IF($B762&lt;'Guide &amp; Settings'!$C$50,0,IF(($B762-$AD762)/7-'Guide &amp; Settings'!$C$48&gt;=0,(INT(($B762-$AD762)/7-'Guide &amp; Settings'!$C$48)+1)*'Guide &amp; Settings'!$C$49,0)))))</f>
        <v>0</v>
      </c>
      <c r="AD762" s="142">
        <f t="shared" si="237"/>
        <v>46303</v>
      </c>
      <c r="AE762">
        <f t="shared" si="238"/>
        <v>1</v>
      </c>
      <c r="AF762">
        <f t="shared" si="239"/>
        <v>0</v>
      </c>
    </row>
    <row r="763" spans="1:32" x14ac:dyDescent="0.2">
      <c r="A763" s="117">
        <v>323</v>
      </c>
      <c r="B763" s="118">
        <v>46319</v>
      </c>
      <c r="C763" s="119" t="s">
        <v>34</v>
      </c>
      <c r="D763" s="119" t="s">
        <v>21</v>
      </c>
      <c r="E763" s="117" t="s">
        <v>371</v>
      </c>
      <c r="F763" s="120">
        <f t="shared" si="220"/>
        <v>2</v>
      </c>
      <c r="G763" s="121" t="str">
        <f t="shared" si="221"/>
        <v>Oscar</v>
      </c>
      <c r="H763" s="122">
        <f>IF($D763="",0,IFERROR(LOOKUP(2,1/(($D$3:D762=$D763)*($A$3:A762&lt;$A763)),$N$3:N762),'Guide &amp; Settings'!$C$41))</f>
        <v>1209.9191951039859</v>
      </c>
      <c r="I763" s="123">
        <f t="shared" si="222"/>
        <v>0.4</v>
      </c>
      <c r="J763" s="124">
        <f>IF($D763="",0,IF($F763&lt;2,0,IF($E763="Win",('Guide &amp; Settings'!$C$42/(($F763-1)*COUNTIFS($A$4:$A$1510,$A763,$E$4:$E$1510,"Win")))*SUMIFS($X$4:$X$1510,$A$4:$A$1510,$A763,$E$4:$E$1510,"Loss"),-('Guide &amp; Settings'!$C$42/($F763-1))*$X763)))</f>
        <v>-21.283610434170811</v>
      </c>
      <c r="K763" s="124">
        <f>IF($D763="",0,'Guide &amp; Settings'!$C$43*(IF($E763="Win",1,0)-$I763))</f>
        <v>-4.8000000000000007</v>
      </c>
      <c r="L763" s="125">
        <f>IF($D763="",0,'Guide &amp; Settings'!$C$44*IF($F763&gt;=3,$F763,0))</f>
        <v>0</v>
      </c>
      <c r="M763" s="124">
        <f t="shared" si="223"/>
        <v>-26.083610434170811</v>
      </c>
      <c r="N763" s="122">
        <f t="shared" si="224"/>
        <v>1183.835584669815</v>
      </c>
      <c r="O763" s="121" t="str">
        <f t="shared" si="225"/>
        <v>OK</v>
      </c>
      <c r="P763">
        <f t="shared" si="226"/>
        <v>955.15152294336929</v>
      </c>
      <c r="Q763">
        <f t="shared" si="227"/>
        <v>0.81253405276246937</v>
      </c>
      <c r="R763">
        <f t="shared" si="228"/>
        <v>0.2857142857142857</v>
      </c>
      <c r="S763">
        <f t="shared" si="229"/>
        <v>0.71428571428571419</v>
      </c>
      <c r="T763" s="89">
        <f t="shared" si="230"/>
        <v>5</v>
      </c>
      <c r="U763" s="126">
        <f>IF($D763="",0,IFERROR(LOOKUP(2,1/(($D$3:D762=$D763)*($C$3:C762=$C763)*($A$3:A762&lt;$A763)),$AB$3:AB762),1000))</f>
        <v>987.69190043570302</v>
      </c>
      <c r="V763" s="126">
        <f t="shared" si="231"/>
        <v>1098.8055477698445</v>
      </c>
      <c r="W763">
        <f t="shared" si="232"/>
        <v>979.60682443101462</v>
      </c>
      <c r="X763">
        <f t="shared" si="233"/>
        <v>0.66511282606783784</v>
      </c>
      <c r="Y763">
        <f t="shared" si="234"/>
        <v>1004.0621259186599</v>
      </c>
      <c r="Z763">
        <f t="shared" si="235"/>
        <v>0.47645877001459574</v>
      </c>
      <c r="AA763">
        <f>IF($D763="",0,IF($F763&lt;2,0,IF($E763="Win",('Guide &amp; Settings'!$C$42/(($F763-1)*COUNTIFS($A$4:$A$1510,$A763,$E$4:$E$1510,"Win")))*SUMIFS($Z$4:$Z$1510,$A$4:$A$1510,$A763,$E$4:$E$1510,"Loss"),-('Guide &amp; Settings'!$C$42/($F763-1))*$Z763)))</f>
        <v>-15.246680640467064</v>
      </c>
      <c r="AB763" s="126">
        <f t="shared" si="236"/>
        <v>972.44521979523597</v>
      </c>
      <c r="AC763" s="126">
        <f>IF($D763="","",IF($AD763=0,0,IF(COUNTIFS($D$4:$D763,$D763,$B$4:$B763,$B763)&gt;1,0,IF($B763&lt;'Guide &amp; Settings'!$C$50,0,IF(($B763-$AD763)/7-'Guide &amp; Settings'!$C$48&gt;=0,(INT(($B763-$AD763)/7-'Guide &amp; Settings'!$C$48)+1)*'Guide &amp; Settings'!$C$49,0)))))</f>
        <v>0</v>
      </c>
      <c r="AD763" s="142">
        <f t="shared" si="237"/>
        <v>46271</v>
      </c>
      <c r="AE763">
        <f t="shared" si="238"/>
        <v>1</v>
      </c>
      <c r="AF763">
        <f t="shared" si="239"/>
        <v>0</v>
      </c>
    </row>
    <row r="764" spans="1:32" x14ac:dyDescent="0.2">
      <c r="A764" s="117">
        <v>323</v>
      </c>
      <c r="B764" s="118">
        <v>46319</v>
      </c>
      <c r="C764" s="119" t="s">
        <v>34</v>
      </c>
      <c r="D764" s="119" t="s">
        <v>25</v>
      </c>
      <c r="E764" s="117" t="s">
        <v>370</v>
      </c>
      <c r="F764" s="120">
        <f t="shared" si="220"/>
        <v>2</v>
      </c>
      <c r="G764" s="121" t="str">
        <f t="shared" si="221"/>
        <v>Oscar</v>
      </c>
      <c r="H764" s="122">
        <f>IF($D764="",0,IFERROR(LOOKUP(2,1/(($D$3:D763=$D764)*($A$3:A763&lt;$A764)),$N$3:N763),'Guide &amp; Settings'!$C$41))</f>
        <v>955.15152294336929</v>
      </c>
      <c r="I764" s="123">
        <f t="shared" si="222"/>
        <v>0.60000000000000009</v>
      </c>
      <c r="J764" s="124">
        <f>IF($D764="",0,IF($F764&lt;2,0,IF($E764="Win",('Guide &amp; Settings'!$C$42/(($F764-1)*COUNTIFS($A$4:$A$1510,$A764,$E$4:$E$1510,"Win")))*SUMIFS($X$4:$X$1510,$A$4:$A$1510,$A764,$E$4:$E$1510,"Loss"),-('Guide &amp; Settings'!$C$42/($F764-1))*$X764)))</f>
        <v>21.283610434170811</v>
      </c>
      <c r="K764" s="124">
        <f>IF($D764="",0,'Guide &amp; Settings'!$C$43*(IF($E764="Win",1,0)-$I764))</f>
        <v>4.7999999999999989</v>
      </c>
      <c r="L764" s="125">
        <f>IF($D764="",0,'Guide &amp; Settings'!$C$44*IF($F764&gt;=3,$F764,0))</f>
        <v>0</v>
      </c>
      <c r="M764" s="124">
        <f t="shared" si="223"/>
        <v>26.083610434170808</v>
      </c>
      <c r="N764" s="122">
        <f t="shared" si="224"/>
        <v>981.23513337754014</v>
      </c>
      <c r="O764" s="121" t="str">
        <f t="shared" si="225"/>
        <v>OK</v>
      </c>
      <c r="P764">
        <f t="shared" si="226"/>
        <v>955.15152294336929</v>
      </c>
      <c r="Q764">
        <f t="shared" si="227"/>
        <v>0.5</v>
      </c>
      <c r="R764">
        <f t="shared" si="228"/>
        <v>0.42857142857142855</v>
      </c>
      <c r="S764">
        <f t="shared" si="229"/>
        <v>0.71428571428571419</v>
      </c>
      <c r="T764" s="89">
        <f t="shared" si="230"/>
        <v>5</v>
      </c>
      <c r="U764" s="126">
        <f>IF($D764="",0,IFERROR(LOOKUP(2,1/(($D$3:D763=$D764)*($C$3:C763=$C764)*($A$3:A763&lt;$A764)),$AB$3:AB763),1000))</f>
        <v>1004.0621259186599</v>
      </c>
      <c r="V764" s="126">
        <f t="shared" si="231"/>
        <v>979.60682443101462</v>
      </c>
      <c r="W764">
        <f t="shared" si="232"/>
        <v>979.60682443101462</v>
      </c>
      <c r="X764">
        <f t="shared" si="233"/>
        <v>0.5</v>
      </c>
      <c r="Y764">
        <f t="shared" si="234"/>
        <v>1004.0621259186599</v>
      </c>
      <c r="Z764">
        <f t="shared" si="235"/>
        <v>0.5</v>
      </c>
      <c r="AA764">
        <f>IF($D764="",0,IF($F764&lt;2,0,IF($E764="Win",('Guide &amp; Settings'!$C$42/(($F764-1)*COUNTIFS($A$4:$A$1510,$A764,$E$4:$E$1510,"Win")))*SUMIFS($Z$4:$Z$1510,$A$4:$A$1510,$A764,$E$4:$E$1510,"Loss"),-('Guide &amp; Settings'!$C$42/($F764-1))*$Z764)))</f>
        <v>15.246680640467064</v>
      </c>
      <c r="AB764" s="126">
        <f t="shared" si="236"/>
        <v>1019.308806559127</v>
      </c>
      <c r="AC764" s="126">
        <f>IF($D764="","",IF($AD764=0,0,IF(COUNTIFS($D$4:$D764,$D764,$B$4:$B764,$B764)&gt;1,0,IF($B764&lt;'Guide &amp; Settings'!$C$50,0,IF(($B764-$AD764)/7-'Guide &amp; Settings'!$C$48&gt;=0,(INT(($B764-$AD764)/7-'Guide &amp; Settings'!$C$48)+1)*'Guide &amp; Settings'!$C$49,0)))))</f>
        <v>0</v>
      </c>
      <c r="AD764" s="142">
        <f t="shared" si="237"/>
        <v>46303</v>
      </c>
      <c r="AE764">
        <f t="shared" si="238"/>
        <v>1</v>
      </c>
      <c r="AF764">
        <f t="shared" si="239"/>
        <v>0</v>
      </c>
    </row>
    <row r="765" spans="1:32" x14ac:dyDescent="0.2">
      <c r="A765" s="117">
        <v>324</v>
      </c>
      <c r="B765" s="118">
        <v>46319</v>
      </c>
      <c r="C765" s="119" t="s">
        <v>34</v>
      </c>
      <c r="D765" s="119" t="s">
        <v>21</v>
      </c>
      <c r="E765" s="117" t="s">
        <v>370</v>
      </c>
      <c r="F765" s="120">
        <f t="shared" si="220"/>
        <v>3</v>
      </c>
      <c r="G765" s="121" t="str">
        <f t="shared" si="221"/>
        <v>Simon</v>
      </c>
      <c r="H765" s="122">
        <f>IF($D765="",0,IFERROR(LOOKUP(2,1/(($D$3:D764=$D765)*($A$3:A764&lt;$A765)),$N$3:N764),'Guide &amp; Settings'!$C$41))</f>
        <v>1183.835584669815</v>
      </c>
      <c r="I765" s="123">
        <f t="shared" si="222"/>
        <v>0.23076923076923078</v>
      </c>
      <c r="J765" s="124">
        <f>IF($D765="",0,IF($F765&lt;2,0,IF($E765="Win",('Guide &amp; Settings'!$C$42/(($F765-1)*COUNTIFS($A$4:$A$1510,$A765,$E$4:$E$1510,"Win")))*SUMIFS($X$4:$X$1510,$A$4:$A$1510,$A765,$E$4:$E$1510,"Loss"),-('Guide &amp; Settings'!$C$42/($F765-1))*$X765)))</f>
        <v>14.478195384343579</v>
      </c>
      <c r="K765" s="124">
        <f>IF($D765="",0,'Guide &amp; Settings'!$C$43*(IF($E765="Win",1,0)-$I765))</f>
        <v>9.2307692307692299</v>
      </c>
      <c r="L765" s="125">
        <f>IF($D765="",0,'Guide &amp; Settings'!$C$44*IF($F765&gt;=3,$F765,0))</f>
        <v>3</v>
      </c>
      <c r="M765" s="124">
        <f t="shared" si="223"/>
        <v>26.708964615112809</v>
      </c>
      <c r="N765" s="122">
        <f t="shared" si="224"/>
        <v>1210.5445492849278</v>
      </c>
      <c r="O765" s="121" t="str">
        <f t="shared" si="225"/>
        <v>OK</v>
      </c>
      <c r="P765">
        <f t="shared" si="226"/>
        <v>1183.835584669815</v>
      </c>
      <c r="Q765">
        <f t="shared" si="227"/>
        <v>0.5</v>
      </c>
      <c r="R765">
        <f t="shared" si="228"/>
        <v>0.25</v>
      </c>
      <c r="S765">
        <f t="shared" si="229"/>
        <v>1.0833333333333333</v>
      </c>
      <c r="T765" s="89">
        <f t="shared" si="230"/>
        <v>6</v>
      </c>
      <c r="U765" s="126">
        <f>IF($D765="",0,IFERROR(LOOKUP(2,1/(($D$3:D764=$D765)*($C$3:C764=$C765)*($A$3:A764&lt;$A765)),$AB$3:AB764),1000))</f>
        <v>972.44521979523597</v>
      </c>
      <c r="V765" s="126">
        <f t="shared" si="231"/>
        <v>1068.5317492836812</v>
      </c>
      <c r="W765">
        <f t="shared" si="232"/>
        <v>1068.5317492836812</v>
      </c>
      <c r="X765">
        <f t="shared" si="233"/>
        <v>0.5</v>
      </c>
      <c r="Y765">
        <f t="shared" si="234"/>
        <v>972.44521979523597</v>
      </c>
      <c r="Z765">
        <f t="shared" si="235"/>
        <v>0.5</v>
      </c>
      <c r="AA765">
        <f>IF($D765="",0,IF($F765&lt;2,0,IF($E765="Win",('Guide &amp; Settings'!$C$42/(($F765-1)*COUNTIFS($A$4:$A$1510,$A765,$E$4:$E$1510,"Win")))*SUMIFS($Z$4:$Z$1510,$A$4:$A$1510,$A765,$E$4:$E$1510,"Loss"),-('Guide &amp; Settings'!$C$42/($F765-1))*$Z765)))</f>
        <v>17.291468792066425</v>
      </c>
      <c r="AB765" s="126">
        <f t="shared" si="236"/>
        <v>989.73668858730241</v>
      </c>
      <c r="AC765" s="126">
        <f>IF($D765="","",IF($AD765=0,0,IF(COUNTIFS($D$4:$D765,$D765,$B$4:$B765,$B765)&gt;1,0,IF($B765&lt;'Guide &amp; Settings'!$C$50,0,IF(($B765-$AD765)/7-'Guide &amp; Settings'!$C$48&gt;=0,(INT(($B765-$AD765)/7-'Guide &amp; Settings'!$C$48)+1)*'Guide &amp; Settings'!$C$49,0)))))</f>
        <v>0</v>
      </c>
      <c r="AD765" s="142">
        <f t="shared" si="237"/>
        <v>46271</v>
      </c>
      <c r="AE765">
        <f t="shared" si="238"/>
        <v>1</v>
      </c>
      <c r="AF765">
        <f t="shared" si="239"/>
        <v>0</v>
      </c>
    </row>
    <row r="766" spans="1:32" x14ac:dyDescent="0.2">
      <c r="A766" s="117">
        <v>324</v>
      </c>
      <c r="B766" s="118">
        <v>46319</v>
      </c>
      <c r="C766" s="119" t="s">
        <v>34</v>
      </c>
      <c r="D766" s="119" t="s">
        <v>25</v>
      </c>
      <c r="E766" s="117" t="s">
        <v>371</v>
      </c>
      <c r="F766" s="120">
        <f t="shared" si="220"/>
        <v>3</v>
      </c>
      <c r="G766" s="121" t="str">
        <f t="shared" si="221"/>
        <v>Simon</v>
      </c>
      <c r="H766" s="122">
        <f>IF($D766="",0,IFERROR(LOOKUP(2,1/(($D$3:D765=$D766)*($A$3:A765&lt;$A766)),$N$3:N765),'Guide &amp; Settings'!$C$41))</f>
        <v>981.23513337754014</v>
      </c>
      <c r="I766" s="123">
        <f t="shared" si="222"/>
        <v>0.46153846153846156</v>
      </c>
      <c r="J766" s="124">
        <f>IF($D766="",0,IF($F766&lt;2,0,IF($E766="Win",('Guide &amp; Settings'!$C$42/(($F766-1)*COUNTIFS($A$4:$A$1510,$A766,$E$4:$E$1510,"Win")))*SUMIFS($X$4:$X$1510,$A$4:$A$1510,$A766,$E$4:$E$1510,"Loss"),-('Guide &amp; Settings'!$C$42/($F766-1))*$X766)))</f>
        <v>-6.486562214384783</v>
      </c>
      <c r="K766" s="124">
        <f>IF($D766="",0,'Guide &amp; Settings'!$C$43*(IF($E766="Win",1,0)-$I766))</f>
        <v>-5.5384615384615383</v>
      </c>
      <c r="L766" s="125">
        <f>IF($D766="",0,'Guide &amp; Settings'!$C$44*IF($F766&gt;=3,$F766,0))</f>
        <v>3</v>
      </c>
      <c r="M766" s="124">
        <f t="shared" si="223"/>
        <v>-9.0250237528463213</v>
      </c>
      <c r="N766" s="122">
        <f t="shared" si="224"/>
        <v>972.21010962469381</v>
      </c>
      <c r="O766" s="121" t="str">
        <f t="shared" si="225"/>
        <v>OK</v>
      </c>
      <c r="P766">
        <f t="shared" si="226"/>
        <v>1183.835584669815</v>
      </c>
      <c r="Q766">
        <f t="shared" si="227"/>
        <v>0.23753131933263247</v>
      </c>
      <c r="R766">
        <f t="shared" si="228"/>
        <v>0.5</v>
      </c>
      <c r="S766">
        <f t="shared" si="229"/>
        <v>1.0833333333333333</v>
      </c>
      <c r="T766" s="89">
        <f t="shared" si="230"/>
        <v>6</v>
      </c>
      <c r="U766" s="126">
        <f>IF($D766="",0,IFERROR(LOOKUP(2,1/(($D$3:D765=$D766)*($C$3:C765=$C766)*($A$3:A765&lt;$A766)),$AB$3:AB765),1000))</f>
        <v>1019.308806559127</v>
      </c>
      <c r="V766" s="126">
        <f t="shared" si="231"/>
        <v>1002.0025914765876</v>
      </c>
      <c r="W766">
        <f t="shared" si="232"/>
        <v>1068.5317492836812</v>
      </c>
      <c r="X766">
        <f t="shared" si="233"/>
        <v>0.40541013839904894</v>
      </c>
      <c r="Y766">
        <f t="shared" si="234"/>
        <v>972.44521979523597</v>
      </c>
      <c r="Z766">
        <f t="shared" si="235"/>
        <v>0.56703606889141522</v>
      </c>
      <c r="AA766">
        <f>IF($D766="",0,IF($F766&lt;2,0,IF($E766="Win",('Guide &amp; Settings'!$C$42/(($F766-1)*COUNTIFS($A$4:$A$1510,$A766,$E$4:$E$1510,"Win")))*SUMIFS($Z$4:$Z$1510,$A$4:$A$1510,$A766,$E$4:$E$1510,"Loss"),-('Guide &amp; Settings'!$C$42/($F766-1))*$Z766)))</f>
        <v>-9.0725771022626436</v>
      </c>
      <c r="AB766" s="126">
        <f t="shared" si="236"/>
        <v>1010.2362294568643</v>
      </c>
      <c r="AC766" s="126">
        <f>IF($D766="","",IF($AD766=0,0,IF(COUNTIFS($D$4:$D766,$D766,$B$4:$B766,$B766)&gt;1,0,IF($B766&lt;'Guide &amp; Settings'!$C$50,0,IF(($B766-$AD766)/7-'Guide &amp; Settings'!$C$48&gt;=0,(INT(($B766-$AD766)/7-'Guide &amp; Settings'!$C$48)+1)*'Guide &amp; Settings'!$C$49,0)))))</f>
        <v>0</v>
      </c>
      <c r="AD766" s="142">
        <f t="shared" si="237"/>
        <v>46303</v>
      </c>
      <c r="AE766">
        <f t="shared" si="238"/>
        <v>1</v>
      </c>
      <c r="AF766">
        <f t="shared" si="239"/>
        <v>0</v>
      </c>
    </row>
    <row r="767" spans="1:32" x14ac:dyDescent="0.2">
      <c r="A767" s="117">
        <v>324</v>
      </c>
      <c r="B767" s="118">
        <v>46319</v>
      </c>
      <c r="C767" s="119" t="s">
        <v>34</v>
      </c>
      <c r="D767" s="119" t="s">
        <v>20</v>
      </c>
      <c r="E767" s="117" t="s">
        <v>371</v>
      </c>
      <c r="F767" s="120">
        <f t="shared" si="220"/>
        <v>3</v>
      </c>
      <c r="G767" s="121" t="str">
        <f t="shared" si="221"/>
        <v>Simon</v>
      </c>
      <c r="H767" s="122">
        <f>IF($D767="",0,IFERROR(LOOKUP(2,1/(($D$3:D766=$D767)*($A$3:A766&lt;$A767)),$N$3:N766),'Guide &amp; Settings'!$C$41))</f>
        <v>1240.5972700779639</v>
      </c>
      <c r="I767" s="123">
        <f t="shared" si="222"/>
        <v>0.30769230769230771</v>
      </c>
      <c r="J767" s="124">
        <f>IF($D767="",0,IF($F767&lt;2,0,IF($E767="Win",('Guide &amp; Settings'!$C$42/(($F767-1)*COUNTIFS($A$4:$A$1510,$A767,$E$4:$E$1510,"Win")))*SUMIFS($X$4:$X$1510,$A$4:$A$1510,$A767,$E$4:$E$1510,"Loss"),-('Guide &amp; Settings'!$C$42/($F767-1))*$X767)))</f>
        <v>-7.9916331699587957</v>
      </c>
      <c r="K767" s="124">
        <f>IF($D767="",0,'Guide &amp; Settings'!$C$43*(IF($E767="Win",1,0)-$I767))</f>
        <v>-3.6923076923076925</v>
      </c>
      <c r="L767" s="125">
        <f>IF($D767="",0,'Guide &amp; Settings'!$C$44*IF($F767&gt;=3,$F767,0))</f>
        <v>3</v>
      </c>
      <c r="M767" s="124">
        <f t="shared" si="223"/>
        <v>-8.6839408622664891</v>
      </c>
      <c r="N767" s="122">
        <f t="shared" si="224"/>
        <v>1231.9133292156973</v>
      </c>
      <c r="O767" s="121" t="str">
        <f t="shared" si="225"/>
        <v>OK</v>
      </c>
      <c r="P767">
        <f t="shared" si="226"/>
        <v>1183.835584669815</v>
      </c>
      <c r="Q767">
        <f t="shared" si="227"/>
        <v>0.58096754673694906</v>
      </c>
      <c r="R767">
        <f t="shared" si="228"/>
        <v>0.33333333333333331</v>
      </c>
      <c r="S767">
        <f t="shared" si="229"/>
        <v>1.0833333333333333</v>
      </c>
      <c r="T767" s="89">
        <f t="shared" si="230"/>
        <v>10</v>
      </c>
      <c r="U767" s="126">
        <f>IF($D767="",0,IFERROR(LOOKUP(2,1/(($D$3:D766=$D767)*($C$3:C766=$C767)*($A$3:A766&lt;$A767)),$AB$3:AB766),1000))</f>
        <v>981.95393847012519</v>
      </c>
      <c r="V767" s="126">
        <f t="shared" si="231"/>
        <v>1068.1683823394046</v>
      </c>
      <c r="W767">
        <f t="shared" si="232"/>
        <v>1068.5317492836812</v>
      </c>
      <c r="X767">
        <f t="shared" si="233"/>
        <v>0.49947707312242473</v>
      </c>
      <c r="Y767">
        <f t="shared" si="234"/>
        <v>972.44521979523597</v>
      </c>
      <c r="Z767">
        <f t="shared" si="235"/>
        <v>0.51368073061273634</v>
      </c>
      <c r="AA767">
        <f>IF($D767="",0,IF($F767&lt;2,0,IF($E767="Win",('Guide &amp; Settings'!$C$42/(($F767-1)*COUNTIFS($A$4:$A$1510,$A767,$E$4:$E$1510,"Win")))*SUMIFS($Z$4:$Z$1510,$A$4:$A$1510,$A767,$E$4:$E$1510,"Loss"),-('Guide &amp; Settings'!$C$42/($F767-1))*$Z767)))</f>
        <v>-8.2188916898037814</v>
      </c>
      <c r="AB767" s="126">
        <f t="shared" si="236"/>
        <v>973.73504678032145</v>
      </c>
      <c r="AC767" s="126">
        <f>IF($D767="","",IF($AD767=0,0,IF(COUNTIFS($D$4:$D767,$D767,$B$4:$B767,$B767)&gt;1,0,IF($B767&lt;'Guide &amp; Settings'!$C$50,0,IF(($B767-$AD767)/7-'Guide &amp; Settings'!$C$48&gt;=0,(INT(($B767-$AD767)/7-'Guide &amp; Settings'!$C$48)+1)*'Guide &amp; Settings'!$C$49,0)))))</f>
        <v>0</v>
      </c>
      <c r="AD767" s="142">
        <f t="shared" si="237"/>
        <v>46303</v>
      </c>
      <c r="AE767">
        <f t="shared" si="238"/>
        <v>1</v>
      </c>
      <c r="AF767">
        <f t="shared" si="239"/>
        <v>0</v>
      </c>
    </row>
    <row r="768" spans="1:32" x14ac:dyDescent="0.2">
      <c r="A768" s="117">
        <v>325</v>
      </c>
      <c r="B768" s="118">
        <v>46319</v>
      </c>
      <c r="C768" s="119" t="s">
        <v>47</v>
      </c>
      <c r="D768" s="119" t="s">
        <v>22</v>
      </c>
      <c r="E768" s="117" t="s">
        <v>370</v>
      </c>
      <c r="F768" s="120">
        <f t="shared" si="220"/>
        <v>2</v>
      </c>
      <c r="G768" s="121" t="str">
        <f t="shared" si="221"/>
        <v>Daniel (Ferret)</v>
      </c>
      <c r="H768" s="122">
        <f>IF($D768="",0,IFERROR(LOOKUP(2,1/(($D$3:D767=$D768)*($A$3:A767&lt;$A768)),$N$3:N767),'Guide &amp; Settings'!$C$41))</f>
        <v>1190.9139027540671</v>
      </c>
      <c r="I768" s="123">
        <f t="shared" si="222"/>
        <v>0.66666666666666674</v>
      </c>
      <c r="J768" s="124">
        <f>IF($D768="",0,IF($F768&lt;2,0,IF($E768="Win",('Guide &amp; Settings'!$C$42/(($F768-1)*COUNTIFS($A$4:$A$1510,$A768,$E$4:$E$1510,"Win")))*SUMIFS($X$4:$X$1510,$A$4:$A$1510,$A768,$E$4:$E$1510,"Loss"),-('Guide &amp; Settings'!$C$42/($F768-1))*$X768)))</f>
        <v>14.073222444015233</v>
      </c>
      <c r="K768" s="124">
        <f>IF($D768="",0,'Guide &amp; Settings'!$C$43*(IF($E768="Win",1,0)-$I768))</f>
        <v>3.9999999999999991</v>
      </c>
      <c r="L768" s="125">
        <f>IF($D768="",0,'Guide &amp; Settings'!$C$44*IF($F768&gt;=3,$F768,0))</f>
        <v>0</v>
      </c>
      <c r="M768" s="124">
        <f t="shared" si="223"/>
        <v>18.073222444015233</v>
      </c>
      <c r="N768" s="122">
        <f t="shared" si="224"/>
        <v>1208.9871251980824</v>
      </c>
      <c r="O768" s="121" t="str">
        <f t="shared" si="225"/>
        <v>OK</v>
      </c>
      <c r="P768">
        <f t="shared" si="226"/>
        <v>1190.9139027540671</v>
      </c>
      <c r="Q768">
        <f t="shared" si="227"/>
        <v>0.5</v>
      </c>
      <c r="R768">
        <f t="shared" si="228"/>
        <v>0.72727272727272729</v>
      </c>
      <c r="S768">
        <f t="shared" si="229"/>
        <v>1.0909090909090908</v>
      </c>
      <c r="T768" s="89">
        <f t="shared" si="230"/>
        <v>9</v>
      </c>
      <c r="U768" s="126">
        <f>IF($D768="",0,IFERROR(LOOKUP(2,1/(($D$3:D767=$D768)*($C$3:C767=$C768)*($A$3:A767&lt;$A768)),$AB$3:AB767),1000))</f>
        <v>1053.5611427473693</v>
      </c>
      <c r="V768" s="126">
        <f t="shared" si="231"/>
        <v>1102.6156998926185</v>
      </c>
      <c r="W768">
        <f t="shared" si="232"/>
        <v>1102.6156998926185</v>
      </c>
      <c r="X768">
        <f t="shared" si="233"/>
        <v>0.5</v>
      </c>
      <c r="Y768">
        <f t="shared" si="234"/>
        <v>1053.5611427473693</v>
      </c>
      <c r="Z768">
        <f t="shared" si="235"/>
        <v>0.5</v>
      </c>
      <c r="AA768">
        <f>IF($D768="",0,IF($F768&lt;2,0,IF($E768="Win",('Guide &amp; Settings'!$C$42/(($F768-1)*COUNTIFS($A$4:$A$1510,$A768,$E$4:$E$1510,"Win")))*SUMIFS($Z$4:$Z$1510,$A$4:$A$1510,$A768,$E$4:$E$1510,"Loss"),-('Guide &amp; Settings'!$C$42/($F768-1))*$Z768)))</f>
        <v>12.562546055815295</v>
      </c>
      <c r="AB768" s="126">
        <f t="shared" si="236"/>
        <v>1066.1236888031847</v>
      </c>
      <c r="AC768" s="126">
        <f>IF($D768="","",IF($AD768=0,0,IF(COUNTIFS($D$4:$D768,$D768,$B$4:$B768,$B768)&gt;1,0,IF($B768&lt;'Guide &amp; Settings'!$C$50,0,IF(($B768-$AD768)/7-'Guide &amp; Settings'!$C$48&gt;=0,(INT(($B768-$AD768)/7-'Guide &amp; Settings'!$C$48)+1)*'Guide &amp; Settings'!$C$49,0)))))</f>
        <v>0</v>
      </c>
      <c r="AD768" s="142">
        <f t="shared" si="237"/>
        <v>46303</v>
      </c>
      <c r="AE768">
        <f t="shared" si="238"/>
        <v>1</v>
      </c>
      <c r="AF768">
        <f t="shared" si="239"/>
        <v>0</v>
      </c>
    </row>
    <row r="769" spans="1:32" x14ac:dyDescent="0.2">
      <c r="A769" s="117">
        <v>325</v>
      </c>
      <c r="B769" s="118">
        <v>46319</v>
      </c>
      <c r="C769" s="119" t="s">
        <v>47</v>
      </c>
      <c r="D769" s="119" t="s">
        <v>15</v>
      </c>
      <c r="E769" s="117" t="s">
        <v>371</v>
      </c>
      <c r="F769" s="120">
        <f t="shared" si="220"/>
        <v>2</v>
      </c>
      <c r="G769" s="121" t="str">
        <f t="shared" si="221"/>
        <v>Daniel (Ferret)</v>
      </c>
      <c r="H769" s="122">
        <f>IF($D769="",0,IFERROR(LOOKUP(2,1/(($D$3:D768=$D769)*($A$3:A768&lt;$A769)),$N$3:N768),'Guide &amp; Settings'!$C$41))</f>
        <v>1209.6766156390552</v>
      </c>
      <c r="I769" s="123">
        <f t="shared" si="222"/>
        <v>0.33333333333333337</v>
      </c>
      <c r="J769" s="124">
        <f>IF($D769="",0,IF($F769&lt;2,0,IF($E769="Win",('Guide &amp; Settings'!$C$42/(($F769-1)*COUNTIFS($A$4:$A$1510,$A769,$E$4:$E$1510,"Win")))*SUMIFS($X$4:$X$1510,$A$4:$A$1510,$A769,$E$4:$E$1510,"Loss"),-('Guide &amp; Settings'!$C$42/($F769-1))*$X769)))</f>
        <v>-14.073222444015233</v>
      </c>
      <c r="K769" s="124">
        <f>IF($D769="",0,'Guide &amp; Settings'!$C$43*(IF($E769="Win",1,0)-$I769))</f>
        <v>-4</v>
      </c>
      <c r="L769" s="125">
        <f>IF($D769="",0,'Guide &amp; Settings'!$C$44*IF($F769&gt;=3,$F769,0))</f>
        <v>0</v>
      </c>
      <c r="M769" s="124">
        <f t="shared" si="223"/>
        <v>-18.073222444015233</v>
      </c>
      <c r="N769" s="122">
        <f t="shared" si="224"/>
        <v>1191.6033931950399</v>
      </c>
      <c r="O769" s="121" t="str">
        <f t="shared" si="225"/>
        <v>OK</v>
      </c>
      <c r="P769">
        <f t="shared" si="226"/>
        <v>1190.9139027540671</v>
      </c>
      <c r="Q769">
        <f t="shared" si="227"/>
        <v>0.52697549595588367</v>
      </c>
      <c r="R769">
        <f t="shared" si="228"/>
        <v>0.36363636363636365</v>
      </c>
      <c r="S769">
        <f t="shared" si="229"/>
        <v>1.0909090909090908</v>
      </c>
      <c r="T769" s="89">
        <f t="shared" si="230"/>
        <v>9</v>
      </c>
      <c r="U769" s="126">
        <f>IF($D769="",0,IFERROR(LOOKUP(2,1/(($D$3:D768=$D769)*($C$3:C768=$C769)*($A$3:A768&lt;$A769)),$AB$3:AB768),1000))</f>
        <v>977.73645858927773</v>
      </c>
      <c r="V769" s="126">
        <f t="shared" si="231"/>
        <v>1060.5722289641981</v>
      </c>
      <c r="W769">
        <f t="shared" si="232"/>
        <v>1102.6156998926185</v>
      </c>
      <c r="X769">
        <f t="shared" si="233"/>
        <v>0.43978820137547603</v>
      </c>
      <c r="Y769">
        <f t="shared" si="234"/>
        <v>1053.5611427473693</v>
      </c>
      <c r="Z769">
        <f t="shared" si="235"/>
        <v>0.39257956424422796</v>
      </c>
      <c r="AA769">
        <f>IF($D769="",0,IF($F769&lt;2,0,IF($E769="Win",('Guide &amp; Settings'!$C$42/(($F769-1)*COUNTIFS($A$4:$A$1510,$A769,$E$4:$E$1510,"Win")))*SUMIFS($Z$4:$Z$1510,$A$4:$A$1510,$A769,$E$4:$E$1510,"Loss"),-('Guide &amp; Settings'!$C$42/($F769-1))*$Z769)))</f>
        <v>-12.562546055815295</v>
      </c>
      <c r="AB769" s="126">
        <f t="shared" si="236"/>
        <v>965.17391253346238</v>
      </c>
      <c r="AC769" s="126">
        <f>IF($D769="","",IF($AD769=0,0,IF(COUNTIFS($D$4:$D769,$D769,$B$4:$B769,$B769)&gt;1,0,IF($B769&lt;'Guide &amp; Settings'!$C$50,0,IF(($B769-$AD769)/7-'Guide &amp; Settings'!$C$48&gt;=0,(INT(($B769-$AD769)/7-'Guide &amp; Settings'!$C$48)+1)*'Guide &amp; Settings'!$C$49,0)))))</f>
        <v>0</v>
      </c>
      <c r="AD769" s="142">
        <f t="shared" si="237"/>
        <v>46297</v>
      </c>
      <c r="AE769">
        <f t="shared" si="238"/>
        <v>1</v>
      </c>
      <c r="AF769">
        <f t="shared" si="239"/>
        <v>0</v>
      </c>
    </row>
    <row r="770" spans="1:32" x14ac:dyDescent="0.2">
      <c r="A770" s="117">
        <v>326</v>
      </c>
      <c r="B770" s="118">
        <v>46319</v>
      </c>
      <c r="C770" s="119" t="s">
        <v>47</v>
      </c>
      <c r="D770" s="119" t="s">
        <v>22</v>
      </c>
      <c r="E770" s="117" t="s">
        <v>371</v>
      </c>
      <c r="F770" s="120">
        <f t="shared" si="220"/>
        <v>2</v>
      </c>
      <c r="G770" s="121" t="str">
        <f t="shared" si="221"/>
        <v>Aaron</v>
      </c>
      <c r="H770" s="122">
        <f>IF($D770="",0,IFERROR(LOOKUP(2,1/(($D$3:D769=$D770)*($A$3:A769&lt;$A770)),$N$3:N769),'Guide &amp; Settings'!$C$41))</f>
        <v>1208.9871251980824</v>
      </c>
      <c r="I770" s="123">
        <f t="shared" si="222"/>
        <v>0.6923076923076924</v>
      </c>
      <c r="J770" s="124">
        <f>IF($D770="",0,IF($F770&lt;2,0,IF($E770="Win",('Guide &amp; Settings'!$C$42/(($F770-1)*COUNTIFS($A$4:$A$1510,$A770,$E$4:$E$1510,"Win")))*SUMIFS($X$4:$X$1510,$A$4:$A$1510,$A770,$E$4:$E$1510,"Loss"),-('Guide &amp; Settings'!$C$42/($F770-1))*$X770)))</f>
        <v>-19.317324073908001</v>
      </c>
      <c r="K770" s="124">
        <f>IF($D770="",0,'Guide &amp; Settings'!$C$43*(IF($E770="Win",1,0)-$I770))</f>
        <v>-8.3076923076923084</v>
      </c>
      <c r="L770" s="125">
        <f>IF($D770="",0,'Guide &amp; Settings'!$C$44*IF($F770&gt;=3,$F770,0))</f>
        <v>0</v>
      </c>
      <c r="M770" s="124">
        <f t="shared" si="223"/>
        <v>-27.625016381600311</v>
      </c>
      <c r="N770" s="122">
        <f t="shared" si="224"/>
        <v>1181.3621088164821</v>
      </c>
      <c r="O770" s="121" t="str">
        <f t="shared" si="225"/>
        <v>OK</v>
      </c>
      <c r="P770">
        <f t="shared" si="226"/>
        <v>1191.6033931950399</v>
      </c>
      <c r="Q770">
        <f t="shared" si="227"/>
        <v>0.52499634587437782</v>
      </c>
      <c r="R770">
        <f t="shared" si="228"/>
        <v>0.75</v>
      </c>
      <c r="S770">
        <f t="shared" si="229"/>
        <v>1.0833333333333333</v>
      </c>
      <c r="T770" s="89">
        <f t="shared" si="230"/>
        <v>10</v>
      </c>
      <c r="U770" s="126">
        <f>IF($D770="",0,IFERROR(LOOKUP(2,1/(($D$3:D769=$D770)*($C$3:C769=$C770)*($A$3:A769&lt;$A770)),$AB$3:AB769),1000))</f>
        <v>1066.1236888031847</v>
      </c>
      <c r="V770" s="126">
        <f t="shared" si="231"/>
        <v>1113.7448342681505</v>
      </c>
      <c r="W770">
        <f t="shared" si="232"/>
        <v>1040.6504060873217</v>
      </c>
      <c r="X770">
        <f t="shared" si="233"/>
        <v>0.60366637730962502</v>
      </c>
      <c r="Y770">
        <f t="shared" si="234"/>
        <v>965.17391253346238</v>
      </c>
      <c r="Z770">
        <f t="shared" si="235"/>
        <v>0.64132361114576852</v>
      </c>
      <c r="AA770">
        <f>IF($D770="",0,IF($F770&lt;2,0,IF($E770="Win",('Guide &amp; Settings'!$C$42/(($F770-1)*COUNTIFS($A$4:$A$1510,$A770,$E$4:$E$1510,"Win")))*SUMIFS($Z$4:$Z$1510,$A$4:$A$1510,$A770,$E$4:$E$1510,"Loss"),-('Guide &amp; Settings'!$C$42/($F770-1))*$Z770)))</f>
        <v>-20.522355556664593</v>
      </c>
      <c r="AB770" s="126">
        <f t="shared" si="236"/>
        <v>1045.60133324652</v>
      </c>
      <c r="AC770" s="126">
        <f>IF($D770="","",IF($AD770=0,0,IF(COUNTIFS($D$4:$D770,$D770,$B$4:$B770,$B770)&gt;1,0,IF($B770&lt;'Guide &amp; Settings'!$C$50,0,IF(($B770-$AD770)/7-'Guide &amp; Settings'!$C$48&gt;=0,(INT(($B770-$AD770)/7-'Guide &amp; Settings'!$C$48)+1)*'Guide &amp; Settings'!$C$49,0)))))</f>
        <v>0</v>
      </c>
      <c r="AD770" s="142">
        <f t="shared" si="237"/>
        <v>46303</v>
      </c>
      <c r="AE770">
        <f t="shared" si="238"/>
        <v>1</v>
      </c>
      <c r="AF770">
        <f t="shared" si="239"/>
        <v>0</v>
      </c>
    </row>
    <row r="771" spans="1:32" x14ac:dyDescent="0.2">
      <c r="A771" s="117">
        <v>326</v>
      </c>
      <c r="B771" s="118">
        <v>46319</v>
      </c>
      <c r="C771" s="119" t="s">
        <v>47</v>
      </c>
      <c r="D771" s="119" t="s">
        <v>15</v>
      </c>
      <c r="E771" s="117" t="s">
        <v>370</v>
      </c>
      <c r="F771" s="120">
        <f t="shared" si="220"/>
        <v>2</v>
      </c>
      <c r="G771" s="121" t="str">
        <f t="shared" si="221"/>
        <v>Aaron</v>
      </c>
      <c r="H771" s="122">
        <f>IF($D771="",0,IFERROR(LOOKUP(2,1/(($D$3:D770=$D771)*($A$3:A770&lt;$A771)),$N$3:N770),'Guide &amp; Settings'!$C$41))</f>
        <v>1191.6033931950399</v>
      </c>
      <c r="I771" s="123">
        <f t="shared" si="222"/>
        <v>0.30769230769230771</v>
      </c>
      <c r="J771" s="124">
        <f>IF($D771="",0,IF($F771&lt;2,0,IF($E771="Win",('Guide &amp; Settings'!$C$42/(($F771-1)*COUNTIFS($A$4:$A$1510,$A771,$E$4:$E$1510,"Win")))*SUMIFS($X$4:$X$1510,$A$4:$A$1510,$A771,$E$4:$E$1510,"Loss"),-('Guide &amp; Settings'!$C$42/($F771-1))*$X771)))</f>
        <v>19.317324073908001</v>
      </c>
      <c r="K771" s="124">
        <f>IF($D771="",0,'Guide &amp; Settings'!$C$43*(IF($E771="Win",1,0)-$I771))</f>
        <v>8.3076923076923066</v>
      </c>
      <c r="L771" s="125">
        <f>IF($D771="",0,'Guide &amp; Settings'!$C$44*IF($F771&gt;=3,$F771,0))</f>
        <v>0</v>
      </c>
      <c r="M771" s="124">
        <f t="shared" si="223"/>
        <v>27.625016381600307</v>
      </c>
      <c r="N771" s="122">
        <f t="shared" si="224"/>
        <v>1219.2284095766402</v>
      </c>
      <c r="O771" s="121" t="str">
        <f t="shared" si="225"/>
        <v>OK</v>
      </c>
      <c r="P771">
        <f t="shared" si="226"/>
        <v>1191.6033931950399</v>
      </c>
      <c r="Q771">
        <f t="shared" si="227"/>
        <v>0.5</v>
      </c>
      <c r="R771">
        <f t="shared" si="228"/>
        <v>0.33333333333333331</v>
      </c>
      <c r="S771">
        <f t="shared" si="229"/>
        <v>1.0833333333333333</v>
      </c>
      <c r="T771" s="89">
        <f t="shared" si="230"/>
        <v>10</v>
      </c>
      <c r="U771" s="126">
        <f>IF($D771="",0,IFERROR(LOOKUP(2,1/(($D$3:D770=$D771)*($C$3:C770=$C771)*($A$3:A770&lt;$A771)),$AB$3:AB770),1000))</f>
        <v>965.17391253346238</v>
      </c>
      <c r="V771" s="126">
        <f t="shared" si="231"/>
        <v>1040.6504060873217</v>
      </c>
      <c r="W771">
        <f t="shared" si="232"/>
        <v>1040.6504060873217</v>
      </c>
      <c r="X771">
        <f t="shared" si="233"/>
        <v>0.5</v>
      </c>
      <c r="Y771">
        <f t="shared" si="234"/>
        <v>965.17391253346238</v>
      </c>
      <c r="Z771">
        <f t="shared" si="235"/>
        <v>0.5</v>
      </c>
      <c r="AA771">
        <f>IF($D771="",0,IF($F771&lt;2,0,IF($E771="Win",('Guide &amp; Settings'!$C$42/(($F771-1)*COUNTIFS($A$4:$A$1510,$A771,$E$4:$E$1510,"Win")))*SUMIFS($Z$4:$Z$1510,$A$4:$A$1510,$A771,$E$4:$E$1510,"Loss"),-('Guide &amp; Settings'!$C$42/($F771-1))*$Z771)))</f>
        <v>20.522355556664593</v>
      </c>
      <c r="AB771" s="126">
        <f t="shared" si="236"/>
        <v>985.69626809012698</v>
      </c>
      <c r="AC771" s="126">
        <f>IF($D771="","",IF($AD771=0,0,IF(COUNTIFS($D$4:$D771,$D771,$B$4:$B771,$B771)&gt;1,0,IF($B771&lt;'Guide &amp; Settings'!$C$50,0,IF(($B771-$AD771)/7-'Guide &amp; Settings'!$C$48&gt;=0,(INT(($B771-$AD771)/7-'Guide &amp; Settings'!$C$48)+1)*'Guide &amp; Settings'!$C$49,0)))))</f>
        <v>0</v>
      </c>
      <c r="AD771" s="142">
        <f t="shared" si="237"/>
        <v>46297</v>
      </c>
      <c r="AE771">
        <f t="shared" si="238"/>
        <v>1</v>
      </c>
      <c r="AF771">
        <f t="shared" si="239"/>
        <v>0</v>
      </c>
    </row>
    <row r="772" spans="1:32" x14ac:dyDescent="0.2">
      <c r="A772" s="117">
        <v>327</v>
      </c>
      <c r="B772" s="118">
        <v>46319</v>
      </c>
      <c r="C772" s="119" t="s">
        <v>47</v>
      </c>
      <c r="D772" s="119" t="s">
        <v>22</v>
      </c>
      <c r="E772" s="117" t="s">
        <v>371</v>
      </c>
      <c r="F772" s="120">
        <f t="shared" ref="F772:F835" si="240">IF($D772="",0,COUNTIF($A$4:$A$1510,$A772))</f>
        <v>2</v>
      </c>
      <c r="G772" s="121" t="str">
        <f t="shared" ref="G772:G835" si="241">IF($D772="","",IFERROR(LOOKUP(2,1/(($A$4:$A$1510=$A772)*($E$4:$E$1510="Win")),$D$4:$D$1510),"(no winner)"))</f>
        <v>Aaron</v>
      </c>
      <c r="H772" s="122">
        <f>IF($D772="",0,IFERROR(LOOKUP(2,1/(($D$3:D771=$D772)*($A$3:A771&lt;$A772)),$N$3:N771),'Guide &amp; Settings'!$C$41))</f>
        <v>1181.3621088164821</v>
      </c>
      <c r="I772" s="123">
        <f t="shared" ref="I772:I835" si="242">IF($D772="",0,IF($S772=0,0,$R772/$S772))</f>
        <v>0.6428571428571429</v>
      </c>
      <c r="J772" s="124">
        <f>IF($D772="",0,IF($F772&lt;2,0,IF($E772="Win",('Guide &amp; Settings'!$C$42/(($F772-1)*COUNTIFS($A$4:$A$1510,$A772,$E$4:$E$1510,"Win")))*SUMIFS($X$4:$X$1510,$A$4:$A$1510,$A772,$E$4:$E$1510,"Loss"),-('Guide &amp; Settings'!$C$42/($F772-1))*$X772)))</f>
        <v>-17.348480654182346</v>
      </c>
      <c r="K772" s="124">
        <f>IF($D772="",0,'Guide &amp; Settings'!$C$43*(IF($E772="Win",1,0)-$I772))</f>
        <v>-7.7142857142857153</v>
      </c>
      <c r="L772" s="125">
        <f>IF($D772="",0,'Guide &amp; Settings'!$C$44*IF($F772&gt;=3,$F772,0))</f>
        <v>0</v>
      </c>
      <c r="M772" s="124">
        <f t="shared" ref="M772:M835" si="243">IF($D772="",0,$J772+$K772+$L772)</f>
        <v>-25.062766368468061</v>
      </c>
      <c r="N772" s="122">
        <f t="shared" ref="N772:N835" si="244">IF($D772="",0,$H772+$M772)</f>
        <v>1156.2993424480139</v>
      </c>
      <c r="O772" s="121" t="str">
        <f t="shared" ref="O772:O835" si="245">IF($D772="","",IF($AE772=0,"need a winner",IF($F772-$AE772=0,"need a loser",IF(MOD($AF772,2)=1,"duplicate player",IF(MOD(INT($AF772/2),2)=1,"mixed sports",IF($AF772&gt;=4,"mixed dates",IF($AE772&gt;1,IF($F772&gt;=4,"OK (team)","check winners"),"OK")))))))</f>
        <v>OK</v>
      </c>
      <c r="P772">
        <f t="shared" ref="P772:P835" si="246">IF($D772="",0,IFERROR(SUMIFS($H$4:$H$1510,$A$4:$A$1510,$A772,$E$4:$E$1510,"Win")/COUNTIFS($A$4:$A$1510,$A772,$E$4:$E$1510,"Win"),0))</f>
        <v>1219.2284095766402</v>
      </c>
      <c r="Q772">
        <f t="shared" ref="Q772:Q835" si="247">IF($D772="",0,1/(1+10^(($P772-$H772)/400)))</f>
        <v>0.4457207591735437</v>
      </c>
      <c r="R772">
        <f t="shared" ref="R772:R835" si="248">IF($D772="",0,(COUNTIFS($D$4:$D$1510,$D772,$C$4:$C$1510,$C772,$E$4:$E$1510,"Win",$A$4:$A$1510,"&lt;"&amp;$A772)+1)/(COUNTIFS($D$4:$D$1510,$D772,$C$4:$C$1510,$C772,$A$4:$A$1510,"&lt;"&amp;$A772)+2))</f>
        <v>0.69230769230769229</v>
      </c>
      <c r="S772">
        <f t="shared" ref="S772:S835" si="249">IF($D772="",0,SUMIFS($R$4:$R$1510,$A$4:$A$1510,$A772))</f>
        <v>1.0769230769230769</v>
      </c>
      <c r="T772" s="89">
        <f t="shared" ref="T772:T835" si="250">IF($D772="",0,COUNTIFS($D$4:$D$1510,$D772,$C$4:$C$1510,$C772,$A$4:$A$1510,"&lt;"&amp;$A772))</f>
        <v>11</v>
      </c>
      <c r="U772" s="126">
        <f>IF($D772="",0,IFERROR(LOOKUP(2,1/(($D$3:D771=$D772)*($C$3:C771=$C772)*($A$3:A771&lt;$A772)),$AB$3:AB771),1000))</f>
        <v>1045.60133324652</v>
      </c>
      <c r="V772" s="126">
        <f t="shared" ref="V772:V835" si="251">IF($D772="",0,$U772*($T772/($T772+5))+$H772*(1-$T772/($T772+5)))</f>
        <v>1088.0265756121332</v>
      </c>
      <c r="W772">
        <f t="shared" ref="W772:W835" si="252">IF($D772="",0,IFERROR(SUMIFS($V$4:$V$1510,$A$4:$A$1510,$A772,$E$4:$E$1510,"Win")/COUNTIFS($A$4:$A$1510,$A772,$E$4:$E$1510,"Win"),0))</f>
        <v>1058.6750623046623</v>
      </c>
      <c r="X772">
        <f t="shared" ref="X772:X835" si="253">IF($D772="",0,1/(1+10^(($W772-$V772)/400)))</f>
        <v>0.54214002044319831</v>
      </c>
      <c r="Y772">
        <f t="shared" ref="Y772:Y835" si="254">IF($D772="",0,IFERROR(SUMIFS($U$4:$U$1510,$A$4:$A$1510,$A772,$E$4:$E$1510,"Win")/COUNTIFS($A$4:$A$1510,$A772,$E$4:$E$1510,"Win"),0))</f>
        <v>985.69626809012698</v>
      </c>
      <c r="Z772">
        <f t="shared" ref="Z772:Z835" si="255">IF($D772="",0,1/(1+10^(($Y772-$U772)/400)))</f>
        <v>0.58536604510254553</v>
      </c>
      <c r="AA772">
        <f>IF($D772="",0,IF($F772&lt;2,0,IF($E772="Win",('Guide &amp; Settings'!$C$42/(($F772-1)*COUNTIFS($A$4:$A$1510,$A772,$E$4:$E$1510,"Win")))*SUMIFS($Z$4:$Z$1510,$A$4:$A$1510,$A772,$E$4:$E$1510,"Loss"),-('Guide &amp; Settings'!$C$42/($F772-1))*$Z772)))</f>
        <v>-18.731713443281457</v>
      </c>
      <c r="AB772" s="126">
        <f t="shared" ref="AB772:AB835" si="256">IF($D772="",0,$U772+$AA772)</f>
        <v>1026.8696198032385</v>
      </c>
      <c r="AC772" s="126">
        <f>IF($D772="","",IF($AD772=0,0,IF(COUNTIFS($D$4:$D772,$D772,$B$4:$B772,$B772)&gt;1,0,IF($B772&lt;'Guide &amp; Settings'!$C$50,0,IF(($B772-$AD772)/7-'Guide &amp; Settings'!$C$48&gt;=0,(INT(($B772-$AD772)/7-'Guide &amp; Settings'!$C$48)+1)*'Guide &amp; Settings'!$C$49,0)))))</f>
        <v>0</v>
      </c>
      <c r="AD772" s="142">
        <f t="shared" ref="AD772:AD835" si="257">IF($D772="",0,SUMPRODUCT(MAX(($D$4:$D$1510=$D772)*($B$4:$B$1510&lt;$B772)*$B$4:$B$1510)))</f>
        <v>46303</v>
      </c>
      <c r="AE772">
        <f t="shared" ref="AE772:AE835" si="258">IF($D772="",0,COUNTIFS($A$4:$A$1510,$A772,$E$4:$E$1510,"Win"))</f>
        <v>1</v>
      </c>
      <c r="AF772">
        <f t="shared" ref="AF772:AF835" si="259">IF($D772="",0,(COUNTIFS($A$4:$A$1510,$A772,$D$4:$D$1510,$D772)&gt;1)*1+(COUNTIFS($A$4:$A$1510,$A772,$C$4:$C$1510,"&lt;&gt;"&amp;$C772)&gt;0)*2+(COUNTIFS($A$4:$A$1510,$A772,$B$4:$B$1510,"&lt;&gt;"&amp;$B772)&gt;0)*4)</f>
        <v>0</v>
      </c>
    </row>
    <row r="773" spans="1:32" x14ac:dyDescent="0.2">
      <c r="A773" s="117">
        <v>327</v>
      </c>
      <c r="B773" s="118">
        <v>46319</v>
      </c>
      <c r="C773" s="119" t="s">
        <v>47</v>
      </c>
      <c r="D773" s="119" t="s">
        <v>15</v>
      </c>
      <c r="E773" s="117" t="s">
        <v>370</v>
      </c>
      <c r="F773" s="120">
        <f t="shared" si="240"/>
        <v>2</v>
      </c>
      <c r="G773" s="121" t="str">
        <f t="shared" si="241"/>
        <v>Aaron</v>
      </c>
      <c r="H773" s="122">
        <f>IF($D773="",0,IFERROR(LOOKUP(2,1/(($D$3:D772=$D773)*($A$3:A772&lt;$A773)),$N$3:N772),'Guide &amp; Settings'!$C$41))</f>
        <v>1219.2284095766402</v>
      </c>
      <c r="I773" s="123">
        <f t="shared" si="242"/>
        <v>0.35714285714285721</v>
      </c>
      <c r="J773" s="124">
        <f>IF($D773="",0,IF($F773&lt;2,0,IF($E773="Win",('Guide &amp; Settings'!$C$42/(($F773-1)*COUNTIFS($A$4:$A$1510,$A773,$E$4:$E$1510,"Win")))*SUMIFS($X$4:$X$1510,$A$4:$A$1510,$A773,$E$4:$E$1510,"Loss"),-('Guide &amp; Settings'!$C$42/($F773-1))*$X773)))</f>
        <v>17.348480654182346</v>
      </c>
      <c r="K773" s="124">
        <f>IF($D773="",0,'Guide &amp; Settings'!$C$43*(IF($E773="Win",1,0)-$I773))</f>
        <v>7.7142857142857135</v>
      </c>
      <c r="L773" s="125">
        <f>IF($D773="",0,'Guide &amp; Settings'!$C$44*IF($F773&gt;=3,$F773,0))</f>
        <v>0</v>
      </c>
      <c r="M773" s="124">
        <f t="shared" si="243"/>
        <v>25.062766368468061</v>
      </c>
      <c r="N773" s="122">
        <f t="shared" si="244"/>
        <v>1244.2911759451083</v>
      </c>
      <c r="O773" s="121" t="str">
        <f t="shared" si="245"/>
        <v>OK</v>
      </c>
      <c r="P773">
        <f t="shared" si="246"/>
        <v>1219.2284095766402</v>
      </c>
      <c r="Q773">
        <f t="shared" si="247"/>
        <v>0.5</v>
      </c>
      <c r="R773">
        <f t="shared" si="248"/>
        <v>0.38461538461538464</v>
      </c>
      <c r="S773">
        <f t="shared" si="249"/>
        <v>1.0769230769230769</v>
      </c>
      <c r="T773" s="89">
        <f t="shared" si="250"/>
        <v>11</v>
      </c>
      <c r="U773" s="126">
        <f>IF($D773="",0,IFERROR(LOOKUP(2,1/(($D$3:D772=$D773)*($C$3:C772=$C773)*($A$3:A772&lt;$A773)),$AB$3:AB772),1000))</f>
        <v>985.69626809012698</v>
      </c>
      <c r="V773" s="126">
        <f t="shared" si="251"/>
        <v>1058.6750623046623</v>
      </c>
      <c r="W773">
        <f t="shared" si="252"/>
        <v>1058.6750623046623</v>
      </c>
      <c r="X773">
        <f t="shared" si="253"/>
        <v>0.5</v>
      </c>
      <c r="Y773">
        <f t="shared" si="254"/>
        <v>985.69626809012698</v>
      </c>
      <c r="Z773">
        <f t="shared" si="255"/>
        <v>0.5</v>
      </c>
      <c r="AA773">
        <f>IF($D773="",0,IF($F773&lt;2,0,IF($E773="Win",('Guide &amp; Settings'!$C$42/(($F773-1)*COUNTIFS($A$4:$A$1510,$A773,$E$4:$E$1510,"Win")))*SUMIFS($Z$4:$Z$1510,$A$4:$A$1510,$A773,$E$4:$E$1510,"Loss"),-('Guide &amp; Settings'!$C$42/($F773-1))*$Z773)))</f>
        <v>18.731713443281457</v>
      </c>
      <c r="AB773" s="126">
        <f t="shared" si="256"/>
        <v>1004.4279815334085</v>
      </c>
      <c r="AC773" s="126">
        <f>IF($D773="","",IF($AD773=0,0,IF(COUNTIFS($D$4:$D773,$D773,$B$4:$B773,$B773)&gt;1,0,IF($B773&lt;'Guide &amp; Settings'!$C$50,0,IF(($B773-$AD773)/7-'Guide &amp; Settings'!$C$48&gt;=0,(INT(($B773-$AD773)/7-'Guide &amp; Settings'!$C$48)+1)*'Guide &amp; Settings'!$C$49,0)))))</f>
        <v>0</v>
      </c>
      <c r="AD773" s="142">
        <f t="shared" si="257"/>
        <v>46297</v>
      </c>
      <c r="AE773">
        <f t="shared" si="258"/>
        <v>1</v>
      </c>
      <c r="AF773">
        <f t="shared" si="259"/>
        <v>0</v>
      </c>
    </row>
    <row r="774" spans="1:32" x14ac:dyDescent="0.2">
      <c r="A774" s="117">
        <v>328</v>
      </c>
      <c r="B774" s="118">
        <v>46320</v>
      </c>
      <c r="C774" s="119" t="s">
        <v>41</v>
      </c>
      <c r="D774" s="119" t="s">
        <v>20</v>
      </c>
      <c r="E774" s="117" t="s">
        <v>371</v>
      </c>
      <c r="F774" s="120">
        <f t="shared" si="240"/>
        <v>2</v>
      </c>
      <c r="G774" s="121" t="str">
        <f t="shared" si="241"/>
        <v>Oscar</v>
      </c>
      <c r="H774" s="122">
        <f>IF($D774="",0,IFERROR(LOOKUP(2,1/(($D$3:D773=$D774)*($A$3:A773&lt;$A774)),$N$3:N773),'Guide &amp; Settings'!$C$41))</f>
        <v>1231.9133292156973</v>
      </c>
      <c r="I774" s="123">
        <f t="shared" si="242"/>
        <v>0.70588235294117652</v>
      </c>
      <c r="J774" s="124">
        <f>IF($D774="",0,IF($F774&lt;2,0,IF($E774="Win",('Guide &amp; Settings'!$C$42/(($F774-1)*COUNTIFS($A$4:$A$1510,$A774,$E$4:$E$1510,"Win")))*SUMIFS($X$4:$X$1510,$A$4:$A$1510,$A774,$E$4:$E$1510,"Loss"),-('Guide &amp; Settings'!$C$42/($F774-1))*$X774)))</f>
        <v>-23.524659516066084</v>
      </c>
      <c r="K774" s="124">
        <f>IF($D774="",0,'Guide &amp; Settings'!$C$43*(IF($E774="Win",1,0)-$I774))</f>
        <v>-8.4705882352941178</v>
      </c>
      <c r="L774" s="125">
        <f>IF($D774="",0,'Guide &amp; Settings'!$C$44*IF($F774&gt;=3,$F774,0))</f>
        <v>0</v>
      </c>
      <c r="M774" s="124">
        <f t="shared" si="243"/>
        <v>-31.995247751360203</v>
      </c>
      <c r="N774" s="122">
        <f t="shared" si="244"/>
        <v>1199.9180814643371</v>
      </c>
      <c r="O774" s="121" t="str">
        <f t="shared" si="245"/>
        <v>OK</v>
      </c>
      <c r="P774">
        <f t="shared" si="246"/>
        <v>972.21010962469381</v>
      </c>
      <c r="Q774">
        <f t="shared" si="247"/>
        <v>0.81682335587354238</v>
      </c>
      <c r="R774">
        <f t="shared" si="248"/>
        <v>0.6</v>
      </c>
      <c r="S774">
        <f t="shared" si="249"/>
        <v>0.85</v>
      </c>
      <c r="T774" s="89">
        <f t="shared" si="250"/>
        <v>3</v>
      </c>
      <c r="U774" s="126">
        <f>IF($D774="",0,IFERROR(LOOKUP(2,1/(($D$3:D773=$D774)*($C$3:C773=$C774)*($A$3:A773&lt;$A774)),$AB$3:AB773),1000))</f>
        <v>1023.5011654330204</v>
      </c>
      <c r="V774" s="126">
        <f t="shared" si="251"/>
        <v>1153.7587677971935</v>
      </c>
      <c r="W774">
        <f t="shared" si="252"/>
        <v>976.41229098085137</v>
      </c>
      <c r="X774">
        <f t="shared" si="253"/>
        <v>0.73514560987706512</v>
      </c>
      <c r="Y774">
        <f t="shared" si="254"/>
        <v>986.91774437124525</v>
      </c>
      <c r="Z774">
        <f t="shared" si="255"/>
        <v>0.5524540627244483</v>
      </c>
      <c r="AA774">
        <f>IF($D774="",0,IF($F774&lt;2,0,IF($E774="Win",('Guide &amp; Settings'!$C$42/(($F774-1)*COUNTIFS($A$4:$A$1510,$A774,$E$4:$E$1510,"Win")))*SUMIFS($Z$4:$Z$1510,$A$4:$A$1510,$A774,$E$4:$E$1510,"Loss"),-('Guide &amp; Settings'!$C$42/($F774-1))*$Z774)))</f>
        <v>-17.678530007182346</v>
      </c>
      <c r="AB774" s="126">
        <f t="shared" si="256"/>
        <v>1005.8226354258381</v>
      </c>
      <c r="AC774" s="126">
        <f>IF($D774="","",IF($AD774=0,0,IF(COUNTIFS($D$4:$D774,$D774,$B$4:$B774,$B774)&gt;1,0,IF($B774&lt;'Guide &amp; Settings'!$C$50,0,IF(($B774-$AD774)/7-'Guide &amp; Settings'!$C$48&gt;=0,(INT(($B774-$AD774)/7-'Guide &amp; Settings'!$C$48)+1)*'Guide &amp; Settings'!$C$49,0)))))</f>
        <v>0</v>
      </c>
      <c r="AD774" s="142">
        <f t="shared" si="257"/>
        <v>46319</v>
      </c>
      <c r="AE774">
        <f t="shared" si="258"/>
        <v>1</v>
      </c>
      <c r="AF774">
        <f t="shared" si="259"/>
        <v>0</v>
      </c>
    </row>
    <row r="775" spans="1:32" x14ac:dyDescent="0.2">
      <c r="A775" s="117">
        <v>328</v>
      </c>
      <c r="B775" s="118">
        <v>46320</v>
      </c>
      <c r="C775" s="119" t="s">
        <v>41</v>
      </c>
      <c r="D775" s="119" t="s">
        <v>25</v>
      </c>
      <c r="E775" s="117" t="s">
        <v>370</v>
      </c>
      <c r="F775" s="120">
        <f t="shared" si="240"/>
        <v>2</v>
      </c>
      <c r="G775" s="121" t="str">
        <f t="shared" si="241"/>
        <v>Oscar</v>
      </c>
      <c r="H775" s="122">
        <f>IF($D775="",0,IFERROR(LOOKUP(2,1/(($D$3:D774=$D775)*($A$3:A774&lt;$A775)),$N$3:N774),'Guide &amp; Settings'!$C$41))</f>
        <v>972.21010962469381</v>
      </c>
      <c r="I775" s="123">
        <f t="shared" si="242"/>
        <v>0.29411764705882354</v>
      </c>
      <c r="J775" s="124">
        <f>IF($D775="",0,IF($F775&lt;2,0,IF($E775="Win",('Guide &amp; Settings'!$C$42/(($F775-1)*COUNTIFS($A$4:$A$1510,$A775,$E$4:$E$1510,"Win")))*SUMIFS($X$4:$X$1510,$A$4:$A$1510,$A775,$E$4:$E$1510,"Loss"),-('Guide &amp; Settings'!$C$42/($F775-1))*$X775)))</f>
        <v>23.524659516066084</v>
      </c>
      <c r="K775" s="124">
        <f>IF($D775="",0,'Guide &amp; Settings'!$C$43*(IF($E775="Win",1,0)-$I775))</f>
        <v>8.470588235294116</v>
      </c>
      <c r="L775" s="125">
        <f>IF($D775="",0,'Guide &amp; Settings'!$C$44*IF($F775&gt;=3,$F775,0))</f>
        <v>0</v>
      </c>
      <c r="M775" s="124">
        <f t="shared" si="243"/>
        <v>31.9952477513602</v>
      </c>
      <c r="N775" s="122">
        <f t="shared" si="244"/>
        <v>1004.2053573760541</v>
      </c>
      <c r="O775" s="121" t="str">
        <f t="shared" si="245"/>
        <v>OK</v>
      </c>
      <c r="P775">
        <f t="shared" si="246"/>
        <v>972.21010962469381</v>
      </c>
      <c r="Q775">
        <f t="shared" si="247"/>
        <v>0.5</v>
      </c>
      <c r="R775">
        <f t="shared" si="248"/>
        <v>0.25</v>
      </c>
      <c r="S775">
        <f t="shared" si="249"/>
        <v>0.85</v>
      </c>
      <c r="T775" s="89">
        <f t="shared" si="250"/>
        <v>2</v>
      </c>
      <c r="U775" s="126">
        <f>IF($D775="",0,IFERROR(LOOKUP(2,1/(($D$3:D774=$D775)*($C$3:C774=$C775)*($A$3:A774&lt;$A775)),$AB$3:AB774),1000))</f>
        <v>986.91774437124525</v>
      </c>
      <c r="V775" s="126">
        <f t="shared" si="251"/>
        <v>976.41229098085137</v>
      </c>
      <c r="W775">
        <f t="shared" si="252"/>
        <v>976.41229098085137</v>
      </c>
      <c r="X775">
        <f t="shared" si="253"/>
        <v>0.5</v>
      </c>
      <c r="Y775">
        <f t="shared" si="254"/>
        <v>986.91774437124525</v>
      </c>
      <c r="Z775">
        <f t="shared" si="255"/>
        <v>0.5</v>
      </c>
      <c r="AA775">
        <f>IF($D775="",0,IF($F775&lt;2,0,IF($E775="Win",('Guide &amp; Settings'!$C$42/(($F775-1)*COUNTIFS($A$4:$A$1510,$A775,$E$4:$E$1510,"Win")))*SUMIFS($Z$4:$Z$1510,$A$4:$A$1510,$A775,$E$4:$E$1510,"Loss"),-('Guide &amp; Settings'!$C$42/($F775-1))*$Z775)))</f>
        <v>17.678530007182346</v>
      </c>
      <c r="AB775" s="126">
        <f t="shared" si="256"/>
        <v>1004.5962743784276</v>
      </c>
      <c r="AC775" s="126">
        <f>IF($D775="","",IF($AD775=0,0,IF(COUNTIFS($D$4:$D775,$D775,$B$4:$B775,$B775)&gt;1,0,IF($B775&lt;'Guide &amp; Settings'!$C$50,0,IF(($B775-$AD775)/7-'Guide &amp; Settings'!$C$48&gt;=0,(INT(($B775-$AD775)/7-'Guide &amp; Settings'!$C$48)+1)*'Guide &amp; Settings'!$C$49,0)))))</f>
        <v>0</v>
      </c>
      <c r="AD775" s="142">
        <f t="shared" si="257"/>
        <v>46319</v>
      </c>
      <c r="AE775">
        <f t="shared" si="258"/>
        <v>1</v>
      </c>
      <c r="AF775">
        <f t="shared" si="259"/>
        <v>0</v>
      </c>
    </row>
    <row r="776" spans="1:32" x14ac:dyDescent="0.2">
      <c r="A776" s="117">
        <v>329</v>
      </c>
      <c r="B776" s="118">
        <v>46322</v>
      </c>
      <c r="C776" s="119" t="s">
        <v>37</v>
      </c>
      <c r="D776" s="119" t="s">
        <v>19</v>
      </c>
      <c r="E776" s="117" t="s">
        <v>370</v>
      </c>
      <c r="F776" s="120">
        <f t="shared" si="240"/>
        <v>2</v>
      </c>
      <c r="G776" s="121" t="str">
        <f t="shared" si="241"/>
        <v>Josh</v>
      </c>
      <c r="H776" s="122">
        <f>IF($D776="",0,IFERROR(LOOKUP(2,1/(($D$3:D775=$D776)*($A$3:A775&lt;$A776)),$N$3:N775),'Guide &amp; Settings'!$C$41))</f>
        <v>1251.9358369946654</v>
      </c>
      <c r="I776" s="123">
        <f t="shared" si="242"/>
        <v>0.5714285714285714</v>
      </c>
      <c r="J776" s="124">
        <f>IF($D776="",0,IF($F776&lt;2,0,IF($E776="Win",('Guide &amp; Settings'!$C$42/(($F776-1)*COUNTIFS($A$4:$A$1510,$A776,$E$4:$E$1510,"Win")))*SUMIFS($X$4:$X$1510,$A$4:$A$1510,$A776,$E$4:$E$1510,"Loss"),-('Guide &amp; Settings'!$C$42/($F776-1))*$X776)))</f>
        <v>11.191880457662304</v>
      </c>
      <c r="K776" s="124">
        <f>IF($D776="",0,'Guide &amp; Settings'!$C$43*(IF($E776="Win",1,0)-$I776))</f>
        <v>5.1428571428571432</v>
      </c>
      <c r="L776" s="125">
        <f>IF($D776="",0,'Guide &amp; Settings'!$C$44*IF($F776&gt;=3,$F776,0))</f>
        <v>0</v>
      </c>
      <c r="M776" s="124">
        <f t="shared" si="243"/>
        <v>16.334737600519446</v>
      </c>
      <c r="N776" s="122">
        <f t="shared" si="244"/>
        <v>1268.2705745951848</v>
      </c>
      <c r="O776" s="121" t="str">
        <f t="shared" si="245"/>
        <v>OK</v>
      </c>
      <c r="P776">
        <f t="shared" si="246"/>
        <v>1251.9358369946654</v>
      </c>
      <c r="Q776">
        <f t="shared" si="247"/>
        <v>0.5</v>
      </c>
      <c r="R776">
        <f t="shared" si="248"/>
        <v>0.5714285714285714</v>
      </c>
      <c r="S776">
        <f t="shared" si="249"/>
        <v>1</v>
      </c>
      <c r="T776" s="89">
        <f t="shared" si="250"/>
        <v>5</v>
      </c>
      <c r="U776" s="126">
        <f>IF($D776="",0,IFERROR(LOOKUP(2,1/(($D$3:D775=$D776)*($C$3:C775=$C776)*($A$3:A775&lt;$A776)),$AB$3:AB775),1000))</f>
        <v>1016.8703665756711</v>
      </c>
      <c r="V776" s="126">
        <f t="shared" si="251"/>
        <v>1134.4031017851682</v>
      </c>
      <c r="W776">
        <f t="shared" si="252"/>
        <v>1134.4031017851682</v>
      </c>
      <c r="X776">
        <f t="shared" si="253"/>
        <v>0.5</v>
      </c>
      <c r="Y776">
        <f t="shared" si="254"/>
        <v>1016.8703665756711</v>
      </c>
      <c r="Z776">
        <f t="shared" si="255"/>
        <v>0.5</v>
      </c>
      <c r="AA776">
        <f>IF($D776="",0,IF($F776&lt;2,0,IF($E776="Win",('Guide &amp; Settings'!$C$42/(($F776-1)*COUNTIFS($A$4:$A$1510,$A776,$E$4:$E$1510,"Win")))*SUMIFS($Z$4:$Z$1510,$A$4:$A$1510,$A776,$E$4:$E$1510,"Loss"),-('Guide &amp; Settings'!$C$42/($F776-1))*$Z776)))</f>
        <v>13.974931145270624</v>
      </c>
      <c r="AB776" s="126">
        <f t="shared" si="256"/>
        <v>1030.8452977209417</v>
      </c>
      <c r="AC776" s="126">
        <f>IF($D776="","",IF($AD776=0,0,IF(COUNTIFS($D$4:$D776,$D776,$B$4:$B776,$B776)&gt;1,0,IF($B776&lt;'Guide &amp; Settings'!$C$50,0,IF(($B776-$AD776)/7-'Guide &amp; Settings'!$C$48&gt;=0,(INT(($B776-$AD776)/7-'Guide &amp; Settings'!$C$48)+1)*'Guide &amp; Settings'!$C$49,0)))))</f>
        <v>0</v>
      </c>
      <c r="AD776" s="142">
        <f t="shared" si="257"/>
        <v>46303</v>
      </c>
      <c r="AE776">
        <f t="shared" si="258"/>
        <v>1</v>
      </c>
      <c r="AF776">
        <f t="shared" si="259"/>
        <v>0</v>
      </c>
    </row>
    <row r="777" spans="1:32" x14ac:dyDescent="0.2">
      <c r="A777" s="117">
        <v>329</v>
      </c>
      <c r="B777" s="118">
        <v>46322</v>
      </c>
      <c r="C777" s="119" t="s">
        <v>37</v>
      </c>
      <c r="D777" s="119" t="s">
        <v>22</v>
      </c>
      <c r="E777" s="117" t="s">
        <v>371</v>
      </c>
      <c r="F777" s="120">
        <f t="shared" si="240"/>
        <v>2</v>
      </c>
      <c r="G777" s="121" t="str">
        <f t="shared" si="241"/>
        <v>Josh</v>
      </c>
      <c r="H777" s="122">
        <f>IF($D777="",0,IFERROR(LOOKUP(2,1/(($D$3:D776=$D777)*($A$3:A776&lt;$A777)),$N$3:N776),'Guide &amp; Settings'!$C$41))</f>
        <v>1156.2993424480139</v>
      </c>
      <c r="I777" s="123">
        <f t="shared" si="242"/>
        <v>0.42857142857142855</v>
      </c>
      <c r="J777" s="124">
        <f>IF($D777="",0,IF($F777&lt;2,0,IF($E777="Win",('Guide &amp; Settings'!$C$42/(($F777-1)*COUNTIFS($A$4:$A$1510,$A777,$E$4:$E$1510,"Win")))*SUMIFS($X$4:$X$1510,$A$4:$A$1510,$A777,$E$4:$E$1510,"Loss"),-('Guide &amp; Settings'!$C$42/($F777-1))*$X777)))</f>
        <v>-11.191880457662304</v>
      </c>
      <c r="K777" s="124">
        <f>IF($D777="",0,'Guide &amp; Settings'!$C$43*(IF($E777="Win",1,0)-$I777))</f>
        <v>-5.1428571428571423</v>
      </c>
      <c r="L777" s="125">
        <f>IF($D777="",0,'Guide &amp; Settings'!$C$44*IF($F777&gt;=3,$F777,0))</f>
        <v>0</v>
      </c>
      <c r="M777" s="124">
        <f t="shared" si="243"/>
        <v>-16.334737600519446</v>
      </c>
      <c r="N777" s="122">
        <f t="shared" si="244"/>
        <v>1139.9646048474945</v>
      </c>
      <c r="O777" s="121" t="str">
        <f t="shared" si="245"/>
        <v>OK</v>
      </c>
      <c r="P777">
        <f t="shared" si="246"/>
        <v>1251.9358369946654</v>
      </c>
      <c r="Q777">
        <f t="shared" si="247"/>
        <v>0.36574193694979046</v>
      </c>
      <c r="R777">
        <f t="shared" si="248"/>
        <v>0.42857142857142855</v>
      </c>
      <c r="S777">
        <f t="shared" si="249"/>
        <v>1</v>
      </c>
      <c r="T777" s="89">
        <f t="shared" si="250"/>
        <v>12</v>
      </c>
      <c r="U777" s="126">
        <f>IF($D777="",0,IFERROR(LOOKUP(2,1/(($D$3:D776=$D777)*($C$3:C776=$C777)*($A$3:A776&lt;$A777)),$AB$3:AB776),1000))</f>
        <v>972.65946434071009</v>
      </c>
      <c r="V777" s="126">
        <f t="shared" si="251"/>
        <v>1026.6711931957996</v>
      </c>
      <c r="W777">
        <f t="shared" si="252"/>
        <v>1134.4031017851682</v>
      </c>
      <c r="X777">
        <f t="shared" si="253"/>
        <v>0.349746264301947</v>
      </c>
      <c r="Y777">
        <f t="shared" si="254"/>
        <v>1016.8703665756711</v>
      </c>
      <c r="Z777">
        <f t="shared" si="255"/>
        <v>0.43671659828970699</v>
      </c>
      <c r="AA777">
        <f>IF($D777="",0,IF($F777&lt;2,0,IF($E777="Win",('Guide &amp; Settings'!$C$42/(($F777-1)*COUNTIFS($A$4:$A$1510,$A777,$E$4:$E$1510,"Win")))*SUMIFS($Z$4:$Z$1510,$A$4:$A$1510,$A777,$E$4:$E$1510,"Loss"),-('Guide &amp; Settings'!$C$42/($F777-1))*$Z777)))</f>
        <v>-13.974931145270624</v>
      </c>
      <c r="AB777" s="126">
        <f t="shared" si="256"/>
        <v>958.68453319543949</v>
      </c>
      <c r="AC777" s="126">
        <f>IF($D777="","",IF($AD777=0,0,IF(COUNTIFS($D$4:$D777,$D777,$B$4:$B777,$B777)&gt;1,0,IF($B777&lt;'Guide &amp; Settings'!$C$50,0,IF(($B777-$AD777)/7-'Guide &amp; Settings'!$C$48&gt;=0,(INT(($B777-$AD777)/7-'Guide &amp; Settings'!$C$48)+1)*'Guide &amp; Settings'!$C$49,0)))))</f>
        <v>0</v>
      </c>
      <c r="AD777" s="142">
        <f t="shared" si="257"/>
        <v>46319</v>
      </c>
      <c r="AE777">
        <f t="shared" si="258"/>
        <v>1</v>
      </c>
      <c r="AF777">
        <f t="shared" si="259"/>
        <v>0</v>
      </c>
    </row>
    <row r="778" spans="1:32" x14ac:dyDescent="0.2">
      <c r="A778" s="117">
        <v>330</v>
      </c>
      <c r="B778" s="118">
        <v>46322</v>
      </c>
      <c r="C778" s="119" t="s">
        <v>37</v>
      </c>
      <c r="D778" s="119" t="s">
        <v>22</v>
      </c>
      <c r="E778" s="117" t="s">
        <v>370</v>
      </c>
      <c r="F778" s="120">
        <f t="shared" si="240"/>
        <v>2</v>
      </c>
      <c r="G778" s="121" t="str">
        <f t="shared" si="241"/>
        <v>Daniel (Ferret)</v>
      </c>
      <c r="H778" s="122">
        <f>IF($D778="",0,IFERROR(LOOKUP(2,1/(($D$3:D777=$D778)*($A$3:A777&lt;$A778)),$N$3:N777),'Guide &amp; Settings'!$C$41))</f>
        <v>1139.9646048474945</v>
      </c>
      <c r="I778" s="123">
        <f t="shared" si="242"/>
        <v>0.39024390243902446</v>
      </c>
      <c r="J778" s="124">
        <f>IF($D778="",0,IF($F778&lt;2,0,IF($E778="Win",('Guide &amp; Settings'!$C$42/(($F778-1)*COUNTIFS($A$4:$A$1510,$A778,$E$4:$E$1510,"Win")))*SUMIFS($X$4:$X$1510,$A$4:$A$1510,$A778,$E$4:$E$1510,"Loss"),-('Guide &amp; Settings'!$C$42/($F778-1))*$X778)))</f>
        <v>21.711124789180094</v>
      </c>
      <c r="K778" s="124">
        <f>IF($D778="",0,'Guide &amp; Settings'!$C$43*(IF($E778="Win",1,0)-$I778))</f>
        <v>7.3170731707317058</v>
      </c>
      <c r="L778" s="125">
        <f>IF($D778="",0,'Guide &amp; Settings'!$C$44*IF($F778&gt;=3,$F778,0))</f>
        <v>0</v>
      </c>
      <c r="M778" s="124">
        <f t="shared" si="243"/>
        <v>29.0281979599118</v>
      </c>
      <c r="N778" s="122">
        <f t="shared" si="244"/>
        <v>1168.9928028074062</v>
      </c>
      <c r="O778" s="121" t="str">
        <f t="shared" si="245"/>
        <v>OK</v>
      </c>
      <c r="P778">
        <f t="shared" si="246"/>
        <v>1139.9646048474945</v>
      </c>
      <c r="Q778">
        <f t="shared" si="247"/>
        <v>0.5</v>
      </c>
      <c r="R778">
        <f t="shared" si="248"/>
        <v>0.4</v>
      </c>
      <c r="S778">
        <f t="shared" si="249"/>
        <v>1.0249999999999999</v>
      </c>
      <c r="T778" s="89">
        <f t="shared" si="250"/>
        <v>13</v>
      </c>
      <c r="U778" s="126">
        <f>IF($D778="",0,IFERROR(LOOKUP(2,1/(($D$3:D777=$D778)*($C$3:C777=$C778)*($A$3:A777&lt;$A778)),$AB$3:AB777),1000))</f>
        <v>958.68453319543949</v>
      </c>
      <c r="V778" s="126">
        <f t="shared" si="251"/>
        <v>1009.0401086543436</v>
      </c>
      <c r="W778">
        <f t="shared" si="252"/>
        <v>1009.0401086543436</v>
      </c>
      <c r="X778">
        <f t="shared" si="253"/>
        <v>0.5</v>
      </c>
      <c r="Y778">
        <f t="shared" si="254"/>
        <v>958.68453319543949</v>
      </c>
      <c r="Z778">
        <f t="shared" si="255"/>
        <v>0.5</v>
      </c>
      <c r="AA778">
        <f>IF($D778="",0,IF($F778&lt;2,0,IF($E778="Win",('Guide &amp; Settings'!$C$42/(($F778-1)*COUNTIFS($A$4:$A$1510,$A778,$E$4:$E$1510,"Win")))*SUMIFS($Z$4:$Z$1510,$A$4:$A$1510,$A778,$E$4:$E$1510,"Loss"),-('Guide &amp; Settings'!$C$42/($F778-1))*$Z778)))</f>
        <v>19.276152731392337</v>
      </c>
      <c r="AB778" s="126">
        <f t="shared" si="256"/>
        <v>977.96068592683184</v>
      </c>
      <c r="AC778" s="126">
        <f>IF($D778="","",IF($AD778=0,0,IF(COUNTIFS($D$4:$D778,$D778,$B$4:$B778,$B778)&gt;1,0,IF($B778&lt;'Guide &amp; Settings'!$C$50,0,IF(($B778-$AD778)/7-'Guide &amp; Settings'!$C$48&gt;=0,(INT(($B778-$AD778)/7-'Guide &amp; Settings'!$C$48)+1)*'Guide &amp; Settings'!$C$49,0)))))</f>
        <v>0</v>
      </c>
      <c r="AD778" s="142">
        <f t="shared" si="257"/>
        <v>46319</v>
      </c>
      <c r="AE778">
        <f t="shared" si="258"/>
        <v>1</v>
      </c>
      <c r="AF778">
        <f t="shared" si="259"/>
        <v>0</v>
      </c>
    </row>
    <row r="779" spans="1:32" x14ac:dyDescent="0.2">
      <c r="A779" s="117">
        <v>330</v>
      </c>
      <c r="B779" s="118">
        <v>46322</v>
      </c>
      <c r="C779" s="119" t="s">
        <v>37</v>
      </c>
      <c r="D779" s="119" t="s">
        <v>19</v>
      </c>
      <c r="E779" s="117" t="s">
        <v>371</v>
      </c>
      <c r="F779" s="120">
        <f t="shared" si="240"/>
        <v>2</v>
      </c>
      <c r="G779" s="121" t="str">
        <f t="shared" si="241"/>
        <v>Daniel (Ferret)</v>
      </c>
      <c r="H779" s="122">
        <f>IF($D779="",0,IFERROR(LOOKUP(2,1/(($D$3:D778=$D779)*($A$3:A778&lt;$A779)),$N$3:N778),'Guide &amp; Settings'!$C$41))</f>
        <v>1268.2705745951848</v>
      </c>
      <c r="I779" s="123">
        <f t="shared" si="242"/>
        <v>0.60975609756097571</v>
      </c>
      <c r="J779" s="124">
        <f>IF($D779="",0,IF($F779&lt;2,0,IF($E779="Win",('Guide &amp; Settings'!$C$42/(($F779-1)*COUNTIFS($A$4:$A$1510,$A779,$E$4:$E$1510,"Win")))*SUMIFS($X$4:$X$1510,$A$4:$A$1510,$A779,$E$4:$E$1510,"Loss"),-('Guide &amp; Settings'!$C$42/($F779-1))*$X779)))</f>
        <v>-21.711124789180094</v>
      </c>
      <c r="K779" s="124">
        <f>IF($D779="",0,'Guide &amp; Settings'!$C$43*(IF($E779="Win",1,0)-$I779))</f>
        <v>-7.3170731707317085</v>
      </c>
      <c r="L779" s="125">
        <f>IF($D779="",0,'Guide &amp; Settings'!$C$44*IF($F779&gt;=3,$F779,0))</f>
        <v>0</v>
      </c>
      <c r="M779" s="124">
        <f t="shared" si="243"/>
        <v>-29.0281979599118</v>
      </c>
      <c r="N779" s="122">
        <f t="shared" si="244"/>
        <v>1239.2423766352731</v>
      </c>
      <c r="O779" s="121" t="str">
        <f t="shared" si="245"/>
        <v>OK</v>
      </c>
      <c r="P779">
        <f t="shared" si="246"/>
        <v>1139.9646048474945</v>
      </c>
      <c r="Q779">
        <f t="shared" si="247"/>
        <v>0.6766871302373525</v>
      </c>
      <c r="R779">
        <f t="shared" si="248"/>
        <v>0.625</v>
      </c>
      <c r="S779">
        <f t="shared" si="249"/>
        <v>1.0249999999999999</v>
      </c>
      <c r="T779" s="89">
        <f t="shared" si="250"/>
        <v>6</v>
      </c>
      <c r="U779" s="126">
        <f>IF($D779="",0,IFERROR(LOOKUP(2,1/(($D$3:D778=$D779)*($C$3:C778=$C779)*($A$3:A778&lt;$A779)),$AB$3:AB778),1000))</f>
        <v>1030.8452977209417</v>
      </c>
      <c r="V779" s="126">
        <f t="shared" si="251"/>
        <v>1138.765878118325</v>
      </c>
      <c r="W779">
        <f t="shared" si="252"/>
        <v>1009.0401086543436</v>
      </c>
      <c r="X779">
        <f t="shared" si="253"/>
        <v>0.67847264966187792</v>
      </c>
      <c r="Y779">
        <f t="shared" si="254"/>
        <v>958.68453319543949</v>
      </c>
      <c r="Z779">
        <f t="shared" si="255"/>
        <v>0.60237977285601052</v>
      </c>
      <c r="AA779">
        <f>IF($D779="",0,IF($F779&lt;2,0,IF($E779="Win",('Guide &amp; Settings'!$C$42/(($F779-1)*COUNTIFS($A$4:$A$1510,$A779,$E$4:$E$1510,"Win")))*SUMIFS($Z$4:$Z$1510,$A$4:$A$1510,$A779,$E$4:$E$1510,"Loss"),-('Guide &amp; Settings'!$C$42/($F779-1))*$Z779)))</f>
        <v>-19.276152731392337</v>
      </c>
      <c r="AB779" s="126">
        <f t="shared" si="256"/>
        <v>1011.5691449895494</v>
      </c>
      <c r="AC779" s="126">
        <f>IF($D779="","",IF($AD779=0,0,IF(COUNTIFS($D$4:$D779,$D779,$B$4:$B779,$B779)&gt;1,0,IF($B779&lt;'Guide &amp; Settings'!$C$50,0,IF(($B779-$AD779)/7-'Guide &amp; Settings'!$C$48&gt;=0,(INT(($B779-$AD779)/7-'Guide &amp; Settings'!$C$48)+1)*'Guide &amp; Settings'!$C$49,0)))))</f>
        <v>0</v>
      </c>
      <c r="AD779" s="142">
        <f t="shared" si="257"/>
        <v>46303</v>
      </c>
      <c r="AE779">
        <f t="shared" si="258"/>
        <v>1</v>
      </c>
      <c r="AF779">
        <f t="shared" si="259"/>
        <v>0</v>
      </c>
    </row>
    <row r="780" spans="1:32" x14ac:dyDescent="0.2">
      <c r="A780" s="117">
        <v>331</v>
      </c>
      <c r="B780" s="118">
        <v>46322</v>
      </c>
      <c r="C780" s="119" t="s">
        <v>44</v>
      </c>
      <c r="D780" s="119" t="s">
        <v>19</v>
      </c>
      <c r="E780" s="117" t="s">
        <v>370</v>
      </c>
      <c r="F780" s="120">
        <f t="shared" si="240"/>
        <v>2</v>
      </c>
      <c r="G780" s="121" t="str">
        <f t="shared" si="241"/>
        <v>Josh</v>
      </c>
      <c r="H780" s="122">
        <f>IF($D780="",0,IFERROR(LOOKUP(2,1/(($D$3:D779=$D780)*($A$3:A779&lt;$A780)),$N$3:N779),'Guide &amp; Settings'!$C$41))</f>
        <v>1239.2423766352731</v>
      </c>
      <c r="I780" s="123">
        <f t="shared" si="242"/>
        <v>0.78750000000000009</v>
      </c>
      <c r="J780" s="124">
        <f>IF($D780="",0,IF($F780&lt;2,0,IF($E780="Win",('Guide &amp; Settings'!$C$42/(($F780-1)*COUNTIFS($A$4:$A$1510,$A780,$E$4:$E$1510,"Win")))*SUMIFS($X$4:$X$1510,$A$4:$A$1510,$A780,$E$4:$E$1510,"Loss"),-('Guide &amp; Settings'!$C$42/($F780-1))*$X780)))</f>
        <v>8.501847928398476</v>
      </c>
      <c r="K780" s="124">
        <f>IF($D780="",0,'Guide &amp; Settings'!$C$43*(IF($E780="Win",1,0)-$I780))</f>
        <v>2.5499999999999989</v>
      </c>
      <c r="L780" s="125">
        <f>IF($D780="",0,'Guide &amp; Settings'!$C$44*IF($F780&gt;=3,$F780,0))</f>
        <v>0</v>
      </c>
      <c r="M780" s="124">
        <f t="shared" si="243"/>
        <v>11.051847928398475</v>
      </c>
      <c r="N780" s="122">
        <f t="shared" si="244"/>
        <v>1250.2942245636716</v>
      </c>
      <c r="O780" s="121" t="str">
        <f t="shared" si="245"/>
        <v>OK</v>
      </c>
      <c r="P780">
        <f t="shared" si="246"/>
        <v>1239.2423766352731</v>
      </c>
      <c r="Q780">
        <f t="shared" si="247"/>
        <v>0.5</v>
      </c>
      <c r="R780">
        <f t="shared" si="248"/>
        <v>0.82352941176470584</v>
      </c>
      <c r="S780">
        <f t="shared" si="249"/>
        <v>1.0457516339869279</v>
      </c>
      <c r="T780" s="89">
        <f t="shared" si="250"/>
        <v>15</v>
      </c>
      <c r="U780" s="126">
        <f>IF($D780="",0,IFERROR(LOOKUP(2,1/(($D$3:D779=$D780)*($C$3:C779=$C780)*($A$3:A779&lt;$A780)),$AB$3:AB779),1000))</f>
        <v>1109.0218511200758</v>
      </c>
      <c r="V780" s="126">
        <f t="shared" si="251"/>
        <v>1141.5769824988752</v>
      </c>
      <c r="W780">
        <f t="shared" si="252"/>
        <v>1141.5769824988752</v>
      </c>
      <c r="X780">
        <f t="shared" si="253"/>
        <v>0.5</v>
      </c>
      <c r="Y780">
        <f t="shared" si="254"/>
        <v>1109.0218511200758</v>
      </c>
      <c r="Z780">
        <f t="shared" si="255"/>
        <v>0.5</v>
      </c>
      <c r="AA780">
        <f>IF($D780="",0,IF($F780&lt;2,0,IF($E780="Win",('Guide &amp; Settings'!$C$42/(($F780-1)*COUNTIFS($A$4:$A$1510,$A780,$E$4:$E$1510,"Win")))*SUMIFS($Z$4:$Z$1510,$A$4:$A$1510,$A780,$E$4:$E$1510,"Loss"),-('Guide &amp; Settings'!$C$42/($F780-1))*$Z780)))</f>
        <v>7.4285560165961204</v>
      </c>
      <c r="AB780" s="126">
        <f t="shared" si="256"/>
        <v>1116.4504071366719</v>
      </c>
      <c r="AC780" s="126">
        <f>IF($D780="","",IF($AD780=0,0,IF(COUNTIFS($D$4:$D780,$D780,$B$4:$B780,$B780)&gt;1,0,IF($B780&lt;'Guide &amp; Settings'!$C$50,0,IF(($B780-$AD780)/7-'Guide &amp; Settings'!$C$48&gt;=0,(INT(($B780-$AD780)/7-'Guide &amp; Settings'!$C$48)+1)*'Guide &amp; Settings'!$C$49,0)))))</f>
        <v>0</v>
      </c>
      <c r="AD780" s="142">
        <f t="shared" si="257"/>
        <v>46303</v>
      </c>
      <c r="AE780">
        <f t="shared" si="258"/>
        <v>1</v>
      </c>
      <c r="AF780">
        <f t="shared" si="259"/>
        <v>0</v>
      </c>
    </row>
    <row r="781" spans="1:32" x14ac:dyDescent="0.2">
      <c r="A781" s="117">
        <v>331</v>
      </c>
      <c r="B781" s="118">
        <v>46322</v>
      </c>
      <c r="C781" s="119" t="s">
        <v>44</v>
      </c>
      <c r="D781" s="119" t="s">
        <v>22</v>
      </c>
      <c r="E781" s="117" t="s">
        <v>371</v>
      </c>
      <c r="F781" s="120">
        <f t="shared" si="240"/>
        <v>2</v>
      </c>
      <c r="G781" s="121" t="str">
        <f t="shared" si="241"/>
        <v>Josh</v>
      </c>
      <c r="H781" s="122">
        <f>IF($D781="",0,IFERROR(LOOKUP(2,1/(($D$3:D780=$D781)*($A$3:A780&lt;$A781)),$N$3:N780),'Guide &amp; Settings'!$C$41))</f>
        <v>1168.9928028074062</v>
      </c>
      <c r="I781" s="123">
        <f t="shared" si="242"/>
        <v>0.21250000000000002</v>
      </c>
      <c r="J781" s="124">
        <f>IF($D781="",0,IF($F781&lt;2,0,IF($E781="Win",('Guide &amp; Settings'!$C$42/(($F781-1)*COUNTIFS($A$4:$A$1510,$A781,$E$4:$E$1510,"Win")))*SUMIFS($X$4:$X$1510,$A$4:$A$1510,$A781,$E$4:$E$1510,"Loss"),-('Guide &amp; Settings'!$C$42/($F781-1))*$X781)))</f>
        <v>-8.501847928398476</v>
      </c>
      <c r="K781" s="124">
        <f>IF($D781="",0,'Guide &amp; Settings'!$C$43*(IF($E781="Win",1,0)-$I781))</f>
        <v>-2.5500000000000003</v>
      </c>
      <c r="L781" s="125">
        <f>IF($D781="",0,'Guide &amp; Settings'!$C$44*IF($F781&gt;=3,$F781,0))</f>
        <v>0</v>
      </c>
      <c r="M781" s="124">
        <f t="shared" si="243"/>
        <v>-11.051847928398477</v>
      </c>
      <c r="N781" s="122">
        <f t="shared" si="244"/>
        <v>1157.9409548790077</v>
      </c>
      <c r="O781" s="121" t="str">
        <f t="shared" si="245"/>
        <v>OK</v>
      </c>
      <c r="P781">
        <f t="shared" si="246"/>
        <v>1239.2423766352731</v>
      </c>
      <c r="Q781">
        <f t="shared" si="247"/>
        <v>0.40025828082232046</v>
      </c>
      <c r="R781">
        <f t="shared" si="248"/>
        <v>0.22222222222222221</v>
      </c>
      <c r="S781">
        <f t="shared" si="249"/>
        <v>1.0457516339869279</v>
      </c>
      <c r="T781" s="89">
        <f t="shared" si="250"/>
        <v>16</v>
      </c>
      <c r="U781" s="126">
        <f>IF($D781="",0,IFERROR(LOOKUP(2,1/(($D$3:D780=$D781)*($C$3:C780=$C781)*($A$3:A780&lt;$A781)),$AB$3:AB780),1000))</f>
        <v>901.21134043896427</v>
      </c>
      <c r="V781" s="126">
        <f t="shared" si="251"/>
        <v>964.96883147906942</v>
      </c>
      <c r="W781">
        <f t="shared" si="252"/>
        <v>1141.5769824988752</v>
      </c>
      <c r="X781">
        <f t="shared" si="253"/>
        <v>0.26568274776245238</v>
      </c>
      <c r="Y781">
        <f t="shared" si="254"/>
        <v>1109.0218511200758</v>
      </c>
      <c r="Z781">
        <f t="shared" si="255"/>
        <v>0.23214237551862876</v>
      </c>
      <c r="AA781">
        <f>IF($D781="",0,IF($F781&lt;2,0,IF($E781="Win",('Guide &amp; Settings'!$C$42/(($F781-1)*COUNTIFS($A$4:$A$1510,$A781,$E$4:$E$1510,"Win")))*SUMIFS($Z$4:$Z$1510,$A$4:$A$1510,$A781,$E$4:$E$1510,"Loss"),-('Guide &amp; Settings'!$C$42/($F781-1))*$Z781)))</f>
        <v>-7.4285560165961204</v>
      </c>
      <c r="AB781" s="126">
        <f t="shared" si="256"/>
        <v>893.7827844223682</v>
      </c>
      <c r="AC781" s="126">
        <f>IF($D781="","",IF($AD781=0,0,IF(COUNTIFS($D$4:$D781,$D781,$B$4:$B781,$B781)&gt;1,0,IF($B781&lt;'Guide &amp; Settings'!$C$50,0,IF(($B781-$AD781)/7-'Guide &amp; Settings'!$C$48&gt;=0,(INT(($B781-$AD781)/7-'Guide &amp; Settings'!$C$48)+1)*'Guide &amp; Settings'!$C$49,0)))))</f>
        <v>0</v>
      </c>
      <c r="AD781" s="142">
        <f t="shared" si="257"/>
        <v>46319</v>
      </c>
      <c r="AE781">
        <f t="shared" si="258"/>
        <v>1</v>
      </c>
      <c r="AF781">
        <f t="shared" si="259"/>
        <v>0</v>
      </c>
    </row>
    <row r="782" spans="1:32" x14ac:dyDescent="0.2">
      <c r="A782" s="117">
        <v>332</v>
      </c>
      <c r="B782" s="118">
        <v>46322</v>
      </c>
      <c r="C782" s="119" t="s">
        <v>44</v>
      </c>
      <c r="D782" s="119" t="s">
        <v>19</v>
      </c>
      <c r="E782" s="117" t="s">
        <v>370</v>
      </c>
      <c r="F782" s="120">
        <f t="shared" si="240"/>
        <v>2</v>
      </c>
      <c r="G782" s="121" t="str">
        <f t="shared" si="241"/>
        <v>Josh</v>
      </c>
      <c r="H782" s="122">
        <f>IF($D782="",0,IFERROR(LOOKUP(2,1/(($D$3:D781=$D782)*($A$3:A781&lt;$A782)),$N$3:N781),'Guide &amp; Settings'!$C$41))</f>
        <v>1250.2942245636716</v>
      </c>
      <c r="I782" s="123">
        <f t="shared" si="242"/>
        <v>0.79831932773109249</v>
      </c>
      <c r="J782" s="124">
        <f>IF($D782="",0,IF($F782&lt;2,0,IF($E782="Win",('Guide &amp; Settings'!$C$42/(($F782-1)*COUNTIFS($A$4:$A$1510,$A782,$E$4:$E$1510,"Win")))*SUMIFS($X$4:$X$1510,$A$4:$A$1510,$A782,$E$4:$E$1510,"Loss"),-('Guide &amp; Settings'!$C$42/($F782-1))*$X782)))</f>
        <v>7.8745712115717792</v>
      </c>
      <c r="K782" s="124">
        <f>IF($D782="",0,'Guide &amp; Settings'!$C$43*(IF($E782="Win",1,0)-$I782))</f>
        <v>2.4201680672268902</v>
      </c>
      <c r="L782" s="125">
        <f>IF($D782="",0,'Guide &amp; Settings'!$C$44*IF($F782&gt;=3,$F782,0))</f>
        <v>0</v>
      </c>
      <c r="M782" s="124">
        <f t="shared" si="243"/>
        <v>10.294739278798669</v>
      </c>
      <c r="N782" s="122">
        <f t="shared" si="244"/>
        <v>1260.5889638424703</v>
      </c>
      <c r="O782" s="121" t="str">
        <f t="shared" si="245"/>
        <v>OK</v>
      </c>
      <c r="P782">
        <f t="shared" si="246"/>
        <v>1250.2942245636716</v>
      </c>
      <c r="Q782">
        <f t="shared" si="247"/>
        <v>0.5</v>
      </c>
      <c r="R782">
        <f t="shared" si="248"/>
        <v>0.83333333333333337</v>
      </c>
      <c r="S782">
        <f t="shared" si="249"/>
        <v>1.0438596491228069</v>
      </c>
      <c r="T782" s="89">
        <f t="shared" si="250"/>
        <v>16</v>
      </c>
      <c r="U782" s="126">
        <f>IF($D782="",0,IFERROR(LOOKUP(2,1/(($D$3:D781=$D782)*($C$3:C781=$C782)*($A$3:A781&lt;$A782)),$AB$3:AB781),1000))</f>
        <v>1116.4504071366719</v>
      </c>
      <c r="V782" s="126">
        <f t="shared" si="251"/>
        <v>1148.3179827145289</v>
      </c>
      <c r="W782">
        <f t="shared" si="252"/>
        <v>1148.3179827145289</v>
      </c>
      <c r="X782">
        <f t="shared" si="253"/>
        <v>0.5</v>
      </c>
      <c r="Y782">
        <f t="shared" si="254"/>
        <v>1116.4504071366719</v>
      </c>
      <c r="Z782">
        <f t="shared" si="255"/>
        <v>0.5</v>
      </c>
      <c r="AA782">
        <f>IF($D782="",0,IF($F782&lt;2,0,IF($E782="Win",('Guide &amp; Settings'!$C$42/(($F782-1)*COUNTIFS($A$4:$A$1510,$A782,$E$4:$E$1510,"Win")))*SUMIFS($Z$4:$Z$1510,$A$4:$A$1510,$A782,$E$4:$E$1510,"Loss"),-('Guide &amp; Settings'!$C$42/($F782-1))*$Z782)))</f>
        <v>6.9519277575067191</v>
      </c>
      <c r="AB782" s="126">
        <f t="shared" si="256"/>
        <v>1123.4023348941785</v>
      </c>
      <c r="AC782" s="126">
        <f>IF($D782="","",IF($AD782=0,0,IF(COUNTIFS($D$4:$D782,$D782,$B$4:$B782,$B782)&gt;1,0,IF($B782&lt;'Guide &amp; Settings'!$C$50,0,IF(($B782-$AD782)/7-'Guide &amp; Settings'!$C$48&gt;=0,(INT(($B782-$AD782)/7-'Guide &amp; Settings'!$C$48)+1)*'Guide &amp; Settings'!$C$49,0)))))</f>
        <v>0</v>
      </c>
      <c r="AD782" s="142">
        <f t="shared" si="257"/>
        <v>46303</v>
      </c>
      <c r="AE782">
        <f t="shared" si="258"/>
        <v>1</v>
      </c>
      <c r="AF782">
        <f t="shared" si="259"/>
        <v>0</v>
      </c>
    </row>
    <row r="783" spans="1:32" x14ac:dyDescent="0.2">
      <c r="A783" s="117">
        <v>332</v>
      </c>
      <c r="B783" s="118">
        <v>46322</v>
      </c>
      <c r="C783" s="119" t="s">
        <v>44</v>
      </c>
      <c r="D783" s="119" t="s">
        <v>22</v>
      </c>
      <c r="E783" s="117" t="s">
        <v>371</v>
      </c>
      <c r="F783" s="120">
        <f t="shared" si="240"/>
        <v>2</v>
      </c>
      <c r="G783" s="121" t="str">
        <f t="shared" si="241"/>
        <v>Josh</v>
      </c>
      <c r="H783" s="122">
        <f>IF($D783="",0,IFERROR(LOOKUP(2,1/(($D$3:D782=$D783)*($A$3:A782&lt;$A783)),$N$3:N782),'Guide &amp; Settings'!$C$41))</f>
        <v>1157.9409548790077</v>
      </c>
      <c r="I783" s="123">
        <f t="shared" si="242"/>
        <v>0.20168067226890757</v>
      </c>
      <c r="J783" s="124">
        <f>IF($D783="",0,IF($F783&lt;2,0,IF($E783="Win",('Guide &amp; Settings'!$C$42/(($F783-1)*COUNTIFS($A$4:$A$1510,$A783,$E$4:$E$1510,"Win")))*SUMIFS($X$4:$X$1510,$A$4:$A$1510,$A783,$E$4:$E$1510,"Loss"),-('Guide &amp; Settings'!$C$42/($F783-1))*$X783)))</f>
        <v>-7.8745712115717792</v>
      </c>
      <c r="K783" s="124">
        <f>IF($D783="",0,'Guide &amp; Settings'!$C$43*(IF($E783="Win",1,0)-$I783))</f>
        <v>-2.420168067226891</v>
      </c>
      <c r="L783" s="125">
        <f>IF($D783="",0,'Guide &amp; Settings'!$C$44*IF($F783&gt;=3,$F783,0))</f>
        <v>0</v>
      </c>
      <c r="M783" s="124">
        <f t="shared" si="243"/>
        <v>-10.294739278798669</v>
      </c>
      <c r="N783" s="122">
        <f t="shared" si="244"/>
        <v>1147.646215600209</v>
      </c>
      <c r="O783" s="121" t="str">
        <f t="shared" si="245"/>
        <v>OK</v>
      </c>
      <c r="P783">
        <f t="shared" si="246"/>
        <v>1250.2942245636716</v>
      </c>
      <c r="Q783">
        <f t="shared" si="247"/>
        <v>0.37013722681342576</v>
      </c>
      <c r="R783">
        <f t="shared" si="248"/>
        <v>0.21052631578947367</v>
      </c>
      <c r="S783">
        <f t="shared" si="249"/>
        <v>1.0438596491228069</v>
      </c>
      <c r="T783" s="89">
        <f t="shared" si="250"/>
        <v>17</v>
      </c>
      <c r="U783" s="126">
        <f>IF($D783="",0,IFERROR(LOOKUP(2,1/(($D$3:D782=$D783)*($C$3:C782=$C783)*($A$3:A782&lt;$A783)),$AB$3:AB782),1000))</f>
        <v>893.7827844223682</v>
      </c>
      <c r="V783" s="126">
        <f t="shared" si="251"/>
        <v>953.8187322534227</v>
      </c>
      <c r="W783">
        <f t="shared" si="252"/>
        <v>1148.3179827145289</v>
      </c>
      <c r="X783">
        <f t="shared" si="253"/>
        <v>0.2460803503616181</v>
      </c>
      <c r="Y783">
        <f t="shared" si="254"/>
        <v>1116.4504071366719</v>
      </c>
      <c r="Z783">
        <f t="shared" si="255"/>
        <v>0.21724774242208497</v>
      </c>
      <c r="AA783">
        <f>IF($D783="",0,IF($F783&lt;2,0,IF($E783="Win",('Guide &amp; Settings'!$C$42/(($F783-1)*COUNTIFS($A$4:$A$1510,$A783,$E$4:$E$1510,"Win")))*SUMIFS($Z$4:$Z$1510,$A$4:$A$1510,$A783,$E$4:$E$1510,"Loss"),-('Guide &amp; Settings'!$C$42/($F783-1))*$Z783)))</f>
        <v>-6.9519277575067191</v>
      </c>
      <c r="AB783" s="126">
        <f t="shared" si="256"/>
        <v>886.83085666486147</v>
      </c>
      <c r="AC783" s="126">
        <f>IF($D783="","",IF($AD783=0,0,IF(COUNTIFS($D$4:$D783,$D783,$B$4:$B783,$B783)&gt;1,0,IF($B783&lt;'Guide &amp; Settings'!$C$50,0,IF(($B783-$AD783)/7-'Guide &amp; Settings'!$C$48&gt;=0,(INT(($B783-$AD783)/7-'Guide &amp; Settings'!$C$48)+1)*'Guide &amp; Settings'!$C$49,0)))))</f>
        <v>0</v>
      </c>
      <c r="AD783" s="142">
        <f t="shared" si="257"/>
        <v>46319</v>
      </c>
      <c r="AE783">
        <f t="shared" si="258"/>
        <v>1</v>
      </c>
      <c r="AF783">
        <f t="shared" si="259"/>
        <v>0</v>
      </c>
    </row>
    <row r="784" spans="1:32" x14ac:dyDescent="0.2">
      <c r="A784" s="117">
        <v>333</v>
      </c>
      <c r="B784" s="118">
        <v>46322</v>
      </c>
      <c r="C784" s="119" t="s">
        <v>44</v>
      </c>
      <c r="D784" s="119" t="s">
        <v>19</v>
      </c>
      <c r="E784" s="117" t="s">
        <v>370</v>
      </c>
      <c r="F784" s="120">
        <f t="shared" si="240"/>
        <v>2</v>
      </c>
      <c r="G784" s="121" t="str">
        <f t="shared" si="241"/>
        <v>Josh</v>
      </c>
      <c r="H784" s="122">
        <f>IF($D784="",0,IFERROR(LOOKUP(2,1/(($D$3:D783=$D784)*($A$3:A783&lt;$A784)),$N$3:N783),'Guide &amp; Settings'!$C$41))</f>
        <v>1260.5889638424703</v>
      </c>
      <c r="I784" s="123">
        <f t="shared" si="242"/>
        <v>0.80808080808080807</v>
      </c>
      <c r="J784" s="124">
        <f>IF($D784="",0,IF($F784&lt;2,0,IF($E784="Win",('Guide &amp; Settings'!$C$42/(($F784-1)*COUNTIFS($A$4:$A$1510,$A784,$E$4:$E$1510,"Win")))*SUMIFS($X$4:$X$1510,$A$4:$A$1510,$A784,$E$4:$E$1510,"Loss"),-('Guide &amp; Settings'!$C$42/($F784-1))*$X784)))</f>
        <v>7.3226770181915724</v>
      </c>
      <c r="K784" s="124">
        <f>IF($D784="",0,'Guide &amp; Settings'!$C$43*(IF($E784="Win",1,0)-$I784))</f>
        <v>2.3030303030303032</v>
      </c>
      <c r="L784" s="125">
        <f>IF($D784="",0,'Guide &amp; Settings'!$C$44*IF($F784&gt;=3,$F784,0))</f>
        <v>0</v>
      </c>
      <c r="M784" s="124">
        <f t="shared" si="243"/>
        <v>9.625707321221876</v>
      </c>
      <c r="N784" s="122">
        <f t="shared" si="244"/>
        <v>1270.2146711636922</v>
      </c>
      <c r="O784" s="121" t="str">
        <f t="shared" si="245"/>
        <v>OK</v>
      </c>
      <c r="P784">
        <f t="shared" si="246"/>
        <v>1260.5889638424703</v>
      </c>
      <c r="Q784">
        <f t="shared" si="247"/>
        <v>0.5</v>
      </c>
      <c r="R784">
        <f t="shared" si="248"/>
        <v>0.84210526315789469</v>
      </c>
      <c r="S784">
        <f t="shared" si="249"/>
        <v>1.0421052631578946</v>
      </c>
      <c r="T784" s="89">
        <f t="shared" si="250"/>
        <v>17</v>
      </c>
      <c r="U784" s="126">
        <f>IF($D784="",0,IFERROR(LOOKUP(2,1/(($D$3:D783=$D784)*($C$3:C783=$C784)*($A$3:A783&lt;$A784)),$AB$3:AB783),1000))</f>
        <v>1123.4023348941785</v>
      </c>
      <c r="V784" s="126">
        <f t="shared" si="251"/>
        <v>1154.5811142006085</v>
      </c>
      <c r="W784">
        <f t="shared" si="252"/>
        <v>1154.5811142006085</v>
      </c>
      <c r="X784">
        <f t="shared" si="253"/>
        <v>0.5</v>
      </c>
      <c r="Y784">
        <f t="shared" si="254"/>
        <v>1123.4023348941785</v>
      </c>
      <c r="Z784">
        <f t="shared" si="255"/>
        <v>0.5</v>
      </c>
      <c r="AA784">
        <f>IF($D784="",0,IF($F784&lt;2,0,IF($E784="Win",('Guide &amp; Settings'!$C$42/(($F784-1)*COUNTIFS($A$4:$A$1510,$A784,$E$4:$E$1510,"Win")))*SUMIFS($Z$4:$Z$1510,$A$4:$A$1510,$A784,$E$4:$E$1510,"Loss"),-('Guide &amp; Settings'!$C$42/($F784-1))*$Z784)))</f>
        <v>6.5262557483033277</v>
      </c>
      <c r="AB784" s="126">
        <f t="shared" si="256"/>
        <v>1129.9285906424818</v>
      </c>
      <c r="AC784" s="126">
        <f>IF($D784="","",IF($AD784=0,0,IF(COUNTIFS($D$4:$D784,$D784,$B$4:$B784,$B784)&gt;1,0,IF($B784&lt;'Guide &amp; Settings'!$C$50,0,IF(($B784-$AD784)/7-'Guide &amp; Settings'!$C$48&gt;=0,(INT(($B784-$AD784)/7-'Guide &amp; Settings'!$C$48)+1)*'Guide &amp; Settings'!$C$49,0)))))</f>
        <v>0</v>
      </c>
      <c r="AD784" s="142">
        <f t="shared" si="257"/>
        <v>46303</v>
      </c>
      <c r="AE784">
        <f t="shared" si="258"/>
        <v>1</v>
      </c>
      <c r="AF784">
        <f t="shared" si="259"/>
        <v>0</v>
      </c>
    </row>
    <row r="785" spans="1:32" x14ac:dyDescent="0.2">
      <c r="A785" s="117">
        <v>333</v>
      </c>
      <c r="B785" s="118">
        <v>46322</v>
      </c>
      <c r="C785" s="119" t="s">
        <v>44</v>
      </c>
      <c r="D785" s="119" t="s">
        <v>22</v>
      </c>
      <c r="E785" s="117" t="s">
        <v>371</v>
      </c>
      <c r="F785" s="120">
        <f t="shared" si="240"/>
        <v>2</v>
      </c>
      <c r="G785" s="121" t="str">
        <f t="shared" si="241"/>
        <v>Josh</v>
      </c>
      <c r="H785" s="122">
        <f>IF($D785="",0,IFERROR(LOOKUP(2,1/(($D$3:D784=$D785)*($A$3:A784&lt;$A785)),$N$3:N784),'Guide &amp; Settings'!$C$41))</f>
        <v>1147.646215600209</v>
      </c>
      <c r="I785" s="123">
        <f t="shared" si="242"/>
        <v>0.19191919191919193</v>
      </c>
      <c r="J785" s="124">
        <f>IF($D785="",0,IF($F785&lt;2,0,IF($E785="Win",('Guide &amp; Settings'!$C$42/(($F785-1)*COUNTIFS($A$4:$A$1510,$A785,$E$4:$E$1510,"Win")))*SUMIFS($X$4:$X$1510,$A$4:$A$1510,$A785,$E$4:$E$1510,"Loss"),-('Guide &amp; Settings'!$C$42/($F785-1))*$X785)))</f>
        <v>-7.3226770181915724</v>
      </c>
      <c r="K785" s="124">
        <f>IF($D785="",0,'Guide &amp; Settings'!$C$43*(IF($E785="Win",1,0)-$I785))</f>
        <v>-2.3030303030303032</v>
      </c>
      <c r="L785" s="125">
        <f>IF($D785="",0,'Guide &amp; Settings'!$C$44*IF($F785&gt;=3,$F785,0))</f>
        <v>0</v>
      </c>
      <c r="M785" s="124">
        <f t="shared" si="243"/>
        <v>-9.625707321221876</v>
      </c>
      <c r="N785" s="122">
        <f t="shared" si="244"/>
        <v>1138.0205082789871</v>
      </c>
      <c r="O785" s="121" t="str">
        <f t="shared" si="245"/>
        <v>OK</v>
      </c>
      <c r="P785">
        <f t="shared" si="246"/>
        <v>1260.5889638424703</v>
      </c>
      <c r="Q785">
        <f t="shared" si="247"/>
        <v>0.34295557346113276</v>
      </c>
      <c r="R785">
        <f t="shared" si="248"/>
        <v>0.2</v>
      </c>
      <c r="S785">
        <f t="shared" si="249"/>
        <v>1.0421052631578946</v>
      </c>
      <c r="T785" s="89">
        <f t="shared" si="250"/>
        <v>18</v>
      </c>
      <c r="U785" s="126">
        <f>IF($D785="",0,IFERROR(LOOKUP(2,1/(($D$3:D784=$D785)*($C$3:C784=$C785)*($A$3:A784&lt;$A785)),$AB$3:AB784),1000))</f>
        <v>886.83085666486147</v>
      </c>
      <c r="V785" s="126">
        <f t="shared" si="251"/>
        <v>943.52984773776302</v>
      </c>
      <c r="W785">
        <f t="shared" si="252"/>
        <v>1154.5811142006085</v>
      </c>
      <c r="X785">
        <f t="shared" si="253"/>
        <v>0.22883365681848664</v>
      </c>
      <c r="Y785">
        <f t="shared" si="254"/>
        <v>1123.4023348941785</v>
      </c>
      <c r="Z785">
        <f t="shared" si="255"/>
        <v>0.20394549213447899</v>
      </c>
      <c r="AA785">
        <f>IF($D785="",0,IF($F785&lt;2,0,IF($E785="Win",('Guide &amp; Settings'!$C$42/(($F785-1)*COUNTIFS($A$4:$A$1510,$A785,$E$4:$E$1510,"Win")))*SUMIFS($Z$4:$Z$1510,$A$4:$A$1510,$A785,$E$4:$E$1510,"Loss"),-('Guide &amp; Settings'!$C$42/($F785-1))*$Z785)))</f>
        <v>-6.5262557483033277</v>
      </c>
      <c r="AB785" s="126">
        <f t="shared" si="256"/>
        <v>880.30460091655812</v>
      </c>
      <c r="AC785" s="126">
        <f>IF($D785="","",IF($AD785=0,0,IF(COUNTIFS($D$4:$D785,$D785,$B$4:$B785,$B785)&gt;1,0,IF($B785&lt;'Guide &amp; Settings'!$C$50,0,IF(($B785-$AD785)/7-'Guide &amp; Settings'!$C$48&gt;=0,(INT(($B785-$AD785)/7-'Guide &amp; Settings'!$C$48)+1)*'Guide &amp; Settings'!$C$49,0)))))</f>
        <v>0</v>
      </c>
      <c r="AD785" s="142">
        <f t="shared" si="257"/>
        <v>46319</v>
      </c>
      <c r="AE785">
        <f t="shared" si="258"/>
        <v>1</v>
      </c>
      <c r="AF785">
        <f t="shared" si="259"/>
        <v>0</v>
      </c>
    </row>
    <row r="786" spans="1:32" x14ac:dyDescent="0.2">
      <c r="A786" s="117">
        <v>334</v>
      </c>
      <c r="B786" s="118">
        <v>46322</v>
      </c>
      <c r="C786" s="119" t="s">
        <v>446</v>
      </c>
      <c r="D786" s="119" t="s">
        <v>19</v>
      </c>
      <c r="E786" s="117" t="s">
        <v>370</v>
      </c>
      <c r="F786" s="120">
        <f t="shared" si="240"/>
        <v>2</v>
      </c>
      <c r="G786" s="121" t="str">
        <f t="shared" si="241"/>
        <v>Josh</v>
      </c>
      <c r="H786" s="122">
        <f>IF($D786="",0,IFERROR(LOOKUP(2,1/(($D$3:D785=$D786)*($A$3:A785&lt;$A786)),$N$3:N785),'Guide &amp; Settings'!$C$41))</f>
        <v>1270.2146711636922</v>
      </c>
      <c r="I786" s="123">
        <f t="shared" si="242"/>
        <v>0.6</v>
      </c>
      <c r="J786" s="124">
        <f>IF($D786="",0,IF($F786&lt;2,0,IF($E786="Win",('Guide &amp; Settings'!$C$42/(($F786-1)*COUNTIFS($A$4:$A$1510,$A786,$E$4:$E$1510,"Win")))*SUMIFS($X$4:$X$1510,$A$4:$A$1510,$A786,$E$4:$E$1510,"Loss"),-('Guide &amp; Settings'!$C$42/($F786-1))*$X786)))</f>
        <v>11.790011597257434</v>
      </c>
      <c r="K786" s="124">
        <f>IF($D786="",0,'Guide &amp; Settings'!$C$43*(IF($E786="Win",1,0)-$I786))</f>
        <v>4.8000000000000007</v>
      </c>
      <c r="L786" s="125">
        <f>IF($D786="",0,'Guide &amp; Settings'!$C$44*IF($F786&gt;=3,$F786,0))</f>
        <v>0</v>
      </c>
      <c r="M786" s="124">
        <f t="shared" si="243"/>
        <v>16.590011597257437</v>
      </c>
      <c r="N786" s="122">
        <f t="shared" si="244"/>
        <v>1286.8046827609496</v>
      </c>
      <c r="O786" s="121" t="str">
        <f t="shared" si="245"/>
        <v>OK</v>
      </c>
      <c r="P786">
        <f t="shared" si="246"/>
        <v>1270.2146711636922</v>
      </c>
      <c r="Q786">
        <f t="shared" si="247"/>
        <v>0.5</v>
      </c>
      <c r="R786">
        <f t="shared" si="248"/>
        <v>0.6</v>
      </c>
      <c r="S786">
        <f t="shared" si="249"/>
        <v>1</v>
      </c>
      <c r="T786" s="89">
        <f t="shared" si="250"/>
        <v>3</v>
      </c>
      <c r="U786" s="126">
        <f>IF($D786="",0,IFERROR(LOOKUP(2,1/(($D$3:D785=$D786)*($C$3:C785=$C786)*($A$3:A785&lt;$A786)),$AB$3:AB785),1000))</f>
        <v>1014.6658413353916</v>
      </c>
      <c r="V786" s="126">
        <f t="shared" si="251"/>
        <v>1174.3838599780795</v>
      </c>
      <c r="W786">
        <f t="shared" si="252"/>
        <v>1174.3838599780795</v>
      </c>
      <c r="X786">
        <f t="shared" si="253"/>
        <v>0.5</v>
      </c>
      <c r="Y786">
        <f t="shared" si="254"/>
        <v>1014.6658413353916</v>
      </c>
      <c r="Z786">
        <f t="shared" si="255"/>
        <v>0.5</v>
      </c>
      <c r="AA786">
        <f>IF($D786="",0,IF($F786&lt;2,0,IF($E786="Win",('Guide &amp; Settings'!$C$42/(($F786-1)*COUNTIFS($A$4:$A$1510,$A786,$E$4:$E$1510,"Win")))*SUMIFS($Z$4:$Z$1510,$A$4:$A$1510,$A786,$E$4:$E$1510,"Loss"),-('Guide &amp; Settings'!$C$42/($F786-1))*$Z786)))</f>
        <v>14.652426097927441</v>
      </c>
      <c r="AB786" s="126">
        <f t="shared" si="256"/>
        <v>1029.3182674333191</v>
      </c>
      <c r="AC786" s="126">
        <f>IF($D786="","",IF($AD786=0,0,IF(COUNTIFS($D$4:$D786,$D786,$B$4:$B786,$B786)&gt;1,0,IF($B786&lt;'Guide &amp; Settings'!$C$50,0,IF(($B786-$AD786)/7-'Guide &amp; Settings'!$C$48&gt;=0,(INT(($B786-$AD786)/7-'Guide &amp; Settings'!$C$48)+1)*'Guide &amp; Settings'!$C$49,0)))))</f>
        <v>0</v>
      </c>
      <c r="AD786" s="142">
        <f t="shared" si="257"/>
        <v>46303</v>
      </c>
      <c r="AE786">
        <f t="shared" si="258"/>
        <v>1</v>
      </c>
      <c r="AF786">
        <f t="shared" si="259"/>
        <v>0</v>
      </c>
    </row>
    <row r="787" spans="1:32" x14ac:dyDescent="0.2">
      <c r="A787" s="117">
        <v>334</v>
      </c>
      <c r="B787" s="118">
        <v>46322</v>
      </c>
      <c r="C787" s="119" t="s">
        <v>446</v>
      </c>
      <c r="D787" s="119" t="s">
        <v>22</v>
      </c>
      <c r="E787" s="117" t="s">
        <v>371</v>
      </c>
      <c r="F787" s="120">
        <f t="shared" si="240"/>
        <v>2</v>
      </c>
      <c r="G787" s="121" t="str">
        <f t="shared" si="241"/>
        <v>Josh</v>
      </c>
      <c r="H787" s="122">
        <f>IF($D787="",0,IFERROR(LOOKUP(2,1/(($D$3:D786=$D787)*($A$3:A786&lt;$A787)),$N$3:N786),'Guide &amp; Settings'!$C$41))</f>
        <v>1138.0205082789871</v>
      </c>
      <c r="I787" s="123">
        <f t="shared" si="242"/>
        <v>0.4</v>
      </c>
      <c r="J787" s="124">
        <f>IF($D787="",0,IF($F787&lt;2,0,IF($E787="Win",('Guide &amp; Settings'!$C$42/(($F787-1)*COUNTIFS($A$4:$A$1510,$A787,$E$4:$E$1510,"Win")))*SUMIFS($X$4:$X$1510,$A$4:$A$1510,$A787,$E$4:$E$1510,"Loss"),-('Guide &amp; Settings'!$C$42/($F787-1))*$X787)))</f>
        <v>-11.790011597257434</v>
      </c>
      <c r="K787" s="124">
        <f>IF($D787="",0,'Guide &amp; Settings'!$C$43*(IF($E787="Win",1,0)-$I787))</f>
        <v>-4.8000000000000007</v>
      </c>
      <c r="L787" s="125">
        <f>IF($D787="",0,'Guide &amp; Settings'!$C$44*IF($F787&gt;=3,$F787,0))</f>
        <v>0</v>
      </c>
      <c r="M787" s="124">
        <f t="shared" si="243"/>
        <v>-16.590011597257437</v>
      </c>
      <c r="N787" s="122">
        <f t="shared" si="244"/>
        <v>1121.4304966817297</v>
      </c>
      <c r="O787" s="121" t="str">
        <f t="shared" si="245"/>
        <v>OK</v>
      </c>
      <c r="P787">
        <f t="shared" si="246"/>
        <v>1270.2146711636922</v>
      </c>
      <c r="Q787">
        <f t="shared" si="247"/>
        <v>0.31843553819750492</v>
      </c>
      <c r="R787">
        <f t="shared" si="248"/>
        <v>0.4</v>
      </c>
      <c r="S787">
        <f t="shared" si="249"/>
        <v>1</v>
      </c>
      <c r="T787" s="89">
        <f t="shared" si="250"/>
        <v>3</v>
      </c>
      <c r="U787" s="126">
        <f>IF($D787="",0,IFERROR(LOOKUP(2,1/(($D$3:D786=$D787)*($C$3:C786=$C787)*($A$3:A786&lt;$A787)),$AB$3:AB786),1000))</f>
        <v>985.33415866460837</v>
      </c>
      <c r="V787" s="126">
        <f t="shared" si="251"/>
        <v>1080.763127173595</v>
      </c>
      <c r="W787">
        <f t="shared" si="252"/>
        <v>1174.3838599780795</v>
      </c>
      <c r="X787">
        <f t="shared" si="253"/>
        <v>0.36843786241429483</v>
      </c>
      <c r="Y787">
        <f t="shared" si="254"/>
        <v>1014.6658413353916</v>
      </c>
      <c r="Z787">
        <f t="shared" si="255"/>
        <v>0.45788831556023252</v>
      </c>
      <c r="AA787">
        <f>IF($D787="",0,IF($F787&lt;2,0,IF($E787="Win",('Guide &amp; Settings'!$C$42/(($F787-1)*COUNTIFS($A$4:$A$1510,$A787,$E$4:$E$1510,"Win")))*SUMIFS($Z$4:$Z$1510,$A$4:$A$1510,$A787,$E$4:$E$1510,"Loss"),-('Guide &amp; Settings'!$C$42/($F787-1))*$Z787)))</f>
        <v>-14.652426097927441</v>
      </c>
      <c r="AB787" s="126">
        <f t="shared" si="256"/>
        <v>970.68173256668092</v>
      </c>
      <c r="AC787" s="126">
        <f>IF($D787="","",IF($AD787=0,0,IF(COUNTIFS($D$4:$D787,$D787,$B$4:$B787,$B787)&gt;1,0,IF($B787&lt;'Guide &amp; Settings'!$C$50,0,IF(($B787-$AD787)/7-'Guide &amp; Settings'!$C$48&gt;=0,(INT(($B787-$AD787)/7-'Guide &amp; Settings'!$C$48)+1)*'Guide &amp; Settings'!$C$49,0)))))</f>
        <v>0</v>
      </c>
      <c r="AD787" s="142">
        <f t="shared" si="257"/>
        <v>46319</v>
      </c>
      <c r="AE787">
        <f t="shared" si="258"/>
        <v>1</v>
      </c>
      <c r="AF787">
        <f t="shared" si="259"/>
        <v>0</v>
      </c>
    </row>
    <row r="788" spans="1:32" x14ac:dyDescent="0.2">
      <c r="A788" s="117">
        <v>335</v>
      </c>
      <c r="B788" s="118">
        <v>46322</v>
      </c>
      <c r="C788" s="119" t="s">
        <v>45</v>
      </c>
      <c r="D788" s="119" t="s">
        <v>22</v>
      </c>
      <c r="E788" s="117" t="s">
        <v>370</v>
      </c>
      <c r="F788" s="120">
        <f t="shared" si="240"/>
        <v>2</v>
      </c>
      <c r="G788" s="121" t="str">
        <f t="shared" si="241"/>
        <v>Daniel (Ferret)</v>
      </c>
      <c r="H788" s="122">
        <f>IF($D788="",0,IFERROR(LOOKUP(2,1/(($D$3:D787=$D788)*($A$3:A787&lt;$A788)),$N$3:N787),'Guide &amp; Settings'!$C$41))</f>
        <v>1121.4304966817297</v>
      </c>
      <c r="I788" s="123">
        <f t="shared" si="242"/>
        <v>0.36363636363636359</v>
      </c>
      <c r="J788" s="124">
        <f>IF($D788="",0,IF($F788&lt;2,0,IF($E788="Win",('Guide &amp; Settings'!$C$42/(($F788-1)*COUNTIFS($A$4:$A$1510,$A788,$E$4:$E$1510,"Win")))*SUMIFS($X$4:$X$1510,$A$4:$A$1510,$A788,$E$4:$E$1510,"Loss"),-('Guide &amp; Settings'!$C$42/($F788-1))*$X788)))</f>
        <v>20.899742503427866</v>
      </c>
      <c r="K788" s="124">
        <f>IF($D788="",0,'Guide &amp; Settings'!$C$43*(IF($E788="Win",1,0)-$I788))</f>
        <v>7.6363636363636376</v>
      </c>
      <c r="L788" s="125">
        <f>IF($D788="",0,'Guide &amp; Settings'!$C$44*IF($F788&gt;=3,$F788,0))</f>
        <v>0</v>
      </c>
      <c r="M788" s="124">
        <f t="shared" si="243"/>
        <v>28.536106139791503</v>
      </c>
      <c r="N788" s="122">
        <f t="shared" si="244"/>
        <v>1149.9666028215211</v>
      </c>
      <c r="O788" s="121" t="str">
        <f t="shared" si="245"/>
        <v>OK</v>
      </c>
      <c r="P788">
        <f t="shared" si="246"/>
        <v>1121.4304966817297</v>
      </c>
      <c r="Q788">
        <f t="shared" si="247"/>
        <v>0.5</v>
      </c>
      <c r="R788">
        <f t="shared" si="248"/>
        <v>0.44444444444444442</v>
      </c>
      <c r="S788">
        <f t="shared" si="249"/>
        <v>1.2222222222222223</v>
      </c>
      <c r="T788" s="89">
        <f t="shared" si="250"/>
        <v>7</v>
      </c>
      <c r="U788" s="126">
        <f>IF($D788="",0,IFERROR(LOOKUP(2,1/(($D$3:D787=$D788)*($C$3:C787=$C788)*($A$3:A787&lt;$A788)),$AB$3:AB787),1000))</f>
        <v>985.16234453768709</v>
      </c>
      <c r="V788" s="126">
        <f t="shared" si="251"/>
        <v>1041.9407412643716</v>
      </c>
      <c r="W788">
        <f t="shared" si="252"/>
        <v>1041.9407412643716</v>
      </c>
      <c r="X788">
        <f t="shared" si="253"/>
        <v>0.5</v>
      </c>
      <c r="Y788">
        <f t="shared" si="254"/>
        <v>985.16234453768709</v>
      </c>
      <c r="Z788">
        <f t="shared" si="255"/>
        <v>0.5</v>
      </c>
      <c r="AA788">
        <f>IF($D788="",0,IF($F788&lt;2,0,IF($E788="Win",('Guide &amp; Settings'!$C$42/(($F788-1)*COUNTIFS($A$4:$A$1510,$A788,$E$4:$E$1510,"Win")))*SUMIFS($Z$4:$Z$1510,$A$4:$A$1510,$A788,$E$4:$E$1510,"Loss"),-('Guide &amp; Settings'!$C$42/($F788-1))*$Z788)))</f>
        <v>19.194640015716733</v>
      </c>
      <c r="AB788" s="126">
        <f t="shared" si="256"/>
        <v>1004.3569845534038</v>
      </c>
      <c r="AC788" s="126">
        <f>IF($D788="","",IF($AD788=0,0,IF(COUNTIFS($D$4:$D788,$D788,$B$4:$B788,$B788)&gt;1,0,IF($B788&lt;'Guide &amp; Settings'!$C$50,0,IF(($B788-$AD788)/7-'Guide &amp; Settings'!$C$48&gt;=0,(INT(($B788-$AD788)/7-'Guide &amp; Settings'!$C$48)+1)*'Guide &amp; Settings'!$C$49,0)))))</f>
        <v>0</v>
      </c>
      <c r="AD788" s="142">
        <f t="shared" si="257"/>
        <v>46319</v>
      </c>
      <c r="AE788">
        <f t="shared" si="258"/>
        <v>1</v>
      </c>
      <c r="AF788">
        <f t="shared" si="259"/>
        <v>0</v>
      </c>
    </row>
    <row r="789" spans="1:32" x14ac:dyDescent="0.2">
      <c r="A789" s="117">
        <v>335</v>
      </c>
      <c r="B789" s="118">
        <v>46322</v>
      </c>
      <c r="C789" s="119" t="s">
        <v>45</v>
      </c>
      <c r="D789" s="119" t="s">
        <v>19</v>
      </c>
      <c r="E789" s="117" t="s">
        <v>371</v>
      </c>
      <c r="F789" s="120">
        <f t="shared" si="240"/>
        <v>2</v>
      </c>
      <c r="G789" s="121" t="str">
        <f t="shared" si="241"/>
        <v>Daniel (Ferret)</v>
      </c>
      <c r="H789" s="122">
        <f>IF($D789="",0,IFERROR(LOOKUP(2,1/(($D$3:D788=$D789)*($A$3:A788&lt;$A789)),$N$3:N788),'Guide &amp; Settings'!$C$41))</f>
        <v>1286.8046827609496</v>
      </c>
      <c r="I789" s="123">
        <f t="shared" si="242"/>
        <v>0.63636363636363635</v>
      </c>
      <c r="J789" s="124">
        <f>IF($D789="",0,IF($F789&lt;2,0,IF($E789="Win",('Guide &amp; Settings'!$C$42/(($F789-1)*COUNTIFS($A$4:$A$1510,$A789,$E$4:$E$1510,"Win")))*SUMIFS($X$4:$X$1510,$A$4:$A$1510,$A789,$E$4:$E$1510,"Loss"),-('Guide &amp; Settings'!$C$42/($F789-1))*$X789)))</f>
        <v>-20.899742503427866</v>
      </c>
      <c r="K789" s="124">
        <f>IF($D789="",0,'Guide &amp; Settings'!$C$43*(IF($E789="Win",1,0)-$I789))</f>
        <v>-7.6363636363636367</v>
      </c>
      <c r="L789" s="125">
        <f>IF($D789="",0,'Guide &amp; Settings'!$C$44*IF($F789&gt;=3,$F789,0))</f>
        <v>0</v>
      </c>
      <c r="M789" s="124">
        <f t="shared" si="243"/>
        <v>-28.536106139791503</v>
      </c>
      <c r="N789" s="122">
        <f t="shared" si="244"/>
        <v>1258.2685766211582</v>
      </c>
      <c r="O789" s="121" t="str">
        <f t="shared" si="245"/>
        <v>OK</v>
      </c>
      <c r="P789">
        <f t="shared" si="246"/>
        <v>1121.4304966817297</v>
      </c>
      <c r="Q789">
        <f t="shared" si="247"/>
        <v>0.72151125643999592</v>
      </c>
      <c r="R789">
        <f t="shared" si="248"/>
        <v>0.77777777777777779</v>
      </c>
      <c r="S789">
        <f t="shared" si="249"/>
        <v>1.2222222222222223</v>
      </c>
      <c r="T789" s="89">
        <f t="shared" si="250"/>
        <v>7</v>
      </c>
      <c r="U789" s="126">
        <f>IF($D789="",0,IFERROR(LOOKUP(2,1/(($D$3:D788=$D789)*($C$3:C788=$C789)*($A$3:A788&lt;$A789)),$AB$3:AB788),1000))</f>
        <v>1055.4776164286188</v>
      </c>
      <c r="V789" s="126">
        <f t="shared" si="251"/>
        <v>1151.8638940670901</v>
      </c>
      <c r="W789">
        <f t="shared" si="252"/>
        <v>1041.9407412643716</v>
      </c>
      <c r="X789">
        <f t="shared" si="253"/>
        <v>0.65311695323212082</v>
      </c>
      <c r="Y789">
        <f t="shared" si="254"/>
        <v>985.16234453768709</v>
      </c>
      <c r="Z789">
        <f t="shared" si="255"/>
        <v>0.59983250049114789</v>
      </c>
      <c r="AA789">
        <f>IF($D789="",0,IF($F789&lt;2,0,IF($E789="Win",('Guide &amp; Settings'!$C$42/(($F789-1)*COUNTIFS($A$4:$A$1510,$A789,$E$4:$E$1510,"Win")))*SUMIFS($Z$4:$Z$1510,$A$4:$A$1510,$A789,$E$4:$E$1510,"Loss"),-('Guide &amp; Settings'!$C$42/($F789-1))*$Z789)))</f>
        <v>-19.194640015716733</v>
      </c>
      <c r="AB789" s="126">
        <f t="shared" si="256"/>
        <v>1036.2829764129021</v>
      </c>
      <c r="AC789" s="126">
        <f>IF($D789="","",IF($AD789=0,0,IF(COUNTIFS($D$4:$D789,$D789,$B$4:$B789,$B789)&gt;1,0,IF($B789&lt;'Guide &amp; Settings'!$C$50,0,IF(($B789-$AD789)/7-'Guide &amp; Settings'!$C$48&gt;=0,(INT(($B789-$AD789)/7-'Guide &amp; Settings'!$C$48)+1)*'Guide &amp; Settings'!$C$49,0)))))</f>
        <v>0</v>
      </c>
      <c r="AD789" s="142">
        <f t="shared" si="257"/>
        <v>46303</v>
      </c>
      <c r="AE789">
        <f t="shared" si="258"/>
        <v>1</v>
      </c>
      <c r="AF789">
        <f t="shared" si="259"/>
        <v>0</v>
      </c>
    </row>
    <row r="790" spans="1:32" x14ac:dyDescent="0.2">
      <c r="A790" s="117">
        <v>336</v>
      </c>
      <c r="B790" s="118">
        <v>46322</v>
      </c>
      <c r="C790" s="119" t="s">
        <v>45</v>
      </c>
      <c r="D790" s="119" t="s">
        <v>19</v>
      </c>
      <c r="E790" s="117" t="s">
        <v>370</v>
      </c>
      <c r="F790" s="120">
        <f t="shared" si="240"/>
        <v>2</v>
      </c>
      <c r="G790" s="121" t="str">
        <f t="shared" si="241"/>
        <v>Josh</v>
      </c>
      <c r="H790" s="122">
        <f>IF($D790="",0,IFERROR(LOOKUP(2,1/(($D$3:D789=$D790)*($A$3:A789&lt;$A790)),$N$3:N789),'Guide &amp; Settings'!$C$41))</f>
        <v>1258.2685766211582</v>
      </c>
      <c r="I790" s="123">
        <f t="shared" si="242"/>
        <v>0.58333333333333337</v>
      </c>
      <c r="J790" s="124">
        <f>IF($D790="",0,IF($F790&lt;2,0,IF($E790="Win",('Guide &amp; Settings'!$C$42/(($F790-1)*COUNTIFS($A$4:$A$1510,$A790,$E$4:$E$1510,"Win")))*SUMIFS($X$4:$X$1510,$A$4:$A$1510,$A790,$E$4:$E$1510,"Loss"),-('Guide &amp; Settings'!$C$42/($F790-1))*$X790)))</f>
        <v>13.205901878688973</v>
      </c>
      <c r="K790" s="124">
        <f>IF($D790="",0,'Guide &amp; Settings'!$C$43*(IF($E790="Win",1,0)-$I790))</f>
        <v>5</v>
      </c>
      <c r="L790" s="125">
        <f>IF($D790="",0,'Guide &amp; Settings'!$C$44*IF($F790&gt;=3,$F790,0))</f>
        <v>0</v>
      </c>
      <c r="M790" s="124">
        <f t="shared" si="243"/>
        <v>18.205901878688973</v>
      </c>
      <c r="N790" s="122">
        <f t="shared" si="244"/>
        <v>1276.4744784998472</v>
      </c>
      <c r="O790" s="121" t="str">
        <f t="shared" si="245"/>
        <v>OK</v>
      </c>
      <c r="P790">
        <f t="shared" si="246"/>
        <v>1258.2685766211582</v>
      </c>
      <c r="Q790">
        <f t="shared" si="247"/>
        <v>0.5</v>
      </c>
      <c r="R790">
        <f t="shared" si="248"/>
        <v>0.7</v>
      </c>
      <c r="S790">
        <f t="shared" si="249"/>
        <v>1.2</v>
      </c>
      <c r="T790" s="89">
        <f t="shared" si="250"/>
        <v>8</v>
      </c>
      <c r="U790" s="126">
        <f>IF($D790="",0,IFERROR(LOOKUP(2,1/(($D$3:D789=$D790)*($C$3:C789=$C790)*($A$3:A789&lt;$A790)),$AB$3:AB789),1000))</f>
        <v>1036.2829764129021</v>
      </c>
      <c r="V790" s="126">
        <f t="shared" si="251"/>
        <v>1121.6620534160775</v>
      </c>
      <c r="W790">
        <f t="shared" si="252"/>
        <v>1121.6620534160775</v>
      </c>
      <c r="X790">
        <f t="shared" si="253"/>
        <v>0.5</v>
      </c>
      <c r="Y790">
        <f t="shared" si="254"/>
        <v>1036.2829764129021</v>
      </c>
      <c r="Z790">
        <f t="shared" si="255"/>
        <v>0.5</v>
      </c>
      <c r="AA790">
        <f>IF($D790="",0,IF($F790&lt;2,0,IF($E790="Win",('Guide &amp; Settings'!$C$42/(($F790-1)*COUNTIFS($A$4:$A$1510,$A790,$E$4:$E$1510,"Win")))*SUMIFS($Z$4:$Z$1510,$A$4:$A$1510,$A790,$E$4:$E$1510,"Loss"),-('Guide &amp; Settings'!$C$42/($F790-1))*$Z790)))</f>
        <v>14.533877988742498</v>
      </c>
      <c r="AB790" s="126">
        <f t="shared" si="256"/>
        <v>1050.8168544016446</v>
      </c>
      <c r="AC790" s="126">
        <f>IF($D790="","",IF($AD790=0,0,IF(COUNTIFS($D$4:$D790,$D790,$B$4:$B790,$B790)&gt;1,0,IF($B790&lt;'Guide &amp; Settings'!$C$50,0,IF(($B790-$AD790)/7-'Guide &amp; Settings'!$C$48&gt;=0,(INT(($B790-$AD790)/7-'Guide &amp; Settings'!$C$48)+1)*'Guide &amp; Settings'!$C$49,0)))))</f>
        <v>0</v>
      </c>
      <c r="AD790" s="142">
        <f t="shared" si="257"/>
        <v>46303</v>
      </c>
      <c r="AE790">
        <f t="shared" si="258"/>
        <v>1</v>
      </c>
      <c r="AF790">
        <f t="shared" si="259"/>
        <v>0</v>
      </c>
    </row>
    <row r="791" spans="1:32" x14ac:dyDescent="0.2">
      <c r="A791" s="117">
        <v>336</v>
      </c>
      <c r="B791" s="118">
        <v>46322</v>
      </c>
      <c r="C791" s="119" t="s">
        <v>45</v>
      </c>
      <c r="D791" s="119" t="s">
        <v>22</v>
      </c>
      <c r="E791" s="117" t="s">
        <v>371</v>
      </c>
      <c r="F791" s="120">
        <f t="shared" si="240"/>
        <v>2</v>
      </c>
      <c r="G791" s="121" t="str">
        <f t="shared" si="241"/>
        <v>Josh</v>
      </c>
      <c r="H791" s="122">
        <f>IF($D791="",0,IFERROR(LOOKUP(2,1/(($D$3:D790=$D791)*($A$3:A790&lt;$A791)),$N$3:N790),'Guide &amp; Settings'!$C$41))</f>
        <v>1149.9666028215211</v>
      </c>
      <c r="I791" s="123">
        <f t="shared" si="242"/>
        <v>0.41666666666666669</v>
      </c>
      <c r="J791" s="124">
        <f>IF($D791="",0,IF($F791&lt;2,0,IF($E791="Win",('Guide &amp; Settings'!$C$42/(($F791-1)*COUNTIFS($A$4:$A$1510,$A791,$E$4:$E$1510,"Win")))*SUMIFS($X$4:$X$1510,$A$4:$A$1510,$A791,$E$4:$E$1510,"Loss"),-('Guide &amp; Settings'!$C$42/($F791-1))*$X791)))</f>
        <v>-13.205901878688973</v>
      </c>
      <c r="K791" s="124">
        <f>IF($D791="",0,'Guide &amp; Settings'!$C$43*(IF($E791="Win",1,0)-$I791))</f>
        <v>-5</v>
      </c>
      <c r="L791" s="125">
        <f>IF($D791="",0,'Guide &amp; Settings'!$C$44*IF($F791&gt;=3,$F791,0))</f>
        <v>0</v>
      </c>
      <c r="M791" s="124">
        <f t="shared" si="243"/>
        <v>-18.205901878688973</v>
      </c>
      <c r="N791" s="122">
        <f t="shared" si="244"/>
        <v>1131.760700942832</v>
      </c>
      <c r="O791" s="121" t="str">
        <f t="shared" si="245"/>
        <v>OK</v>
      </c>
      <c r="P791">
        <f t="shared" si="246"/>
        <v>1258.2685766211582</v>
      </c>
      <c r="Q791">
        <f t="shared" si="247"/>
        <v>0.34900032806950937</v>
      </c>
      <c r="R791">
        <f t="shared" si="248"/>
        <v>0.5</v>
      </c>
      <c r="S791">
        <f t="shared" si="249"/>
        <v>1.2</v>
      </c>
      <c r="T791" s="89">
        <f t="shared" si="250"/>
        <v>8</v>
      </c>
      <c r="U791" s="126">
        <f>IF($D791="",0,IFERROR(LOOKUP(2,1/(($D$3:D790=$D791)*($C$3:C790=$C791)*($A$3:A790&lt;$A791)),$AB$3:AB790),1000))</f>
        <v>1004.3569845534038</v>
      </c>
      <c r="V791" s="126">
        <f t="shared" si="251"/>
        <v>1060.360683887295</v>
      </c>
      <c r="W791">
        <f t="shared" si="252"/>
        <v>1121.6620534160775</v>
      </c>
      <c r="X791">
        <f t="shared" si="253"/>
        <v>0.41268443370903041</v>
      </c>
      <c r="Y791">
        <f t="shared" si="254"/>
        <v>1036.2829764129021</v>
      </c>
      <c r="Z791">
        <f t="shared" si="255"/>
        <v>0.45418368714820306</v>
      </c>
      <c r="AA791">
        <f>IF($D791="",0,IF($F791&lt;2,0,IF($E791="Win",('Guide &amp; Settings'!$C$42/(($F791-1)*COUNTIFS($A$4:$A$1510,$A791,$E$4:$E$1510,"Win")))*SUMIFS($Z$4:$Z$1510,$A$4:$A$1510,$A791,$E$4:$E$1510,"Loss"),-('Guide &amp; Settings'!$C$42/($F791-1))*$Z791)))</f>
        <v>-14.533877988742498</v>
      </c>
      <c r="AB791" s="126">
        <f t="shared" si="256"/>
        <v>989.82310656466132</v>
      </c>
      <c r="AC791" s="126">
        <f>IF($D791="","",IF($AD791=0,0,IF(COUNTIFS($D$4:$D791,$D791,$B$4:$B791,$B791)&gt;1,0,IF($B791&lt;'Guide &amp; Settings'!$C$50,0,IF(($B791-$AD791)/7-'Guide &amp; Settings'!$C$48&gt;=0,(INT(($B791-$AD791)/7-'Guide &amp; Settings'!$C$48)+1)*'Guide &amp; Settings'!$C$49,0)))))</f>
        <v>0</v>
      </c>
      <c r="AD791" s="142">
        <f t="shared" si="257"/>
        <v>46319</v>
      </c>
      <c r="AE791">
        <f t="shared" si="258"/>
        <v>1</v>
      </c>
      <c r="AF791">
        <f t="shared" si="259"/>
        <v>0</v>
      </c>
    </row>
    <row r="792" spans="1:32" x14ac:dyDescent="0.2">
      <c r="A792" s="117">
        <v>337</v>
      </c>
      <c r="B792" s="118">
        <v>46322</v>
      </c>
      <c r="C792" s="119" t="s">
        <v>45</v>
      </c>
      <c r="D792" s="119" t="s">
        <v>19</v>
      </c>
      <c r="E792" s="117" t="s">
        <v>370</v>
      </c>
      <c r="F792" s="120">
        <f t="shared" si="240"/>
        <v>2</v>
      </c>
      <c r="G792" s="121" t="str">
        <f t="shared" si="241"/>
        <v>Josh</v>
      </c>
      <c r="H792" s="122">
        <f>IF($D792="",0,IFERROR(LOOKUP(2,1/(($D$3:D791=$D792)*($A$3:A791&lt;$A792)),$N$3:N791),'Guide &amp; Settings'!$C$41))</f>
        <v>1276.4744784998472</v>
      </c>
      <c r="I792" s="123">
        <f t="shared" si="242"/>
        <v>0.61538461538461542</v>
      </c>
      <c r="J792" s="124">
        <f>IF($D792="",0,IF($F792&lt;2,0,IF($E792="Win",('Guide &amp; Settings'!$C$42/(($F792-1)*COUNTIFS($A$4:$A$1510,$A792,$E$4:$E$1510,"Win")))*SUMIFS($X$4:$X$1510,$A$4:$A$1510,$A792,$E$4:$E$1510,"Loss"),-('Guide &amp; Settings'!$C$42/($F792-1))*$X792)))</f>
        <v>11.907138315897981</v>
      </c>
      <c r="K792" s="124">
        <f>IF($D792="",0,'Guide &amp; Settings'!$C$43*(IF($E792="Win",1,0)-$I792))</f>
        <v>4.615384615384615</v>
      </c>
      <c r="L792" s="125">
        <f>IF($D792="",0,'Guide &amp; Settings'!$C$44*IF($F792&gt;=3,$F792,0))</f>
        <v>0</v>
      </c>
      <c r="M792" s="124">
        <f t="shared" si="243"/>
        <v>16.522522931282595</v>
      </c>
      <c r="N792" s="122">
        <f t="shared" si="244"/>
        <v>1292.9970014311298</v>
      </c>
      <c r="O792" s="121" t="str">
        <f t="shared" si="245"/>
        <v>OK</v>
      </c>
      <c r="P792">
        <f t="shared" si="246"/>
        <v>1276.4744784998472</v>
      </c>
      <c r="Q792">
        <f t="shared" si="247"/>
        <v>0.5</v>
      </c>
      <c r="R792">
        <f t="shared" si="248"/>
        <v>0.72727272727272729</v>
      </c>
      <c r="S792">
        <f t="shared" si="249"/>
        <v>1.1818181818181819</v>
      </c>
      <c r="T792" s="89">
        <f t="shared" si="250"/>
        <v>9</v>
      </c>
      <c r="U792" s="126">
        <f>IF($D792="",0,IFERROR(LOOKUP(2,1/(($D$3:D791=$D792)*($C$3:C791=$C792)*($A$3:A791&lt;$A792)),$AB$3:AB791),1000))</f>
        <v>1050.8168544016446</v>
      </c>
      <c r="V792" s="126">
        <f t="shared" si="251"/>
        <v>1131.4088630081455</v>
      </c>
      <c r="W792">
        <f t="shared" si="252"/>
        <v>1131.4088630081455</v>
      </c>
      <c r="X792">
        <f t="shared" si="253"/>
        <v>0.5</v>
      </c>
      <c r="Y792">
        <f t="shared" si="254"/>
        <v>1050.8168544016446</v>
      </c>
      <c r="Z792">
        <f t="shared" si="255"/>
        <v>0.5</v>
      </c>
      <c r="AA792">
        <f>IF($D792="",0,IF($F792&lt;2,0,IF($E792="Win",('Guide &amp; Settings'!$C$42/(($F792-1)*COUNTIFS($A$4:$A$1510,$A792,$E$4:$E$1510,"Win")))*SUMIFS($Z$4:$Z$1510,$A$4:$A$1510,$A792,$E$4:$E$1510,"Loss"),-('Guide &amp; Settings'!$C$42/($F792-1))*$Z792)))</f>
        <v>13.219638479364166</v>
      </c>
      <c r="AB792" s="126">
        <f t="shared" si="256"/>
        <v>1064.0364928810088</v>
      </c>
      <c r="AC792" s="126">
        <f>IF($D792="","",IF($AD792=0,0,IF(COUNTIFS($D$4:$D792,$D792,$B$4:$B792,$B792)&gt;1,0,IF($B792&lt;'Guide &amp; Settings'!$C$50,0,IF(($B792-$AD792)/7-'Guide &amp; Settings'!$C$48&gt;=0,(INT(($B792-$AD792)/7-'Guide &amp; Settings'!$C$48)+1)*'Guide &amp; Settings'!$C$49,0)))))</f>
        <v>0</v>
      </c>
      <c r="AD792" s="142">
        <f t="shared" si="257"/>
        <v>46303</v>
      </c>
      <c r="AE792">
        <f t="shared" si="258"/>
        <v>1</v>
      </c>
      <c r="AF792">
        <f t="shared" si="259"/>
        <v>0</v>
      </c>
    </row>
    <row r="793" spans="1:32" x14ac:dyDescent="0.2">
      <c r="A793" s="117">
        <v>337</v>
      </c>
      <c r="B793" s="118">
        <v>46322</v>
      </c>
      <c r="C793" s="119" t="s">
        <v>45</v>
      </c>
      <c r="D793" s="119" t="s">
        <v>22</v>
      </c>
      <c r="E793" s="117" t="s">
        <v>371</v>
      </c>
      <c r="F793" s="120">
        <f t="shared" si="240"/>
        <v>2</v>
      </c>
      <c r="G793" s="121" t="str">
        <f t="shared" si="241"/>
        <v>Josh</v>
      </c>
      <c r="H793" s="122">
        <f>IF($D793="",0,IFERROR(LOOKUP(2,1/(($D$3:D792=$D793)*($A$3:A792&lt;$A793)),$N$3:N792),'Guide &amp; Settings'!$C$41))</f>
        <v>1131.760700942832</v>
      </c>
      <c r="I793" s="123">
        <f t="shared" si="242"/>
        <v>0.38461538461538458</v>
      </c>
      <c r="J793" s="124">
        <f>IF($D793="",0,IF($F793&lt;2,0,IF($E793="Win",('Guide &amp; Settings'!$C$42/(($F793-1)*COUNTIFS($A$4:$A$1510,$A793,$E$4:$E$1510,"Win")))*SUMIFS($X$4:$X$1510,$A$4:$A$1510,$A793,$E$4:$E$1510,"Loss"),-('Guide &amp; Settings'!$C$42/($F793-1))*$X793)))</f>
        <v>-11.907138315897981</v>
      </c>
      <c r="K793" s="124">
        <f>IF($D793="",0,'Guide &amp; Settings'!$C$43*(IF($E793="Win",1,0)-$I793))</f>
        <v>-4.615384615384615</v>
      </c>
      <c r="L793" s="125">
        <f>IF($D793="",0,'Guide &amp; Settings'!$C$44*IF($F793&gt;=3,$F793,0))</f>
        <v>0</v>
      </c>
      <c r="M793" s="124">
        <f t="shared" si="243"/>
        <v>-16.522522931282595</v>
      </c>
      <c r="N793" s="122">
        <f t="shared" si="244"/>
        <v>1115.2381780115495</v>
      </c>
      <c r="O793" s="121" t="str">
        <f t="shared" si="245"/>
        <v>OK</v>
      </c>
      <c r="P793">
        <f t="shared" si="246"/>
        <v>1276.4744784998472</v>
      </c>
      <c r="Q793">
        <f t="shared" si="247"/>
        <v>0.30300277460646252</v>
      </c>
      <c r="R793">
        <f t="shared" si="248"/>
        <v>0.45454545454545453</v>
      </c>
      <c r="S793">
        <f t="shared" si="249"/>
        <v>1.1818181818181819</v>
      </c>
      <c r="T793" s="89">
        <f t="shared" si="250"/>
        <v>9</v>
      </c>
      <c r="U793" s="126">
        <f>IF($D793="",0,IFERROR(LOOKUP(2,1/(($D$3:D792=$D793)*($C$3:C792=$C793)*($A$3:A792&lt;$A793)),$AB$3:AB792),1000))</f>
        <v>989.82310656466132</v>
      </c>
      <c r="V793" s="126">
        <f t="shared" si="251"/>
        <v>1040.515104556865</v>
      </c>
      <c r="W793">
        <f t="shared" si="252"/>
        <v>1131.4088630081455</v>
      </c>
      <c r="X793">
        <f t="shared" si="253"/>
        <v>0.37209807237181192</v>
      </c>
      <c r="Y793">
        <f t="shared" si="254"/>
        <v>1050.8168544016446</v>
      </c>
      <c r="Z793">
        <f t="shared" si="255"/>
        <v>0.41311370248013018</v>
      </c>
      <c r="AA793">
        <f>IF($D793="",0,IF($F793&lt;2,0,IF($E793="Win",('Guide &amp; Settings'!$C$42/(($F793-1)*COUNTIFS($A$4:$A$1510,$A793,$E$4:$E$1510,"Win")))*SUMIFS($Z$4:$Z$1510,$A$4:$A$1510,$A793,$E$4:$E$1510,"Loss"),-('Guide &amp; Settings'!$C$42/($F793-1))*$Z793)))</f>
        <v>-13.219638479364166</v>
      </c>
      <c r="AB793" s="126">
        <f t="shared" si="256"/>
        <v>976.6034680852971</v>
      </c>
      <c r="AC793" s="126">
        <f>IF($D793="","",IF($AD793=0,0,IF(COUNTIFS($D$4:$D793,$D793,$B$4:$B793,$B793)&gt;1,0,IF($B793&lt;'Guide &amp; Settings'!$C$50,0,IF(($B793-$AD793)/7-'Guide &amp; Settings'!$C$48&gt;=0,(INT(($B793-$AD793)/7-'Guide &amp; Settings'!$C$48)+1)*'Guide &amp; Settings'!$C$49,0)))))</f>
        <v>0</v>
      </c>
      <c r="AD793" s="142">
        <f t="shared" si="257"/>
        <v>46319</v>
      </c>
      <c r="AE793">
        <f t="shared" si="258"/>
        <v>1</v>
      </c>
      <c r="AF793">
        <f t="shared" si="259"/>
        <v>0</v>
      </c>
    </row>
    <row r="794" spans="1:32" x14ac:dyDescent="0.2">
      <c r="A794" s="117">
        <v>338</v>
      </c>
      <c r="B794" s="118">
        <v>46322</v>
      </c>
      <c r="C794" s="119" t="s">
        <v>45</v>
      </c>
      <c r="D794" s="119" t="s">
        <v>19</v>
      </c>
      <c r="E794" s="117" t="s">
        <v>370</v>
      </c>
      <c r="F794" s="120">
        <f t="shared" si="240"/>
        <v>2</v>
      </c>
      <c r="G794" s="121" t="str">
        <f t="shared" si="241"/>
        <v>Josh</v>
      </c>
      <c r="H794" s="122">
        <f>IF($D794="",0,IFERROR(LOOKUP(2,1/(($D$3:D793=$D794)*($A$3:A793&lt;$A794)),$N$3:N793),'Guide &amp; Settings'!$C$41))</f>
        <v>1292.9970014311298</v>
      </c>
      <c r="I794" s="123">
        <f t="shared" si="242"/>
        <v>0.64285714285714279</v>
      </c>
      <c r="J794" s="124">
        <f>IF($D794="",0,IF($F794&lt;2,0,IF($E794="Win",('Guide &amp; Settings'!$C$42/(($F794-1)*COUNTIFS($A$4:$A$1510,$A794,$E$4:$E$1510,"Win")))*SUMIFS($X$4:$X$1510,$A$4:$A$1510,$A794,$E$4:$E$1510,"Loss"),-('Guide &amp; Settings'!$C$42/($F794-1))*$X794)))</f>
        <v>10.784486761966598</v>
      </c>
      <c r="K794" s="124">
        <f>IF($D794="",0,'Guide &amp; Settings'!$C$43*(IF($E794="Win",1,0)-$I794))</f>
        <v>4.2857142857142865</v>
      </c>
      <c r="L794" s="125">
        <f>IF($D794="",0,'Guide &amp; Settings'!$C$44*IF($F794&gt;=3,$F794,0))</f>
        <v>0</v>
      </c>
      <c r="M794" s="124">
        <f t="shared" si="243"/>
        <v>15.070201047680884</v>
      </c>
      <c r="N794" s="122">
        <f t="shared" si="244"/>
        <v>1308.0672024788107</v>
      </c>
      <c r="O794" s="121" t="str">
        <f t="shared" si="245"/>
        <v>OK</v>
      </c>
      <c r="P794">
        <f t="shared" si="246"/>
        <v>1292.9970014311298</v>
      </c>
      <c r="Q794">
        <f t="shared" si="247"/>
        <v>0.5</v>
      </c>
      <c r="R794">
        <f t="shared" si="248"/>
        <v>0.75</v>
      </c>
      <c r="S794">
        <f t="shared" si="249"/>
        <v>1.1666666666666667</v>
      </c>
      <c r="T794" s="89">
        <f t="shared" si="250"/>
        <v>10</v>
      </c>
      <c r="U794" s="126">
        <f>IF($D794="",0,IFERROR(LOOKUP(2,1/(($D$3:D793=$D794)*($C$3:C793=$C794)*($A$3:A793&lt;$A794)),$AB$3:AB793),1000))</f>
        <v>1064.0364928810088</v>
      </c>
      <c r="V794" s="126">
        <f t="shared" si="251"/>
        <v>1140.3566623977158</v>
      </c>
      <c r="W794">
        <f t="shared" si="252"/>
        <v>1140.3566623977158</v>
      </c>
      <c r="X794">
        <f t="shared" si="253"/>
        <v>0.5</v>
      </c>
      <c r="Y794">
        <f t="shared" si="254"/>
        <v>1064.0364928810088</v>
      </c>
      <c r="Z794">
        <f t="shared" si="255"/>
        <v>0.5</v>
      </c>
      <c r="AA794">
        <f>IF($D794="",0,IF($F794&lt;2,0,IF($E794="Win",('Guide &amp; Settings'!$C$42/(($F794-1)*COUNTIFS($A$4:$A$1510,$A794,$E$4:$E$1510,"Win")))*SUMIFS($Z$4:$Z$1510,$A$4:$A$1510,$A794,$E$4:$E$1510,"Loss"),-('Guide &amp; Settings'!$C$42/($F794-1))*$Z794)))</f>
        <v>12.05645787111267</v>
      </c>
      <c r="AB794" s="126">
        <f t="shared" si="256"/>
        <v>1076.0929507521214</v>
      </c>
      <c r="AC794" s="126">
        <f>IF($D794="","",IF($AD794=0,0,IF(COUNTIFS($D$4:$D794,$D794,$B$4:$B794,$B794)&gt;1,0,IF($B794&lt;'Guide &amp; Settings'!$C$50,0,IF(($B794-$AD794)/7-'Guide &amp; Settings'!$C$48&gt;=0,(INT(($B794-$AD794)/7-'Guide &amp; Settings'!$C$48)+1)*'Guide &amp; Settings'!$C$49,0)))))</f>
        <v>0</v>
      </c>
      <c r="AD794" s="142">
        <f t="shared" si="257"/>
        <v>46303</v>
      </c>
      <c r="AE794">
        <f t="shared" si="258"/>
        <v>1</v>
      </c>
      <c r="AF794">
        <f t="shared" si="259"/>
        <v>0</v>
      </c>
    </row>
    <row r="795" spans="1:32" x14ac:dyDescent="0.2">
      <c r="A795" s="117">
        <v>338</v>
      </c>
      <c r="B795" s="118">
        <v>46322</v>
      </c>
      <c r="C795" s="119" t="s">
        <v>45</v>
      </c>
      <c r="D795" s="119" t="s">
        <v>22</v>
      </c>
      <c r="E795" s="117" t="s">
        <v>371</v>
      </c>
      <c r="F795" s="120">
        <f t="shared" si="240"/>
        <v>2</v>
      </c>
      <c r="G795" s="121" t="str">
        <f t="shared" si="241"/>
        <v>Josh</v>
      </c>
      <c r="H795" s="122">
        <f>IF($D795="",0,IFERROR(LOOKUP(2,1/(($D$3:D794=$D795)*($A$3:A794&lt;$A795)),$N$3:N794),'Guide &amp; Settings'!$C$41))</f>
        <v>1115.2381780115495</v>
      </c>
      <c r="I795" s="123">
        <f t="shared" si="242"/>
        <v>0.35714285714285715</v>
      </c>
      <c r="J795" s="124">
        <f>IF($D795="",0,IF($F795&lt;2,0,IF($E795="Win",('Guide &amp; Settings'!$C$42/(($F795-1)*COUNTIFS($A$4:$A$1510,$A795,$E$4:$E$1510,"Win")))*SUMIFS($X$4:$X$1510,$A$4:$A$1510,$A795,$E$4:$E$1510,"Loss"),-('Guide &amp; Settings'!$C$42/($F795-1))*$X795)))</f>
        <v>-10.784486761966598</v>
      </c>
      <c r="K795" s="124">
        <f>IF($D795="",0,'Guide &amp; Settings'!$C$43*(IF($E795="Win",1,0)-$I795))</f>
        <v>-4.2857142857142856</v>
      </c>
      <c r="L795" s="125">
        <f>IF($D795="",0,'Guide &amp; Settings'!$C$44*IF($F795&gt;=3,$F795,0))</f>
        <v>0</v>
      </c>
      <c r="M795" s="124">
        <f t="shared" si="243"/>
        <v>-15.070201047680882</v>
      </c>
      <c r="N795" s="122">
        <f t="shared" si="244"/>
        <v>1100.1679769638686</v>
      </c>
      <c r="O795" s="121" t="str">
        <f t="shared" si="245"/>
        <v>OK</v>
      </c>
      <c r="P795">
        <f t="shared" si="246"/>
        <v>1292.9970014311298</v>
      </c>
      <c r="Q795">
        <f t="shared" si="247"/>
        <v>0.26439248144346111</v>
      </c>
      <c r="R795">
        <f t="shared" si="248"/>
        <v>0.41666666666666669</v>
      </c>
      <c r="S795">
        <f t="shared" si="249"/>
        <v>1.1666666666666667</v>
      </c>
      <c r="T795" s="89">
        <f t="shared" si="250"/>
        <v>10</v>
      </c>
      <c r="U795" s="126">
        <f>IF($D795="",0,IFERROR(LOOKUP(2,1/(($D$3:D794=$D795)*($C$3:C794=$C795)*($A$3:A794&lt;$A795)),$AB$3:AB794),1000))</f>
        <v>976.6034680852971</v>
      </c>
      <c r="V795" s="126">
        <f t="shared" si="251"/>
        <v>1022.8150380607146</v>
      </c>
      <c r="W795">
        <f t="shared" si="252"/>
        <v>1140.3566623977158</v>
      </c>
      <c r="X795">
        <f t="shared" si="253"/>
        <v>0.33701521131145618</v>
      </c>
      <c r="Y795">
        <f t="shared" si="254"/>
        <v>1064.0364928810088</v>
      </c>
      <c r="Z795">
        <f t="shared" si="255"/>
        <v>0.37676430847227094</v>
      </c>
      <c r="AA795">
        <f>IF($D795="",0,IF($F795&lt;2,0,IF($E795="Win",('Guide &amp; Settings'!$C$42/(($F795-1)*COUNTIFS($A$4:$A$1510,$A795,$E$4:$E$1510,"Win")))*SUMIFS($Z$4:$Z$1510,$A$4:$A$1510,$A795,$E$4:$E$1510,"Loss"),-('Guide &amp; Settings'!$C$42/($F795-1))*$Z795)))</f>
        <v>-12.05645787111267</v>
      </c>
      <c r="AB795" s="126">
        <f t="shared" si="256"/>
        <v>964.54701021418441</v>
      </c>
      <c r="AC795" s="126">
        <f>IF($D795="","",IF($AD795=0,0,IF(COUNTIFS($D$4:$D795,$D795,$B$4:$B795,$B795)&gt;1,0,IF($B795&lt;'Guide &amp; Settings'!$C$50,0,IF(($B795-$AD795)/7-'Guide &amp; Settings'!$C$48&gt;=0,(INT(($B795-$AD795)/7-'Guide &amp; Settings'!$C$48)+1)*'Guide &amp; Settings'!$C$49,0)))))</f>
        <v>0</v>
      </c>
      <c r="AD795" s="142">
        <f t="shared" si="257"/>
        <v>46319</v>
      </c>
      <c r="AE795">
        <f t="shared" si="258"/>
        <v>1</v>
      </c>
      <c r="AF795">
        <f t="shared" si="259"/>
        <v>0</v>
      </c>
    </row>
    <row r="796" spans="1:32" x14ac:dyDescent="0.2">
      <c r="A796" s="117">
        <v>339</v>
      </c>
      <c r="B796" s="118">
        <v>46322</v>
      </c>
      <c r="C796" s="119" t="s">
        <v>45</v>
      </c>
      <c r="D796" s="119" t="s">
        <v>19</v>
      </c>
      <c r="E796" s="117" t="s">
        <v>370</v>
      </c>
      <c r="F796" s="120">
        <f t="shared" si="240"/>
        <v>2</v>
      </c>
      <c r="G796" s="121" t="str">
        <f t="shared" si="241"/>
        <v>Josh</v>
      </c>
      <c r="H796" s="122">
        <f>IF($D796="",0,IFERROR(LOOKUP(2,1/(($D$3:D795=$D796)*($A$3:A795&lt;$A796)),$N$3:N795),'Guide &amp; Settings'!$C$41))</f>
        <v>1308.0672024788107</v>
      </c>
      <c r="I796" s="123">
        <f t="shared" si="242"/>
        <v>0.66666666666666663</v>
      </c>
      <c r="J796" s="124">
        <f>IF($D796="",0,IF($F796&lt;2,0,IF($E796="Win",('Guide &amp; Settings'!$C$42/(($F796-1)*COUNTIFS($A$4:$A$1510,$A796,$E$4:$E$1510,"Win")))*SUMIFS($X$4:$X$1510,$A$4:$A$1510,$A796,$E$4:$E$1510,"Loss"),-('Guide &amp; Settings'!$C$42/($F796-1))*$X796)))</f>
        <v>9.8154430027019188</v>
      </c>
      <c r="K796" s="124">
        <f>IF($D796="",0,'Guide &amp; Settings'!$C$43*(IF($E796="Win",1,0)-$I796))</f>
        <v>4</v>
      </c>
      <c r="L796" s="125">
        <f>IF($D796="",0,'Guide &amp; Settings'!$C$44*IF($F796&gt;=3,$F796,0))</f>
        <v>0</v>
      </c>
      <c r="M796" s="124">
        <f t="shared" si="243"/>
        <v>13.815443002701919</v>
      </c>
      <c r="N796" s="122">
        <f t="shared" si="244"/>
        <v>1321.8826454815126</v>
      </c>
      <c r="O796" s="121" t="str">
        <f t="shared" si="245"/>
        <v>OK</v>
      </c>
      <c r="P796">
        <f t="shared" si="246"/>
        <v>1308.0672024788107</v>
      </c>
      <c r="Q796">
        <f t="shared" si="247"/>
        <v>0.5</v>
      </c>
      <c r="R796">
        <f t="shared" si="248"/>
        <v>0.76923076923076927</v>
      </c>
      <c r="S796">
        <f t="shared" si="249"/>
        <v>1.153846153846154</v>
      </c>
      <c r="T796" s="89">
        <f t="shared" si="250"/>
        <v>11</v>
      </c>
      <c r="U796" s="126">
        <f>IF($D796="",0,IFERROR(LOOKUP(2,1/(($D$3:D795=$D796)*($C$3:C795=$C796)*($A$3:A795&lt;$A796)),$AB$3:AB795),1000))</f>
        <v>1076.0929507521214</v>
      </c>
      <c r="V796" s="126">
        <f t="shared" si="251"/>
        <v>1148.5849044167119</v>
      </c>
      <c r="W796">
        <f t="shared" si="252"/>
        <v>1148.5849044167119</v>
      </c>
      <c r="X796">
        <f t="shared" si="253"/>
        <v>0.5</v>
      </c>
      <c r="Y796">
        <f t="shared" si="254"/>
        <v>1076.0929507521214</v>
      </c>
      <c r="Z796">
        <f t="shared" si="255"/>
        <v>0.5</v>
      </c>
      <c r="AA796">
        <f>IF($D796="",0,IF($F796&lt;2,0,IF($E796="Win",('Guide &amp; Settings'!$C$42/(($F796-1)*COUNTIFS($A$4:$A$1510,$A796,$E$4:$E$1510,"Win")))*SUMIFS($Z$4:$Z$1510,$A$4:$A$1510,$A796,$E$4:$E$1510,"Loss"),-('Guide &amp; Settings'!$C$42/($F796-1))*$Z796)))</f>
        <v>11.032630901153272</v>
      </c>
      <c r="AB796" s="126">
        <f t="shared" si="256"/>
        <v>1087.1255816532746</v>
      </c>
      <c r="AC796" s="126">
        <f>IF($D796="","",IF($AD796=0,0,IF(COUNTIFS($D$4:$D796,$D796,$B$4:$B796,$B796)&gt;1,0,IF($B796&lt;'Guide &amp; Settings'!$C$50,0,IF(($B796-$AD796)/7-'Guide &amp; Settings'!$C$48&gt;=0,(INT(($B796-$AD796)/7-'Guide &amp; Settings'!$C$48)+1)*'Guide &amp; Settings'!$C$49,0)))))</f>
        <v>0</v>
      </c>
      <c r="AD796" s="142">
        <f t="shared" si="257"/>
        <v>46303</v>
      </c>
      <c r="AE796">
        <f t="shared" si="258"/>
        <v>1</v>
      </c>
      <c r="AF796">
        <f t="shared" si="259"/>
        <v>0</v>
      </c>
    </row>
    <row r="797" spans="1:32" x14ac:dyDescent="0.2">
      <c r="A797" s="117">
        <v>339</v>
      </c>
      <c r="B797" s="118">
        <v>46322</v>
      </c>
      <c r="C797" s="119" t="s">
        <v>45</v>
      </c>
      <c r="D797" s="119" t="s">
        <v>22</v>
      </c>
      <c r="E797" s="117" t="s">
        <v>371</v>
      </c>
      <c r="F797" s="120">
        <f t="shared" si="240"/>
        <v>2</v>
      </c>
      <c r="G797" s="121" t="str">
        <f t="shared" si="241"/>
        <v>Josh</v>
      </c>
      <c r="H797" s="122">
        <f>IF($D797="",0,IFERROR(LOOKUP(2,1/(($D$3:D796=$D797)*($A$3:A796&lt;$A797)),$N$3:N796),'Guide &amp; Settings'!$C$41))</f>
        <v>1100.1679769638686</v>
      </c>
      <c r="I797" s="123">
        <f t="shared" si="242"/>
        <v>0.33333333333333331</v>
      </c>
      <c r="J797" s="124">
        <f>IF($D797="",0,IF($F797&lt;2,0,IF($E797="Win",('Guide &amp; Settings'!$C$42/(($F797-1)*COUNTIFS($A$4:$A$1510,$A797,$E$4:$E$1510,"Win")))*SUMIFS($X$4:$X$1510,$A$4:$A$1510,$A797,$E$4:$E$1510,"Loss"),-('Guide &amp; Settings'!$C$42/($F797-1))*$X797)))</f>
        <v>-9.8154430027019188</v>
      </c>
      <c r="K797" s="124">
        <f>IF($D797="",0,'Guide &amp; Settings'!$C$43*(IF($E797="Win",1,0)-$I797))</f>
        <v>-4</v>
      </c>
      <c r="L797" s="125">
        <f>IF($D797="",0,'Guide &amp; Settings'!$C$44*IF($F797&gt;=3,$F797,0))</f>
        <v>0</v>
      </c>
      <c r="M797" s="124">
        <f t="shared" si="243"/>
        <v>-13.815443002701919</v>
      </c>
      <c r="N797" s="122">
        <f t="shared" si="244"/>
        <v>1086.3525339611667</v>
      </c>
      <c r="O797" s="121" t="str">
        <f t="shared" si="245"/>
        <v>OK</v>
      </c>
      <c r="P797">
        <f t="shared" si="246"/>
        <v>1308.0672024788107</v>
      </c>
      <c r="Q797">
        <f t="shared" si="247"/>
        <v>0.23205135744211747</v>
      </c>
      <c r="R797">
        <f t="shared" si="248"/>
        <v>0.38461538461538464</v>
      </c>
      <c r="S797">
        <f t="shared" si="249"/>
        <v>1.153846153846154</v>
      </c>
      <c r="T797" s="89">
        <f t="shared" si="250"/>
        <v>11</v>
      </c>
      <c r="U797" s="126">
        <f>IF($D797="",0,IFERROR(LOOKUP(2,1/(($D$3:D796=$D797)*($C$3:C796=$C797)*($A$3:A796&lt;$A797)),$AB$3:AB796),1000))</f>
        <v>964.54701021418441</v>
      </c>
      <c r="V797" s="126">
        <f t="shared" si="251"/>
        <v>1006.9285623234607</v>
      </c>
      <c r="W797">
        <f t="shared" si="252"/>
        <v>1148.5849044167119</v>
      </c>
      <c r="X797">
        <f t="shared" si="253"/>
        <v>0.30673259383443496</v>
      </c>
      <c r="Y797">
        <f t="shared" si="254"/>
        <v>1076.0929507521214</v>
      </c>
      <c r="Z797">
        <f t="shared" si="255"/>
        <v>0.34476971566103976</v>
      </c>
      <c r="AA797">
        <f>IF($D797="",0,IF($F797&lt;2,0,IF($E797="Win",('Guide &amp; Settings'!$C$42/(($F797-1)*COUNTIFS($A$4:$A$1510,$A797,$E$4:$E$1510,"Win")))*SUMIFS($Z$4:$Z$1510,$A$4:$A$1510,$A797,$E$4:$E$1510,"Loss"),-('Guide &amp; Settings'!$C$42/($F797-1))*$Z797)))</f>
        <v>-11.032630901153272</v>
      </c>
      <c r="AB797" s="126">
        <f t="shared" si="256"/>
        <v>953.5143793130311</v>
      </c>
      <c r="AC797" s="126">
        <f>IF($D797="","",IF($AD797=0,0,IF(COUNTIFS($D$4:$D797,$D797,$B$4:$B797,$B797)&gt;1,0,IF($B797&lt;'Guide &amp; Settings'!$C$50,0,IF(($B797-$AD797)/7-'Guide &amp; Settings'!$C$48&gt;=0,(INT(($B797-$AD797)/7-'Guide &amp; Settings'!$C$48)+1)*'Guide &amp; Settings'!$C$49,0)))))</f>
        <v>0</v>
      </c>
      <c r="AD797" s="142">
        <f t="shared" si="257"/>
        <v>46319</v>
      </c>
      <c r="AE797">
        <f t="shared" si="258"/>
        <v>1</v>
      </c>
      <c r="AF797">
        <f t="shared" si="259"/>
        <v>0</v>
      </c>
    </row>
    <row r="798" spans="1:32" x14ac:dyDescent="0.2">
      <c r="A798" s="117">
        <v>340</v>
      </c>
      <c r="B798" s="118">
        <v>46322</v>
      </c>
      <c r="C798" s="119" t="s">
        <v>45</v>
      </c>
      <c r="D798" s="119" t="s">
        <v>22</v>
      </c>
      <c r="E798" s="117" t="s">
        <v>370</v>
      </c>
      <c r="F798" s="120">
        <f t="shared" si="240"/>
        <v>2</v>
      </c>
      <c r="G798" s="121" t="str">
        <f t="shared" si="241"/>
        <v>Daniel (Ferret)</v>
      </c>
      <c r="H798" s="122">
        <f>IF($D798="",0,IFERROR(LOOKUP(2,1/(($D$3:D797=$D798)*($A$3:A797&lt;$A798)),$N$3:N797),'Guide &amp; Settings'!$C$41))</f>
        <v>1086.3525339611667</v>
      </c>
      <c r="I798" s="123">
        <f t="shared" si="242"/>
        <v>0.3125</v>
      </c>
      <c r="J798" s="124">
        <f>IF($D798="",0,IF($F798&lt;2,0,IF($E798="Win",('Guide &amp; Settings'!$C$42/(($F798-1)*COUNTIFS($A$4:$A$1510,$A798,$E$4:$E$1510,"Win")))*SUMIFS($X$4:$X$1510,$A$4:$A$1510,$A798,$E$4:$E$1510,"Loss"),-('Guide &amp; Settings'!$C$42/($F798-1))*$X798)))</f>
        <v>23.022073347733038</v>
      </c>
      <c r="K798" s="124">
        <f>IF($D798="",0,'Guide &amp; Settings'!$C$43*(IF($E798="Win",1,0)-$I798))</f>
        <v>8.25</v>
      </c>
      <c r="L798" s="125">
        <f>IF($D798="",0,'Guide &amp; Settings'!$C$44*IF($F798&gt;=3,$F798,0))</f>
        <v>0</v>
      </c>
      <c r="M798" s="124">
        <f t="shared" si="243"/>
        <v>31.272073347733038</v>
      </c>
      <c r="N798" s="122">
        <f t="shared" si="244"/>
        <v>1117.6246073088998</v>
      </c>
      <c r="O798" s="121" t="str">
        <f t="shared" si="245"/>
        <v>OK</v>
      </c>
      <c r="P798">
        <f t="shared" si="246"/>
        <v>1086.3525339611667</v>
      </c>
      <c r="Q798">
        <f t="shared" si="247"/>
        <v>0.5</v>
      </c>
      <c r="R798">
        <f t="shared" si="248"/>
        <v>0.35714285714285715</v>
      </c>
      <c r="S798">
        <f t="shared" si="249"/>
        <v>1.1428571428571428</v>
      </c>
      <c r="T798" s="89">
        <f t="shared" si="250"/>
        <v>12</v>
      </c>
      <c r="U798" s="126">
        <f>IF($D798="",0,IFERROR(LOOKUP(2,1/(($D$3:D797=$D798)*($C$3:C797=$C798)*($A$3:A797&lt;$A798)),$AB$3:AB797),1000))</f>
        <v>953.5143793130311</v>
      </c>
      <c r="V798" s="126">
        <f t="shared" si="251"/>
        <v>992.58442479777682</v>
      </c>
      <c r="W798">
        <f t="shared" si="252"/>
        <v>992.58442479777682</v>
      </c>
      <c r="X798">
        <f t="shared" si="253"/>
        <v>0.5</v>
      </c>
      <c r="Y798">
        <f t="shared" si="254"/>
        <v>953.5143793130311</v>
      </c>
      <c r="Z798">
        <f t="shared" si="255"/>
        <v>0.5</v>
      </c>
      <c r="AA798">
        <f>IF($D798="",0,IF($F798&lt;2,0,IF($E798="Win",('Guide &amp; Settings'!$C$42/(($F798-1)*COUNTIFS($A$4:$A$1510,$A798,$E$4:$E$1510,"Win")))*SUMIFS($Z$4:$Z$1510,$A$4:$A$1510,$A798,$E$4:$E$1510,"Loss"),-('Guide &amp; Settings'!$C$42/($F798-1))*$Z798)))</f>
        <v>21.866630793691403</v>
      </c>
      <c r="AB798" s="126">
        <f t="shared" si="256"/>
        <v>975.38101010672256</v>
      </c>
      <c r="AC798" s="126">
        <f>IF($D798="","",IF($AD798=0,0,IF(COUNTIFS($D$4:$D798,$D798,$B$4:$B798,$B798)&gt;1,0,IF($B798&lt;'Guide &amp; Settings'!$C$50,0,IF(($B798-$AD798)/7-'Guide &amp; Settings'!$C$48&gt;=0,(INT(($B798-$AD798)/7-'Guide &amp; Settings'!$C$48)+1)*'Guide &amp; Settings'!$C$49,0)))))</f>
        <v>0</v>
      </c>
      <c r="AD798" s="142">
        <f t="shared" si="257"/>
        <v>46319</v>
      </c>
      <c r="AE798">
        <f t="shared" si="258"/>
        <v>1</v>
      </c>
      <c r="AF798">
        <f t="shared" si="259"/>
        <v>0</v>
      </c>
    </row>
    <row r="799" spans="1:32" x14ac:dyDescent="0.2">
      <c r="A799" s="117">
        <v>340</v>
      </c>
      <c r="B799" s="118">
        <v>46322</v>
      </c>
      <c r="C799" s="119" t="s">
        <v>45</v>
      </c>
      <c r="D799" s="119" t="s">
        <v>19</v>
      </c>
      <c r="E799" s="117" t="s">
        <v>371</v>
      </c>
      <c r="F799" s="120">
        <f t="shared" si="240"/>
        <v>2</v>
      </c>
      <c r="G799" s="121" t="str">
        <f t="shared" si="241"/>
        <v>Daniel (Ferret)</v>
      </c>
      <c r="H799" s="122">
        <f>IF($D799="",0,IFERROR(LOOKUP(2,1/(($D$3:D798=$D799)*($A$3:A798&lt;$A799)),$N$3:N798),'Guide &amp; Settings'!$C$41))</f>
        <v>1321.8826454815126</v>
      </c>
      <c r="I799" s="123">
        <f t="shared" si="242"/>
        <v>0.6875</v>
      </c>
      <c r="J799" s="124">
        <f>IF($D799="",0,IF($F799&lt;2,0,IF($E799="Win",('Guide &amp; Settings'!$C$42/(($F799-1)*COUNTIFS($A$4:$A$1510,$A799,$E$4:$E$1510,"Win")))*SUMIFS($X$4:$X$1510,$A$4:$A$1510,$A799,$E$4:$E$1510,"Loss"),-('Guide &amp; Settings'!$C$42/($F799-1))*$X799)))</f>
        <v>-23.022073347733038</v>
      </c>
      <c r="K799" s="124">
        <f>IF($D799="",0,'Guide &amp; Settings'!$C$43*(IF($E799="Win",1,0)-$I799))</f>
        <v>-8.25</v>
      </c>
      <c r="L799" s="125">
        <f>IF($D799="",0,'Guide &amp; Settings'!$C$44*IF($F799&gt;=3,$F799,0))</f>
        <v>0</v>
      </c>
      <c r="M799" s="124">
        <f t="shared" si="243"/>
        <v>-31.272073347733038</v>
      </c>
      <c r="N799" s="122">
        <f t="shared" si="244"/>
        <v>1290.6105721337794</v>
      </c>
      <c r="O799" s="121" t="str">
        <f t="shared" si="245"/>
        <v>OK</v>
      </c>
      <c r="P799">
        <f t="shared" si="246"/>
        <v>1086.3525339611667</v>
      </c>
      <c r="Q799">
        <f t="shared" si="247"/>
        <v>0.79507954867229702</v>
      </c>
      <c r="R799">
        <f t="shared" si="248"/>
        <v>0.7857142857142857</v>
      </c>
      <c r="S799">
        <f t="shared" si="249"/>
        <v>1.1428571428571428</v>
      </c>
      <c r="T799" s="89">
        <f t="shared" si="250"/>
        <v>12</v>
      </c>
      <c r="U799" s="126">
        <f>IF($D799="",0,IFERROR(LOOKUP(2,1/(($D$3:D798=$D799)*($C$3:C798=$C799)*($A$3:A798&lt;$A799)),$AB$3:AB798),1000))</f>
        <v>1087.1255816532746</v>
      </c>
      <c r="V799" s="126">
        <f t="shared" si="251"/>
        <v>1156.171776896874</v>
      </c>
      <c r="W799">
        <f t="shared" si="252"/>
        <v>992.58442479777682</v>
      </c>
      <c r="X799">
        <f t="shared" si="253"/>
        <v>0.71943979211665743</v>
      </c>
      <c r="Y799">
        <f t="shared" si="254"/>
        <v>953.5143793130311</v>
      </c>
      <c r="Z799">
        <f t="shared" si="255"/>
        <v>0.68333221230285635</v>
      </c>
      <c r="AA799">
        <f>IF($D799="",0,IF($F799&lt;2,0,IF($E799="Win",('Guide &amp; Settings'!$C$42/(($F799-1)*COUNTIFS($A$4:$A$1510,$A799,$E$4:$E$1510,"Win")))*SUMIFS($Z$4:$Z$1510,$A$4:$A$1510,$A799,$E$4:$E$1510,"Loss"),-('Guide &amp; Settings'!$C$42/($F799-1))*$Z799)))</f>
        <v>-21.866630793691403</v>
      </c>
      <c r="AB799" s="126">
        <f t="shared" si="256"/>
        <v>1065.2589508595831</v>
      </c>
      <c r="AC799" s="126">
        <f>IF($D799="","",IF($AD799=0,0,IF(COUNTIFS($D$4:$D799,$D799,$B$4:$B799,$B799)&gt;1,0,IF($B799&lt;'Guide &amp; Settings'!$C$50,0,IF(($B799-$AD799)/7-'Guide &amp; Settings'!$C$48&gt;=0,(INT(($B799-$AD799)/7-'Guide &amp; Settings'!$C$48)+1)*'Guide &amp; Settings'!$C$49,0)))))</f>
        <v>0</v>
      </c>
      <c r="AD799" s="142">
        <f t="shared" si="257"/>
        <v>46303</v>
      </c>
      <c r="AE799">
        <f t="shared" si="258"/>
        <v>1</v>
      </c>
      <c r="AF799">
        <f t="shared" si="259"/>
        <v>0</v>
      </c>
    </row>
    <row r="800" spans="1:32" x14ac:dyDescent="0.2">
      <c r="A800" s="117">
        <v>341</v>
      </c>
      <c r="B800" s="118">
        <v>46322</v>
      </c>
      <c r="C800" s="119" t="s">
        <v>45</v>
      </c>
      <c r="D800" s="119" t="s">
        <v>19</v>
      </c>
      <c r="E800" s="117" t="s">
        <v>370</v>
      </c>
      <c r="F800" s="120">
        <f t="shared" si="240"/>
        <v>2</v>
      </c>
      <c r="G800" s="121" t="str">
        <f t="shared" si="241"/>
        <v>Josh</v>
      </c>
      <c r="H800" s="122">
        <f>IF($D800="",0,IFERROR(LOOKUP(2,1/(($D$3:D799=$D800)*($A$3:A799&lt;$A800)),$N$3:N799),'Guide &amp; Settings'!$C$41))</f>
        <v>1290.6105721337794</v>
      </c>
      <c r="I800" s="123">
        <f t="shared" si="242"/>
        <v>0.64705882352941169</v>
      </c>
      <c r="J800" s="124">
        <f>IF($D800="",0,IF($F800&lt;2,0,IF($E800="Win",('Guide &amp; Settings'!$C$42/(($F800-1)*COUNTIFS($A$4:$A$1510,$A800,$E$4:$E$1510,"Win")))*SUMIFS($X$4:$X$1510,$A$4:$A$1510,$A800,$E$4:$E$1510,"Loss"),-('Guide &amp; Settings'!$C$42/($F800-1))*$X800)))</f>
        <v>10.973716865809592</v>
      </c>
      <c r="K800" s="124">
        <f>IF($D800="",0,'Guide &amp; Settings'!$C$43*(IF($E800="Win",1,0)-$I800))</f>
        <v>4.2352941176470598</v>
      </c>
      <c r="L800" s="125">
        <f>IF($D800="",0,'Guide &amp; Settings'!$C$44*IF($F800&gt;=3,$F800,0))</f>
        <v>0</v>
      </c>
      <c r="M800" s="124">
        <f t="shared" si="243"/>
        <v>15.209010983456652</v>
      </c>
      <c r="N800" s="122">
        <f t="shared" si="244"/>
        <v>1305.8195831172361</v>
      </c>
      <c r="O800" s="121" t="str">
        <f t="shared" si="245"/>
        <v>OK</v>
      </c>
      <c r="P800">
        <f t="shared" si="246"/>
        <v>1290.6105721337794</v>
      </c>
      <c r="Q800">
        <f t="shared" si="247"/>
        <v>0.5</v>
      </c>
      <c r="R800">
        <f t="shared" si="248"/>
        <v>0.73333333333333328</v>
      </c>
      <c r="S800">
        <f t="shared" si="249"/>
        <v>1.1333333333333333</v>
      </c>
      <c r="T800" s="89">
        <f t="shared" si="250"/>
        <v>13</v>
      </c>
      <c r="U800" s="126">
        <f>IF($D800="",0,IFERROR(LOOKUP(2,1/(($D$3:D799=$D800)*($C$3:C799=$C800)*($A$3:A799&lt;$A800)),$AB$3:AB799),1000))</f>
        <v>1065.2589508595831</v>
      </c>
      <c r="V800" s="126">
        <f t="shared" si="251"/>
        <v>1127.8566234357488</v>
      </c>
      <c r="W800">
        <f t="shared" si="252"/>
        <v>1127.8566234357488</v>
      </c>
      <c r="X800">
        <f t="shared" si="253"/>
        <v>0.5</v>
      </c>
      <c r="Y800">
        <f t="shared" si="254"/>
        <v>1065.2589508595831</v>
      </c>
      <c r="Z800">
        <f t="shared" si="255"/>
        <v>0.5</v>
      </c>
      <c r="AA800">
        <f>IF($D800="",0,IF($F800&lt;2,0,IF($E800="Win",('Guide &amp; Settings'!$C$42/(($F800-1)*COUNTIFS($A$4:$A$1510,$A800,$E$4:$E$1510,"Win")))*SUMIFS($Z$4:$Z$1510,$A$4:$A$1510,$A800,$E$4:$E$1510,"Loss"),-('Guide &amp; Settings'!$C$42/($F800-1))*$Z800)))</f>
        <v>11.9508899605542</v>
      </c>
      <c r="AB800" s="126">
        <f t="shared" si="256"/>
        <v>1077.2098408201373</v>
      </c>
      <c r="AC800" s="126">
        <f>IF($D800="","",IF($AD800=0,0,IF(COUNTIFS($D$4:$D800,$D800,$B$4:$B800,$B800)&gt;1,0,IF($B800&lt;'Guide &amp; Settings'!$C$50,0,IF(($B800-$AD800)/7-'Guide &amp; Settings'!$C$48&gt;=0,(INT(($B800-$AD800)/7-'Guide &amp; Settings'!$C$48)+1)*'Guide &amp; Settings'!$C$49,0)))))</f>
        <v>0</v>
      </c>
      <c r="AD800" s="142">
        <f t="shared" si="257"/>
        <v>46303</v>
      </c>
      <c r="AE800">
        <f t="shared" si="258"/>
        <v>1</v>
      </c>
      <c r="AF800">
        <f t="shared" si="259"/>
        <v>0</v>
      </c>
    </row>
    <row r="801" spans="1:32" x14ac:dyDescent="0.2">
      <c r="A801" s="117">
        <v>341</v>
      </c>
      <c r="B801" s="118">
        <v>46322</v>
      </c>
      <c r="C801" s="119" t="s">
        <v>45</v>
      </c>
      <c r="D801" s="119" t="s">
        <v>22</v>
      </c>
      <c r="E801" s="117" t="s">
        <v>371</v>
      </c>
      <c r="F801" s="120">
        <f t="shared" si="240"/>
        <v>2</v>
      </c>
      <c r="G801" s="121" t="str">
        <f t="shared" si="241"/>
        <v>Josh</v>
      </c>
      <c r="H801" s="122">
        <f>IF($D801="",0,IFERROR(LOOKUP(2,1/(($D$3:D800=$D801)*($A$3:A800&lt;$A801)),$N$3:N800),'Guide &amp; Settings'!$C$41))</f>
        <v>1117.6246073088998</v>
      </c>
      <c r="I801" s="123">
        <f t="shared" si="242"/>
        <v>0.35294117647058826</v>
      </c>
      <c r="J801" s="124">
        <f>IF($D801="",0,IF($F801&lt;2,0,IF($E801="Win",('Guide &amp; Settings'!$C$42/(($F801-1)*COUNTIFS($A$4:$A$1510,$A801,$E$4:$E$1510,"Win")))*SUMIFS($X$4:$X$1510,$A$4:$A$1510,$A801,$E$4:$E$1510,"Loss"),-('Guide &amp; Settings'!$C$42/($F801-1))*$X801)))</f>
        <v>-10.973716865809592</v>
      </c>
      <c r="K801" s="124">
        <f>IF($D801="",0,'Guide &amp; Settings'!$C$43*(IF($E801="Win",1,0)-$I801))</f>
        <v>-4.2352941176470589</v>
      </c>
      <c r="L801" s="125">
        <f>IF($D801="",0,'Guide &amp; Settings'!$C$44*IF($F801&gt;=3,$F801,0))</f>
        <v>0</v>
      </c>
      <c r="M801" s="124">
        <f t="shared" si="243"/>
        <v>-15.20901098345665</v>
      </c>
      <c r="N801" s="122">
        <f t="shared" si="244"/>
        <v>1102.4155963254432</v>
      </c>
      <c r="O801" s="121" t="str">
        <f t="shared" si="245"/>
        <v>OK</v>
      </c>
      <c r="P801">
        <f t="shared" si="246"/>
        <v>1290.6105721337794</v>
      </c>
      <c r="Q801">
        <f t="shared" si="247"/>
        <v>0.26977050216595078</v>
      </c>
      <c r="R801">
        <f t="shared" si="248"/>
        <v>0.4</v>
      </c>
      <c r="S801">
        <f t="shared" si="249"/>
        <v>1.1333333333333333</v>
      </c>
      <c r="T801" s="89">
        <f t="shared" si="250"/>
        <v>13</v>
      </c>
      <c r="U801" s="126">
        <f>IF($D801="",0,IFERROR(LOOKUP(2,1/(($D$3:D800=$D801)*($C$3:C800=$C801)*($A$3:A800&lt;$A801)),$AB$3:AB800),1000))</f>
        <v>975.38101010672256</v>
      </c>
      <c r="V801" s="126">
        <f t="shared" si="251"/>
        <v>1014.8931204406607</v>
      </c>
      <c r="W801">
        <f t="shared" si="252"/>
        <v>1127.8566234357488</v>
      </c>
      <c r="X801">
        <f t="shared" si="253"/>
        <v>0.34292865205654977</v>
      </c>
      <c r="Y801">
        <f t="shared" si="254"/>
        <v>1065.2589508595831</v>
      </c>
      <c r="Z801">
        <f t="shared" si="255"/>
        <v>0.37346531126731874</v>
      </c>
      <c r="AA801">
        <f>IF($D801="",0,IF($F801&lt;2,0,IF($E801="Win",('Guide &amp; Settings'!$C$42/(($F801-1)*COUNTIFS($A$4:$A$1510,$A801,$E$4:$E$1510,"Win")))*SUMIFS($Z$4:$Z$1510,$A$4:$A$1510,$A801,$E$4:$E$1510,"Loss"),-('Guide &amp; Settings'!$C$42/($F801-1))*$Z801)))</f>
        <v>-11.9508899605542</v>
      </c>
      <c r="AB801" s="126">
        <f t="shared" si="256"/>
        <v>963.43012014616841</v>
      </c>
      <c r="AC801" s="126">
        <f>IF($D801="","",IF($AD801=0,0,IF(COUNTIFS($D$4:$D801,$D801,$B$4:$B801,$B801)&gt;1,0,IF($B801&lt;'Guide &amp; Settings'!$C$50,0,IF(($B801-$AD801)/7-'Guide &amp; Settings'!$C$48&gt;=0,(INT(($B801-$AD801)/7-'Guide &amp; Settings'!$C$48)+1)*'Guide &amp; Settings'!$C$49,0)))))</f>
        <v>0</v>
      </c>
      <c r="AD801" s="142">
        <f t="shared" si="257"/>
        <v>46319</v>
      </c>
      <c r="AE801">
        <f t="shared" si="258"/>
        <v>1</v>
      </c>
      <c r="AF801">
        <f t="shared" si="259"/>
        <v>0</v>
      </c>
    </row>
    <row r="802" spans="1:32" x14ac:dyDescent="0.2">
      <c r="A802" s="117">
        <v>342</v>
      </c>
      <c r="B802" s="118">
        <v>46323</v>
      </c>
      <c r="C802" s="119" t="s">
        <v>34</v>
      </c>
      <c r="D802" s="119" t="s">
        <v>20</v>
      </c>
      <c r="E802" s="117" t="s">
        <v>370</v>
      </c>
      <c r="F802" s="120">
        <f t="shared" si="240"/>
        <v>2</v>
      </c>
      <c r="G802" s="121" t="str">
        <f t="shared" si="241"/>
        <v>Shawn</v>
      </c>
      <c r="H802" s="122">
        <f>IF($D802="",0,IFERROR(LOOKUP(2,1/(($D$3:D801=$D802)*($A$3:A801&lt;$A802)),$N$3:N801),'Guide &amp; Settings'!$C$41))</f>
        <v>1199.9180814643371</v>
      </c>
      <c r="I802" s="123">
        <f t="shared" si="242"/>
        <v>0.40909090909090912</v>
      </c>
      <c r="J802" s="124">
        <f>IF($D802="",0,IF($F802&lt;2,0,IF($E802="Win",('Guide &amp; Settings'!$C$42/(($F802-1)*COUNTIFS($A$4:$A$1510,$A802,$E$4:$E$1510,"Win")))*SUMIFS($X$4:$X$1510,$A$4:$A$1510,$A802,$E$4:$E$1510,"Loss"),-('Guide &amp; Settings'!$C$42/($F802-1))*$X802)))</f>
        <v>14.316439367008865</v>
      </c>
      <c r="K802" s="124">
        <f>IF($D802="",0,'Guide &amp; Settings'!$C$43*(IF($E802="Win",1,0)-$I802))</f>
        <v>7.0909090909090899</v>
      </c>
      <c r="L802" s="125">
        <f>IF($D802="",0,'Guide &amp; Settings'!$C$44*IF($F802&gt;=3,$F802,0))</f>
        <v>0</v>
      </c>
      <c r="M802" s="124">
        <f t="shared" si="243"/>
        <v>21.407348457917955</v>
      </c>
      <c r="N802" s="122">
        <f t="shared" si="244"/>
        <v>1221.3254299222551</v>
      </c>
      <c r="O802" s="121" t="str">
        <f t="shared" si="245"/>
        <v>OK</v>
      </c>
      <c r="P802">
        <f t="shared" si="246"/>
        <v>1199.9180814643371</v>
      </c>
      <c r="Q802">
        <f t="shared" si="247"/>
        <v>0.5</v>
      </c>
      <c r="R802">
        <f t="shared" si="248"/>
        <v>0.30769230769230771</v>
      </c>
      <c r="S802">
        <f t="shared" si="249"/>
        <v>0.75213675213675213</v>
      </c>
      <c r="T802" s="89">
        <f t="shared" si="250"/>
        <v>11</v>
      </c>
      <c r="U802" s="126">
        <f>IF($D802="",0,IFERROR(LOOKUP(2,1/(($D$3:D801=$D802)*($C$3:C801=$C802)*($A$3:A801&lt;$A802)),$AB$3:AB801),1000))</f>
        <v>973.73504678032145</v>
      </c>
      <c r="V802" s="126">
        <f t="shared" si="251"/>
        <v>1044.4172451190764</v>
      </c>
      <c r="W802">
        <f t="shared" si="252"/>
        <v>1044.4172451190764</v>
      </c>
      <c r="X802">
        <f t="shared" si="253"/>
        <v>0.5</v>
      </c>
      <c r="Y802">
        <f t="shared" si="254"/>
        <v>973.73504678032145</v>
      </c>
      <c r="Z802">
        <f t="shared" si="255"/>
        <v>0.5</v>
      </c>
      <c r="AA802">
        <f>IF($D802="",0,IF($F802&lt;2,0,IF($E802="Win",('Guide &amp; Settings'!$C$42/(($F802-1)*COUNTIFS($A$4:$A$1510,$A802,$E$4:$E$1510,"Win")))*SUMIFS($Z$4:$Z$1510,$A$4:$A$1510,$A802,$E$4:$E$1510,"Loss"),-('Guide &amp; Settings'!$C$42/($F802-1))*$Z802)))</f>
        <v>17.674784377679874</v>
      </c>
      <c r="AB802" s="126">
        <f t="shared" si="256"/>
        <v>991.40983115800134</v>
      </c>
      <c r="AC802" s="126">
        <f>IF($D802="","",IF($AD802=0,0,IF(COUNTIFS($D$4:$D802,$D802,$B$4:$B802,$B802)&gt;1,0,IF($B802&lt;'Guide &amp; Settings'!$C$50,0,IF(($B802-$AD802)/7-'Guide &amp; Settings'!$C$48&gt;=0,(INT(($B802-$AD802)/7-'Guide &amp; Settings'!$C$48)+1)*'Guide &amp; Settings'!$C$49,0)))))</f>
        <v>0</v>
      </c>
      <c r="AD802" s="142">
        <f t="shared" si="257"/>
        <v>46320</v>
      </c>
      <c r="AE802">
        <f t="shared" si="258"/>
        <v>1</v>
      </c>
      <c r="AF802">
        <f t="shared" si="259"/>
        <v>0</v>
      </c>
    </row>
    <row r="803" spans="1:32" x14ac:dyDescent="0.2">
      <c r="A803" s="117">
        <v>342</v>
      </c>
      <c r="B803" s="118">
        <v>46323</v>
      </c>
      <c r="C803" s="119" t="s">
        <v>34</v>
      </c>
      <c r="D803" s="119" t="s">
        <v>25</v>
      </c>
      <c r="E803" s="117" t="s">
        <v>371</v>
      </c>
      <c r="F803" s="120">
        <f t="shared" si="240"/>
        <v>2</v>
      </c>
      <c r="G803" s="121" t="str">
        <f t="shared" si="241"/>
        <v>Shawn</v>
      </c>
      <c r="H803" s="122">
        <f>IF($D803="",0,IFERROR(LOOKUP(2,1/(($D$3:D802=$D803)*($A$3:A802&lt;$A803)),$N$3:N802),'Guide &amp; Settings'!$C$41))</f>
        <v>1004.2053573760541</v>
      </c>
      <c r="I803" s="123">
        <f t="shared" si="242"/>
        <v>0.59090909090909083</v>
      </c>
      <c r="J803" s="124">
        <f>IF($D803="",0,IF($F803&lt;2,0,IF($E803="Win",('Guide &amp; Settings'!$C$42/(($F803-1)*COUNTIFS($A$4:$A$1510,$A803,$E$4:$E$1510,"Win")))*SUMIFS($X$4:$X$1510,$A$4:$A$1510,$A803,$E$4:$E$1510,"Loss"),-('Guide &amp; Settings'!$C$42/($F803-1))*$X803)))</f>
        <v>-14.316439367008865</v>
      </c>
      <c r="K803" s="124">
        <f>IF($D803="",0,'Guide &amp; Settings'!$C$43*(IF($E803="Win",1,0)-$I803))</f>
        <v>-7.0909090909090899</v>
      </c>
      <c r="L803" s="125">
        <f>IF($D803="",0,'Guide &amp; Settings'!$C$44*IF($F803&gt;=3,$F803,0))</f>
        <v>0</v>
      </c>
      <c r="M803" s="124">
        <f t="shared" si="243"/>
        <v>-21.407348457917955</v>
      </c>
      <c r="N803" s="122">
        <f t="shared" si="244"/>
        <v>982.79800891813613</v>
      </c>
      <c r="O803" s="121" t="str">
        <f t="shared" si="245"/>
        <v>OK</v>
      </c>
      <c r="P803">
        <f t="shared" si="246"/>
        <v>1199.9180814643371</v>
      </c>
      <c r="Q803">
        <f t="shared" si="247"/>
        <v>0.24478670079877074</v>
      </c>
      <c r="R803">
        <f t="shared" si="248"/>
        <v>0.44444444444444442</v>
      </c>
      <c r="S803">
        <f t="shared" si="249"/>
        <v>0.75213675213675213</v>
      </c>
      <c r="T803" s="89">
        <f t="shared" si="250"/>
        <v>7</v>
      </c>
      <c r="U803" s="126">
        <f>IF($D803="",0,IFERROR(LOOKUP(2,1/(($D$3:D802=$D803)*($C$3:C802=$C803)*($A$3:A802&lt;$A803)),$AB$3:AB802),1000))</f>
        <v>1010.2362294568643</v>
      </c>
      <c r="V803" s="126">
        <f t="shared" si="251"/>
        <v>1007.7233660898601</v>
      </c>
      <c r="W803">
        <f t="shared" si="252"/>
        <v>1044.4172451190764</v>
      </c>
      <c r="X803">
        <f t="shared" si="253"/>
        <v>0.44738873021902703</v>
      </c>
      <c r="Y803">
        <f t="shared" si="254"/>
        <v>973.73504678032145</v>
      </c>
      <c r="Z803">
        <f t="shared" si="255"/>
        <v>0.55233701180249606</v>
      </c>
      <c r="AA803">
        <f>IF($D803="",0,IF($F803&lt;2,0,IF($E803="Win",('Guide &amp; Settings'!$C$42/(($F803-1)*COUNTIFS($A$4:$A$1510,$A803,$E$4:$E$1510,"Win")))*SUMIFS($Z$4:$Z$1510,$A$4:$A$1510,$A803,$E$4:$E$1510,"Loss"),-('Guide &amp; Settings'!$C$42/($F803-1))*$Z803)))</f>
        <v>-17.674784377679874</v>
      </c>
      <c r="AB803" s="126">
        <f t="shared" si="256"/>
        <v>992.56144507918441</v>
      </c>
      <c r="AC803" s="126">
        <f>IF($D803="","",IF($AD803=0,0,IF(COUNTIFS($D$4:$D803,$D803,$B$4:$B803,$B803)&gt;1,0,IF($B803&lt;'Guide &amp; Settings'!$C$50,0,IF(($B803-$AD803)/7-'Guide &amp; Settings'!$C$48&gt;=0,(INT(($B803-$AD803)/7-'Guide &amp; Settings'!$C$48)+1)*'Guide &amp; Settings'!$C$49,0)))))</f>
        <v>0</v>
      </c>
      <c r="AD803" s="142">
        <f t="shared" si="257"/>
        <v>46320</v>
      </c>
      <c r="AE803">
        <f t="shared" si="258"/>
        <v>1</v>
      </c>
      <c r="AF803">
        <f t="shared" si="259"/>
        <v>0</v>
      </c>
    </row>
    <row r="804" spans="1:32" x14ac:dyDescent="0.2">
      <c r="A804" s="117">
        <v>343</v>
      </c>
      <c r="B804" s="118">
        <v>46323</v>
      </c>
      <c r="C804" s="119" t="s">
        <v>34</v>
      </c>
      <c r="D804" s="119" t="s">
        <v>25</v>
      </c>
      <c r="E804" s="117" t="s">
        <v>371</v>
      </c>
      <c r="F804" s="120">
        <f t="shared" si="240"/>
        <v>2</v>
      </c>
      <c r="G804" s="121" t="str">
        <f t="shared" si="241"/>
        <v>Simon</v>
      </c>
      <c r="H804" s="122">
        <f>IF($D804="",0,IFERROR(LOOKUP(2,1/(($D$3:D803=$D804)*($A$3:A803&lt;$A804)),$N$3:N803),'Guide &amp; Settings'!$C$41))</f>
        <v>982.79800891813613</v>
      </c>
      <c r="I804" s="123">
        <f t="shared" si="242"/>
        <v>0.54545454545454541</v>
      </c>
      <c r="J804" s="124">
        <f>IF($D804="",0,IF($F804&lt;2,0,IF($E804="Win",('Guide &amp; Settings'!$C$42/(($F804-1)*COUNTIFS($A$4:$A$1510,$A804,$E$4:$E$1510,"Win")))*SUMIFS($X$4:$X$1510,$A$4:$A$1510,$A804,$E$4:$E$1510,"Loss"),-('Guide &amp; Settings'!$C$42/($F804-1))*$X804)))</f>
        <v>-11.819475987347611</v>
      </c>
      <c r="K804" s="124">
        <f>IF($D804="",0,'Guide &amp; Settings'!$C$43*(IF($E804="Win",1,0)-$I804))</f>
        <v>-6.545454545454545</v>
      </c>
      <c r="L804" s="125">
        <f>IF($D804="",0,'Guide &amp; Settings'!$C$44*IF($F804&gt;=3,$F804,0))</f>
        <v>0</v>
      </c>
      <c r="M804" s="124">
        <f t="shared" si="243"/>
        <v>-18.364930532802155</v>
      </c>
      <c r="N804" s="122">
        <f t="shared" si="244"/>
        <v>964.43307838533394</v>
      </c>
      <c r="O804" s="121" t="str">
        <f t="shared" si="245"/>
        <v>OK</v>
      </c>
      <c r="P804">
        <f t="shared" si="246"/>
        <v>1210.5445492849278</v>
      </c>
      <c r="Q804">
        <f t="shared" si="247"/>
        <v>0.21231713574979733</v>
      </c>
      <c r="R804">
        <f t="shared" si="248"/>
        <v>0.4</v>
      </c>
      <c r="S804">
        <f t="shared" si="249"/>
        <v>0.73333333333333339</v>
      </c>
      <c r="T804" s="89">
        <f t="shared" si="250"/>
        <v>8</v>
      </c>
      <c r="U804" s="126">
        <f>IF($D804="",0,IFERROR(LOOKUP(2,1/(($D$3:D803=$D804)*($C$3:C803=$C804)*($A$3:A803&lt;$A804)),$AB$3:AB803),1000))</f>
        <v>992.56144507918441</v>
      </c>
      <c r="V804" s="126">
        <f t="shared" si="251"/>
        <v>988.80627732493508</v>
      </c>
      <c r="W804">
        <f t="shared" si="252"/>
        <v>1081.7399638779798</v>
      </c>
      <c r="X804">
        <f t="shared" si="253"/>
        <v>0.36935862460461283</v>
      </c>
      <c r="Y804">
        <f t="shared" si="254"/>
        <v>989.73668858730241</v>
      </c>
      <c r="Z804">
        <f t="shared" si="255"/>
        <v>0.50406506179952948</v>
      </c>
      <c r="AA804">
        <f>IF($D804="",0,IF($F804&lt;2,0,IF($E804="Win",('Guide &amp; Settings'!$C$42/(($F804-1)*COUNTIFS($A$4:$A$1510,$A804,$E$4:$E$1510,"Win")))*SUMIFS($Z$4:$Z$1510,$A$4:$A$1510,$A804,$E$4:$E$1510,"Loss"),-('Guide &amp; Settings'!$C$42/($F804-1))*$Z804)))</f>
        <v>-16.130081977584943</v>
      </c>
      <c r="AB804" s="126">
        <f t="shared" si="256"/>
        <v>976.43136310159946</v>
      </c>
      <c r="AC804" s="126">
        <f>IF($D804="","",IF($AD804=0,0,IF(COUNTIFS($D$4:$D804,$D804,$B$4:$B804,$B804)&gt;1,0,IF($B804&lt;'Guide &amp; Settings'!$C$50,0,IF(($B804-$AD804)/7-'Guide &amp; Settings'!$C$48&gt;=0,(INT(($B804-$AD804)/7-'Guide &amp; Settings'!$C$48)+1)*'Guide &amp; Settings'!$C$49,0)))))</f>
        <v>0</v>
      </c>
      <c r="AD804" s="142">
        <f t="shared" si="257"/>
        <v>46320</v>
      </c>
      <c r="AE804">
        <f t="shared" si="258"/>
        <v>1</v>
      </c>
      <c r="AF804">
        <f t="shared" si="259"/>
        <v>0</v>
      </c>
    </row>
    <row r="805" spans="1:32" x14ac:dyDescent="0.2">
      <c r="A805" s="117">
        <v>343</v>
      </c>
      <c r="B805" s="118">
        <v>46323</v>
      </c>
      <c r="C805" s="119" t="s">
        <v>34</v>
      </c>
      <c r="D805" s="119" t="s">
        <v>21</v>
      </c>
      <c r="E805" s="117" t="s">
        <v>370</v>
      </c>
      <c r="F805" s="120">
        <f t="shared" si="240"/>
        <v>2</v>
      </c>
      <c r="G805" s="121" t="str">
        <f t="shared" si="241"/>
        <v>Simon</v>
      </c>
      <c r="H805" s="122">
        <f>IF($D805="",0,IFERROR(LOOKUP(2,1/(($D$3:D804=$D805)*($A$3:A804&lt;$A805)),$N$3:N804),'Guide &amp; Settings'!$C$41))</f>
        <v>1210.5445492849278</v>
      </c>
      <c r="I805" s="123">
        <f t="shared" si="242"/>
        <v>0.45454545454545447</v>
      </c>
      <c r="J805" s="124">
        <f>IF($D805="",0,IF($F805&lt;2,0,IF($E805="Win",('Guide &amp; Settings'!$C$42/(($F805-1)*COUNTIFS($A$4:$A$1510,$A805,$E$4:$E$1510,"Win")))*SUMIFS($X$4:$X$1510,$A$4:$A$1510,$A805,$E$4:$E$1510,"Loss"),-('Guide &amp; Settings'!$C$42/($F805-1))*$X805)))</f>
        <v>11.819475987347611</v>
      </c>
      <c r="K805" s="124">
        <f>IF($D805="",0,'Guide &amp; Settings'!$C$43*(IF($E805="Win",1,0)-$I805))</f>
        <v>6.5454545454545467</v>
      </c>
      <c r="L805" s="125">
        <f>IF($D805="",0,'Guide &amp; Settings'!$C$44*IF($F805&gt;=3,$F805,0))</f>
        <v>0</v>
      </c>
      <c r="M805" s="124">
        <f t="shared" si="243"/>
        <v>18.364930532802155</v>
      </c>
      <c r="N805" s="122">
        <f t="shared" si="244"/>
        <v>1228.90947981773</v>
      </c>
      <c r="O805" s="121" t="str">
        <f t="shared" si="245"/>
        <v>OK</v>
      </c>
      <c r="P805">
        <f t="shared" si="246"/>
        <v>1210.5445492849278</v>
      </c>
      <c r="Q805">
        <f t="shared" si="247"/>
        <v>0.5</v>
      </c>
      <c r="R805">
        <f t="shared" si="248"/>
        <v>0.33333333333333331</v>
      </c>
      <c r="S805">
        <f t="shared" si="249"/>
        <v>0.73333333333333339</v>
      </c>
      <c r="T805" s="89">
        <f t="shared" si="250"/>
        <v>7</v>
      </c>
      <c r="U805" s="126">
        <f>IF($D805="",0,IFERROR(LOOKUP(2,1/(($D$3:D804=$D805)*($C$3:C804=$C805)*($A$3:A804&lt;$A805)),$AB$3:AB804),1000))</f>
        <v>989.73668858730241</v>
      </c>
      <c r="V805" s="126">
        <f t="shared" si="251"/>
        <v>1081.7399638779798</v>
      </c>
      <c r="W805">
        <f t="shared" si="252"/>
        <v>1081.7399638779798</v>
      </c>
      <c r="X805">
        <f t="shared" si="253"/>
        <v>0.5</v>
      </c>
      <c r="Y805">
        <f t="shared" si="254"/>
        <v>989.73668858730241</v>
      </c>
      <c r="Z805">
        <f t="shared" si="255"/>
        <v>0.5</v>
      </c>
      <c r="AA805">
        <f>IF($D805="",0,IF($F805&lt;2,0,IF($E805="Win",('Guide &amp; Settings'!$C$42/(($F805-1)*COUNTIFS($A$4:$A$1510,$A805,$E$4:$E$1510,"Win")))*SUMIFS($Z$4:$Z$1510,$A$4:$A$1510,$A805,$E$4:$E$1510,"Loss"),-('Guide &amp; Settings'!$C$42/($F805-1))*$Z805)))</f>
        <v>16.130081977584943</v>
      </c>
      <c r="AB805" s="126">
        <f t="shared" si="256"/>
        <v>1005.8667705648874</v>
      </c>
      <c r="AC805" s="126">
        <f>IF($D805="","",IF($AD805=0,0,IF(COUNTIFS($D$4:$D805,$D805,$B$4:$B805,$B805)&gt;1,0,IF($B805&lt;'Guide &amp; Settings'!$C$50,0,IF(($B805-$AD805)/7-'Guide &amp; Settings'!$C$48&gt;=0,(INT(($B805-$AD805)/7-'Guide &amp; Settings'!$C$48)+1)*'Guide &amp; Settings'!$C$49,0)))))</f>
        <v>0</v>
      </c>
      <c r="AD805" s="142">
        <f t="shared" si="257"/>
        <v>46319</v>
      </c>
      <c r="AE805">
        <f t="shared" si="258"/>
        <v>1</v>
      </c>
      <c r="AF805">
        <f t="shared" si="259"/>
        <v>0</v>
      </c>
    </row>
    <row r="806" spans="1:32" x14ac:dyDescent="0.2">
      <c r="A806" s="117">
        <v>344</v>
      </c>
      <c r="B806" s="118">
        <v>46323</v>
      </c>
      <c r="C806" s="119" t="s">
        <v>34</v>
      </c>
      <c r="D806" s="119" t="s">
        <v>25</v>
      </c>
      <c r="E806" s="117" t="s">
        <v>370</v>
      </c>
      <c r="F806" s="120">
        <f t="shared" si="240"/>
        <v>2</v>
      </c>
      <c r="G806" s="121" t="str">
        <f t="shared" si="241"/>
        <v>Oscar</v>
      </c>
      <c r="H806" s="122">
        <f>IF($D806="",0,IFERROR(LOOKUP(2,1/(($D$3:D805=$D806)*($A$3:A805&lt;$A806)),$N$3:N805),'Guide &amp; Settings'!$C$41))</f>
        <v>964.43307838533394</v>
      </c>
      <c r="I806" s="123">
        <f t="shared" si="242"/>
        <v>0.47619047619047616</v>
      </c>
      <c r="J806" s="124">
        <f>IF($D806="",0,IF($F806&lt;2,0,IF($E806="Win",('Guide &amp; Settings'!$C$42/(($F806-1)*COUNTIFS($A$4:$A$1510,$A806,$E$4:$E$1510,"Win")))*SUMIFS($X$4:$X$1510,$A$4:$A$1510,$A806,$E$4:$E$1510,"Loss"),-('Guide &amp; Settings'!$C$42/($F806-1))*$X806)))</f>
        <v>21.296221082725111</v>
      </c>
      <c r="K806" s="124">
        <f>IF($D806="",0,'Guide &amp; Settings'!$C$43*(IF($E806="Win",1,0)-$I806))</f>
        <v>6.2857142857142865</v>
      </c>
      <c r="L806" s="125">
        <f>IF($D806="",0,'Guide &amp; Settings'!$C$44*IF($F806&gt;=3,$F806,0))</f>
        <v>0</v>
      </c>
      <c r="M806" s="124">
        <f t="shared" si="243"/>
        <v>27.581935368439396</v>
      </c>
      <c r="N806" s="122">
        <f t="shared" si="244"/>
        <v>992.01501375377336</v>
      </c>
      <c r="O806" s="121" t="str">
        <f t="shared" si="245"/>
        <v>OK</v>
      </c>
      <c r="P806">
        <f t="shared" si="246"/>
        <v>964.43307838533394</v>
      </c>
      <c r="Q806">
        <f t="shared" si="247"/>
        <v>0.5</v>
      </c>
      <c r="R806">
        <f t="shared" si="248"/>
        <v>0.36363636363636365</v>
      </c>
      <c r="S806">
        <f t="shared" si="249"/>
        <v>0.76363636363636367</v>
      </c>
      <c r="T806" s="89">
        <f t="shared" si="250"/>
        <v>9</v>
      </c>
      <c r="U806" s="126">
        <f>IF($D806="",0,IFERROR(LOOKUP(2,1/(($D$3:D805=$D806)*($C$3:C805=$C806)*($A$3:A805&lt;$A806)),$AB$3:AB805),1000))</f>
        <v>976.43136310159946</v>
      </c>
      <c r="V806" s="126">
        <f t="shared" si="251"/>
        <v>972.14626141721897</v>
      </c>
      <c r="W806">
        <f t="shared" si="252"/>
        <v>972.14626141721897</v>
      </c>
      <c r="X806">
        <f t="shared" si="253"/>
        <v>0.5</v>
      </c>
      <c r="Y806">
        <f t="shared" si="254"/>
        <v>976.43136310159946</v>
      </c>
      <c r="Z806">
        <f t="shared" si="255"/>
        <v>0.5</v>
      </c>
      <c r="AA806">
        <f>IF($D806="",0,IF($F806&lt;2,0,IF($E806="Win",('Guide &amp; Settings'!$C$42/(($F806-1)*COUNTIFS($A$4:$A$1510,$A806,$E$4:$E$1510,"Win")))*SUMIFS($Z$4:$Z$1510,$A$4:$A$1510,$A806,$E$4:$E$1510,"Loss"),-('Guide &amp; Settings'!$C$42/($F806-1))*$Z806)))</f>
        <v>17.352316601992644</v>
      </c>
      <c r="AB806" s="126">
        <f t="shared" si="256"/>
        <v>993.78367970359216</v>
      </c>
      <c r="AC806" s="126">
        <f>IF($D806="","",IF($AD806=0,0,IF(COUNTIFS($D$4:$D806,$D806,$B$4:$B806,$B806)&gt;1,0,IF($B806&lt;'Guide &amp; Settings'!$C$50,0,IF(($B806-$AD806)/7-'Guide &amp; Settings'!$C$48&gt;=0,(INT(($B806-$AD806)/7-'Guide &amp; Settings'!$C$48)+1)*'Guide &amp; Settings'!$C$49,0)))))</f>
        <v>0</v>
      </c>
      <c r="AD806" s="142">
        <f t="shared" si="257"/>
        <v>46320</v>
      </c>
      <c r="AE806">
        <f t="shared" si="258"/>
        <v>1</v>
      </c>
      <c r="AF806">
        <f t="shared" si="259"/>
        <v>0</v>
      </c>
    </row>
    <row r="807" spans="1:32" x14ac:dyDescent="0.2">
      <c r="A807" s="117">
        <v>344</v>
      </c>
      <c r="B807" s="118">
        <v>46323</v>
      </c>
      <c r="C807" s="119" t="s">
        <v>34</v>
      </c>
      <c r="D807" s="119" t="s">
        <v>21</v>
      </c>
      <c r="E807" s="117" t="s">
        <v>371</v>
      </c>
      <c r="F807" s="120">
        <f t="shared" si="240"/>
        <v>2</v>
      </c>
      <c r="G807" s="121" t="str">
        <f t="shared" si="241"/>
        <v>Oscar</v>
      </c>
      <c r="H807" s="122">
        <f>IF($D807="",0,IFERROR(LOOKUP(2,1/(($D$3:D806=$D807)*($A$3:A806&lt;$A807)),$N$3:N806),'Guide &amp; Settings'!$C$41))</f>
        <v>1228.90947981773</v>
      </c>
      <c r="I807" s="123">
        <f t="shared" si="242"/>
        <v>0.52380952380952384</v>
      </c>
      <c r="J807" s="124">
        <f>IF($D807="",0,IF($F807&lt;2,0,IF($E807="Win",('Guide &amp; Settings'!$C$42/(($F807-1)*COUNTIFS($A$4:$A$1510,$A807,$E$4:$E$1510,"Win")))*SUMIFS($X$4:$X$1510,$A$4:$A$1510,$A807,$E$4:$E$1510,"Loss"),-('Guide &amp; Settings'!$C$42/($F807-1))*$X807)))</f>
        <v>-21.296221082725111</v>
      </c>
      <c r="K807" s="124">
        <f>IF($D807="",0,'Guide &amp; Settings'!$C$43*(IF($E807="Win",1,0)-$I807))</f>
        <v>-6.2857142857142865</v>
      </c>
      <c r="L807" s="125">
        <f>IF($D807="",0,'Guide &amp; Settings'!$C$44*IF($F807&gt;=3,$F807,0))</f>
        <v>0</v>
      </c>
      <c r="M807" s="124">
        <f t="shared" si="243"/>
        <v>-27.581935368439396</v>
      </c>
      <c r="N807" s="122">
        <f t="shared" si="244"/>
        <v>1201.3275444492906</v>
      </c>
      <c r="O807" s="121" t="str">
        <f t="shared" si="245"/>
        <v>OK</v>
      </c>
      <c r="P807">
        <f t="shared" si="246"/>
        <v>964.43307838533394</v>
      </c>
      <c r="Q807">
        <f t="shared" si="247"/>
        <v>0.82089875885330355</v>
      </c>
      <c r="R807">
        <f t="shared" si="248"/>
        <v>0.4</v>
      </c>
      <c r="S807">
        <f t="shared" si="249"/>
        <v>0.76363636363636367</v>
      </c>
      <c r="T807" s="89">
        <f t="shared" si="250"/>
        <v>8</v>
      </c>
      <c r="U807" s="126">
        <f>IF($D807="",0,IFERROR(LOOKUP(2,1/(($D$3:D806=$D807)*($C$3:C806=$C807)*($A$3:A806&lt;$A807)),$AB$3:AB806),1000))</f>
        <v>1005.8667705648874</v>
      </c>
      <c r="V807" s="126">
        <f t="shared" si="251"/>
        <v>1091.6524279698269</v>
      </c>
      <c r="W807">
        <f t="shared" si="252"/>
        <v>972.14626141721897</v>
      </c>
      <c r="X807">
        <f t="shared" si="253"/>
        <v>0.66550690883515973</v>
      </c>
      <c r="Y807">
        <f t="shared" si="254"/>
        <v>976.43136310159946</v>
      </c>
      <c r="Z807">
        <f t="shared" si="255"/>
        <v>0.54225989381227013</v>
      </c>
      <c r="AA807">
        <f>IF($D807="",0,IF($F807&lt;2,0,IF($E807="Win",('Guide &amp; Settings'!$C$42/(($F807-1)*COUNTIFS($A$4:$A$1510,$A807,$E$4:$E$1510,"Win")))*SUMIFS($Z$4:$Z$1510,$A$4:$A$1510,$A807,$E$4:$E$1510,"Loss"),-('Guide &amp; Settings'!$C$42/($F807-1))*$Z807)))</f>
        <v>-17.352316601992644</v>
      </c>
      <c r="AB807" s="126">
        <f t="shared" si="256"/>
        <v>988.51445396289466</v>
      </c>
      <c r="AC807" s="126">
        <f>IF($D807="","",IF($AD807=0,0,IF(COUNTIFS($D$4:$D807,$D807,$B$4:$B807,$B807)&gt;1,0,IF($B807&lt;'Guide &amp; Settings'!$C$50,0,IF(($B807-$AD807)/7-'Guide &amp; Settings'!$C$48&gt;=0,(INT(($B807-$AD807)/7-'Guide &amp; Settings'!$C$48)+1)*'Guide &amp; Settings'!$C$49,0)))))</f>
        <v>0</v>
      </c>
      <c r="AD807" s="142">
        <f t="shared" si="257"/>
        <v>46319</v>
      </c>
      <c r="AE807">
        <f t="shared" si="258"/>
        <v>1</v>
      </c>
      <c r="AF807">
        <f t="shared" si="259"/>
        <v>0</v>
      </c>
    </row>
    <row r="808" spans="1:32" x14ac:dyDescent="0.2">
      <c r="A808" s="117">
        <v>345</v>
      </c>
      <c r="B808" s="118">
        <v>46323</v>
      </c>
      <c r="C808" s="119" t="s">
        <v>34</v>
      </c>
      <c r="D808" s="119" t="s">
        <v>21</v>
      </c>
      <c r="E808" s="117" t="s">
        <v>371</v>
      </c>
      <c r="F808" s="120">
        <f t="shared" si="240"/>
        <v>2</v>
      </c>
      <c r="G808" s="121" t="str">
        <f t="shared" si="241"/>
        <v>Oscar</v>
      </c>
      <c r="H808" s="122">
        <f>IF($D808="",0,IFERROR(LOOKUP(2,1/(($D$3:D807=$D808)*($A$3:A807&lt;$A808)),$N$3:N807),'Guide &amp; Settings'!$C$41))</f>
        <v>1201.3275444492906</v>
      </c>
      <c r="I808" s="123">
        <f t="shared" si="242"/>
        <v>0.46601941747572817</v>
      </c>
      <c r="J808" s="124">
        <f>IF($D808="",0,IF($F808&lt;2,0,IF($E808="Win",('Guide &amp; Settings'!$C$42/(($F808-1)*COUNTIFS($A$4:$A$1510,$A808,$E$4:$E$1510,"Win")))*SUMIFS($X$4:$X$1510,$A$4:$A$1510,$A808,$E$4:$E$1510,"Loss"),-('Guide &amp; Settings'!$C$42/($F808-1))*$X808)))</f>
        <v>-19.239260143787167</v>
      </c>
      <c r="K808" s="124">
        <f>IF($D808="",0,'Guide &amp; Settings'!$C$43*(IF($E808="Win",1,0)-$I808))</f>
        <v>-5.592233009708738</v>
      </c>
      <c r="L808" s="125">
        <f>IF($D808="",0,'Guide &amp; Settings'!$C$44*IF($F808&gt;=3,$F808,0))</f>
        <v>0</v>
      </c>
      <c r="M808" s="124">
        <f t="shared" si="243"/>
        <v>-24.831493153495906</v>
      </c>
      <c r="N808" s="122">
        <f t="shared" si="244"/>
        <v>1176.4960512957946</v>
      </c>
      <c r="O808" s="121" t="str">
        <f t="shared" si="245"/>
        <v>OK</v>
      </c>
      <c r="P808">
        <f t="shared" si="246"/>
        <v>992.01501375377336</v>
      </c>
      <c r="Q808">
        <f t="shared" si="247"/>
        <v>0.76939528048097183</v>
      </c>
      <c r="R808">
        <f t="shared" si="248"/>
        <v>0.36363636363636365</v>
      </c>
      <c r="S808">
        <f t="shared" si="249"/>
        <v>0.78030303030303028</v>
      </c>
      <c r="T808" s="89">
        <f t="shared" si="250"/>
        <v>9</v>
      </c>
      <c r="U808" s="126">
        <f>IF($D808="",0,IFERROR(LOOKUP(2,1/(($D$3:D807=$D808)*($C$3:C807=$C808)*($A$3:A807&lt;$A808)),$AB$3:AB807),1000))</f>
        <v>988.51445396289466</v>
      </c>
      <c r="V808" s="126">
        <f t="shared" si="251"/>
        <v>1064.5191291366075</v>
      </c>
      <c r="W808">
        <f t="shared" si="252"/>
        <v>993.19412438698578</v>
      </c>
      <c r="X808">
        <f t="shared" si="253"/>
        <v>0.60122687949334896</v>
      </c>
      <c r="Y808">
        <f t="shared" si="254"/>
        <v>993.78367970359216</v>
      </c>
      <c r="Z808">
        <f t="shared" si="255"/>
        <v>0.49241755593344588</v>
      </c>
      <c r="AA808">
        <f>IF($D808="",0,IF($F808&lt;2,0,IF($E808="Win",('Guide &amp; Settings'!$C$42/(($F808-1)*COUNTIFS($A$4:$A$1510,$A808,$E$4:$E$1510,"Win")))*SUMIFS($Z$4:$Z$1510,$A$4:$A$1510,$A808,$E$4:$E$1510,"Loss"),-('Guide &amp; Settings'!$C$42/($F808-1))*$Z808)))</f>
        <v>-15.757361789870268</v>
      </c>
      <c r="AB808" s="126">
        <f t="shared" si="256"/>
        <v>972.75709217302438</v>
      </c>
      <c r="AC808" s="126">
        <f>IF($D808="","",IF($AD808=0,0,IF(COUNTIFS($D$4:$D808,$D808,$B$4:$B808,$B808)&gt;1,0,IF($B808&lt;'Guide &amp; Settings'!$C$50,0,IF(($B808-$AD808)/7-'Guide &amp; Settings'!$C$48&gt;=0,(INT(($B808-$AD808)/7-'Guide &amp; Settings'!$C$48)+1)*'Guide &amp; Settings'!$C$49,0)))))</f>
        <v>0</v>
      </c>
      <c r="AD808" s="142">
        <f t="shared" si="257"/>
        <v>46319</v>
      </c>
      <c r="AE808">
        <f t="shared" si="258"/>
        <v>1</v>
      </c>
      <c r="AF808">
        <f t="shared" si="259"/>
        <v>0</v>
      </c>
    </row>
    <row r="809" spans="1:32" x14ac:dyDescent="0.2">
      <c r="A809" s="117">
        <v>345</v>
      </c>
      <c r="B809" s="118">
        <v>46323</v>
      </c>
      <c r="C809" s="119" t="s">
        <v>34</v>
      </c>
      <c r="D809" s="119" t="s">
        <v>25</v>
      </c>
      <c r="E809" s="117" t="s">
        <v>370</v>
      </c>
      <c r="F809" s="120">
        <f t="shared" si="240"/>
        <v>2</v>
      </c>
      <c r="G809" s="121" t="str">
        <f t="shared" si="241"/>
        <v>Oscar</v>
      </c>
      <c r="H809" s="122">
        <f>IF($D809="",0,IFERROR(LOOKUP(2,1/(($D$3:D808=$D809)*($A$3:A808&lt;$A809)),$N$3:N808),'Guide &amp; Settings'!$C$41))</f>
        <v>992.01501375377336</v>
      </c>
      <c r="I809" s="123">
        <f t="shared" si="242"/>
        <v>0.53398058252427194</v>
      </c>
      <c r="J809" s="124">
        <f>IF($D809="",0,IF($F809&lt;2,0,IF($E809="Win",('Guide &amp; Settings'!$C$42/(($F809-1)*COUNTIFS($A$4:$A$1510,$A809,$E$4:$E$1510,"Win")))*SUMIFS($X$4:$X$1510,$A$4:$A$1510,$A809,$E$4:$E$1510,"Loss"),-('Guide &amp; Settings'!$C$42/($F809-1))*$X809)))</f>
        <v>19.239260143787167</v>
      </c>
      <c r="K809" s="124">
        <f>IF($D809="",0,'Guide &amp; Settings'!$C$43*(IF($E809="Win",1,0)-$I809))</f>
        <v>5.5922330097087372</v>
      </c>
      <c r="L809" s="125">
        <f>IF($D809="",0,'Guide &amp; Settings'!$C$44*IF($F809&gt;=3,$F809,0))</f>
        <v>0</v>
      </c>
      <c r="M809" s="124">
        <f t="shared" si="243"/>
        <v>24.831493153495906</v>
      </c>
      <c r="N809" s="122">
        <f t="shared" si="244"/>
        <v>1016.8465069072693</v>
      </c>
      <c r="O809" s="121" t="str">
        <f t="shared" si="245"/>
        <v>OK</v>
      </c>
      <c r="P809">
        <f t="shared" si="246"/>
        <v>992.01501375377336</v>
      </c>
      <c r="Q809">
        <f t="shared" si="247"/>
        <v>0.5</v>
      </c>
      <c r="R809">
        <f t="shared" si="248"/>
        <v>0.41666666666666669</v>
      </c>
      <c r="S809">
        <f t="shared" si="249"/>
        <v>0.78030303030303028</v>
      </c>
      <c r="T809" s="89">
        <f t="shared" si="250"/>
        <v>10</v>
      </c>
      <c r="U809" s="126">
        <f>IF($D809="",0,IFERROR(LOOKUP(2,1/(($D$3:D808=$D809)*($C$3:C808=$C809)*($A$3:A808&lt;$A809)),$AB$3:AB808),1000))</f>
        <v>993.78367970359216</v>
      </c>
      <c r="V809" s="126">
        <f t="shared" si="251"/>
        <v>993.19412438698578</v>
      </c>
      <c r="W809">
        <f t="shared" si="252"/>
        <v>993.19412438698578</v>
      </c>
      <c r="X809">
        <f t="shared" si="253"/>
        <v>0.5</v>
      </c>
      <c r="Y809">
        <f t="shared" si="254"/>
        <v>993.78367970359216</v>
      </c>
      <c r="Z809">
        <f t="shared" si="255"/>
        <v>0.5</v>
      </c>
      <c r="AA809">
        <f>IF($D809="",0,IF($F809&lt;2,0,IF($E809="Win",('Guide &amp; Settings'!$C$42/(($F809-1)*COUNTIFS($A$4:$A$1510,$A809,$E$4:$E$1510,"Win")))*SUMIFS($Z$4:$Z$1510,$A$4:$A$1510,$A809,$E$4:$E$1510,"Loss"),-('Guide &amp; Settings'!$C$42/($F809-1))*$Z809)))</f>
        <v>15.757361789870268</v>
      </c>
      <c r="AB809" s="126">
        <f t="shared" si="256"/>
        <v>1009.5410414934624</v>
      </c>
      <c r="AC809" s="126">
        <f>IF($D809="","",IF($AD809=0,0,IF(COUNTIFS($D$4:$D809,$D809,$B$4:$B809,$B809)&gt;1,0,IF($B809&lt;'Guide &amp; Settings'!$C$50,0,IF(($B809-$AD809)/7-'Guide &amp; Settings'!$C$48&gt;=0,(INT(($B809-$AD809)/7-'Guide &amp; Settings'!$C$48)+1)*'Guide &amp; Settings'!$C$49,0)))))</f>
        <v>0</v>
      </c>
      <c r="AD809" s="142">
        <f t="shared" si="257"/>
        <v>46320</v>
      </c>
      <c r="AE809">
        <f t="shared" si="258"/>
        <v>1</v>
      </c>
      <c r="AF809">
        <f t="shared" si="259"/>
        <v>0</v>
      </c>
    </row>
    <row r="810" spans="1:32" x14ac:dyDescent="0.2">
      <c r="A810" s="117">
        <v>346</v>
      </c>
      <c r="B810" s="118">
        <v>46325</v>
      </c>
      <c r="C810" s="119" t="s">
        <v>50</v>
      </c>
      <c r="D810" s="119" t="s">
        <v>22</v>
      </c>
      <c r="E810" s="117" t="s">
        <v>370</v>
      </c>
      <c r="F810" s="120">
        <f t="shared" si="240"/>
        <v>2</v>
      </c>
      <c r="G810" s="121" t="str">
        <f t="shared" si="241"/>
        <v>Daniel (Ferret)</v>
      </c>
      <c r="H810" s="122">
        <f>IF($D810="",0,IFERROR(LOOKUP(2,1/(($D$3:D809=$D810)*($A$3:A809&lt;$A810)),$N$3:N809),'Guide &amp; Settings'!$C$41))</f>
        <v>1102.4155963254432</v>
      </c>
      <c r="I810" s="123">
        <f t="shared" si="242"/>
        <v>0.55746140651801024</v>
      </c>
      <c r="J810" s="124">
        <f>IF($D810="",0,IF($F810&lt;2,0,IF($E810="Win",('Guide &amp; Settings'!$C$42/(($F810-1)*COUNTIFS($A$4:$A$1510,$A810,$E$4:$E$1510,"Win")))*SUMIFS($X$4:$X$1510,$A$4:$A$1510,$A810,$E$4:$E$1510,"Loss"),-('Guide &amp; Settings'!$C$42/($F810-1))*$X810)))</f>
        <v>11.831111630057775</v>
      </c>
      <c r="K810" s="124">
        <f>IF($D810="",0,'Guide &amp; Settings'!$C$43*(IF($E810="Win",1,0)-$I810))</f>
        <v>5.3104631217838776</v>
      </c>
      <c r="L810" s="125">
        <f>IF($D810="",0,'Guide &amp; Settings'!$C$44*IF($F810&gt;=3,$F810,0))</f>
        <v>0</v>
      </c>
      <c r="M810" s="124">
        <f t="shared" si="243"/>
        <v>17.141574751841652</v>
      </c>
      <c r="N810" s="122">
        <f t="shared" si="244"/>
        <v>1119.5571710772849</v>
      </c>
      <c r="O810" s="121" t="str">
        <f t="shared" si="245"/>
        <v>OK</v>
      </c>
      <c r="P810">
        <f t="shared" si="246"/>
        <v>1102.4155963254432</v>
      </c>
      <c r="Q810">
        <f t="shared" si="247"/>
        <v>0.5</v>
      </c>
      <c r="R810">
        <f t="shared" si="248"/>
        <v>0.60465116279069764</v>
      </c>
      <c r="S810">
        <f t="shared" si="249"/>
        <v>1.0846511627906976</v>
      </c>
      <c r="T810" s="89">
        <f t="shared" si="250"/>
        <v>41</v>
      </c>
      <c r="U810" s="126">
        <f>IF($D810="",0,IFERROR(LOOKUP(2,1/(($D$3:D809=$D810)*($C$3:C809=$C810)*($A$3:A809&lt;$A810)),$AB$3:AB809),1000))</f>
        <v>1120.7187948436672</v>
      </c>
      <c r="V810" s="126">
        <f t="shared" si="251"/>
        <v>1118.7293167438602</v>
      </c>
      <c r="W810">
        <f t="shared" si="252"/>
        <v>1118.7293167438602</v>
      </c>
      <c r="X810">
        <f t="shared" si="253"/>
        <v>0.5</v>
      </c>
      <c r="Y810">
        <f t="shared" si="254"/>
        <v>1120.7187948436672</v>
      </c>
      <c r="Z810">
        <f t="shared" si="255"/>
        <v>0.5</v>
      </c>
      <c r="AA810">
        <f>IF($D810="",0,IF($F810&lt;2,0,IF($E810="Win",('Guide &amp; Settings'!$C$42/(($F810-1)*COUNTIFS($A$4:$A$1510,$A810,$E$4:$E$1510,"Win")))*SUMIFS($Z$4:$Z$1510,$A$4:$A$1510,$A810,$E$4:$E$1510,"Loss"),-('Guide &amp; Settings'!$C$42/($F810-1))*$Z810)))</f>
        <v>10.889696200113821</v>
      </c>
      <c r="AB810" s="126">
        <f t="shared" si="256"/>
        <v>1131.608491043781</v>
      </c>
      <c r="AC810" s="126">
        <f>IF($D810="","",IF($AD810=0,0,IF(COUNTIFS($D$4:$D810,$D810,$B$4:$B810,$B810)&gt;1,0,IF($B810&lt;'Guide &amp; Settings'!$C$50,0,IF(($B810-$AD810)/7-'Guide &amp; Settings'!$C$48&gt;=0,(INT(($B810-$AD810)/7-'Guide &amp; Settings'!$C$48)+1)*'Guide &amp; Settings'!$C$49,0)))))</f>
        <v>0</v>
      </c>
      <c r="AD810" s="142">
        <f t="shared" si="257"/>
        <v>46322</v>
      </c>
      <c r="AE810">
        <f t="shared" si="258"/>
        <v>1</v>
      </c>
      <c r="AF810">
        <f t="shared" si="259"/>
        <v>0</v>
      </c>
    </row>
    <row r="811" spans="1:32" x14ac:dyDescent="0.2">
      <c r="A811" s="117">
        <v>346</v>
      </c>
      <c r="B811" s="118">
        <v>46325</v>
      </c>
      <c r="C811" s="119" t="s">
        <v>50</v>
      </c>
      <c r="D811" s="119" t="s">
        <v>20</v>
      </c>
      <c r="E811" s="117" t="s">
        <v>371</v>
      </c>
      <c r="F811" s="120">
        <f t="shared" si="240"/>
        <v>2</v>
      </c>
      <c r="G811" s="121" t="str">
        <f t="shared" si="241"/>
        <v>Daniel (Ferret)</v>
      </c>
      <c r="H811" s="122">
        <f>IF($D811="",0,IFERROR(LOOKUP(2,1/(($D$3:D810=$D811)*($A$3:A810&lt;$A811)),$N$3:N810),'Guide &amp; Settings'!$C$41))</f>
        <v>1221.3254299222551</v>
      </c>
      <c r="I811" s="123">
        <f t="shared" si="242"/>
        <v>0.44253859348198971</v>
      </c>
      <c r="J811" s="124">
        <f>IF($D811="",0,IF($F811&lt;2,0,IF($E811="Win",('Guide &amp; Settings'!$C$42/(($F811-1)*COUNTIFS($A$4:$A$1510,$A811,$E$4:$E$1510,"Win")))*SUMIFS($X$4:$X$1510,$A$4:$A$1510,$A811,$E$4:$E$1510,"Loss"),-('Guide &amp; Settings'!$C$42/($F811-1))*$X811)))</f>
        <v>-11.831111630057775</v>
      </c>
      <c r="K811" s="124">
        <f>IF($D811="",0,'Guide &amp; Settings'!$C$43*(IF($E811="Win",1,0)-$I811))</f>
        <v>-5.3104631217838767</v>
      </c>
      <c r="L811" s="125">
        <f>IF($D811="",0,'Guide &amp; Settings'!$C$44*IF($F811&gt;=3,$F811,0))</f>
        <v>0</v>
      </c>
      <c r="M811" s="124">
        <f t="shared" si="243"/>
        <v>-17.141574751841652</v>
      </c>
      <c r="N811" s="122">
        <f t="shared" si="244"/>
        <v>1204.1838551704134</v>
      </c>
      <c r="O811" s="121" t="str">
        <f t="shared" si="245"/>
        <v>OK</v>
      </c>
      <c r="P811">
        <f t="shared" si="246"/>
        <v>1102.4155963254432</v>
      </c>
      <c r="Q811">
        <f t="shared" si="247"/>
        <v>0.66474231531146322</v>
      </c>
      <c r="R811">
        <f t="shared" si="248"/>
        <v>0.48</v>
      </c>
      <c r="S811">
        <f t="shared" si="249"/>
        <v>1.0846511627906976</v>
      </c>
      <c r="T811" s="89">
        <f t="shared" si="250"/>
        <v>48</v>
      </c>
      <c r="U811" s="126">
        <f>IF($D811="",0,IFERROR(LOOKUP(2,1/(($D$3:D810=$D811)*($C$3:C810=$C811)*($A$3:A810&lt;$A811)),$AB$3:AB810),1000))</f>
        <v>1005.7273071221039</v>
      </c>
      <c r="V811" s="126">
        <f t="shared" si="251"/>
        <v>1026.066752669288</v>
      </c>
      <c r="W811">
        <f t="shared" si="252"/>
        <v>1118.7293167438602</v>
      </c>
      <c r="X811">
        <f t="shared" si="253"/>
        <v>0.36972223843930546</v>
      </c>
      <c r="Y811">
        <f t="shared" si="254"/>
        <v>1120.7187948436672</v>
      </c>
      <c r="Z811">
        <f t="shared" si="255"/>
        <v>0.34030300625355692</v>
      </c>
      <c r="AA811">
        <f>IF($D811="",0,IF($F811&lt;2,0,IF($E811="Win",('Guide &amp; Settings'!$C$42/(($F811-1)*COUNTIFS($A$4:$A$1510,$A811,$E$4:$E$1510,"Win")))*SUMIFS($Z$4:$Z$1510,$A$4:$A$1510,$A811,$E$4:$E$1510,"Loss"),-('Guide &amp; Settings'!$C$42/($F811-1))*$Z811)))</f>
        <v>-10.889696200113821</v>
      </c>
      <c r="AB811" s="126">
        <f t="shared" si="256"/>
        <v>994.83761092199006</v>
      </c>
      <c r="AC811">
        <f>IF($D811="","",IF($AD811=0,0,IF(COUNTIFS($D$4:$D811,$D811,$B$4:$B811,$B811)&gt;1,0,IF($B811&lt;'Guide &amp; Settings'!$C$50,0,IF(($B811-$AD811)/7-'Guide &amp; Settings'!$C$48&gt;=0,(INT(($B811-$AD811)/7-'Guide &amp; Settings'!$C$48)+1)*'Guide &amp; Settings'!$C$49,0)))))</f>
        <v>0</v>
      </c>
      <c r="AD811" s="142">
        <f t="shared" si="257"/>
        <v>46323</v>
      </c>
      <c r="AE811">
        <f t="shared" si="258"/>
        <v>1</v>
      </c>
      <c r="AF811">
        <f t="shared" si="259"/>
        <v>0</v>
      </c>
    </row>
    <row r="812" spans="1:32" x14ac:dyDescent="0.2">
      <c r="A812" s="117">
        <v>347</v>
      </c>
      <c r="B812" s="118">
        <v>46325</v>
      </c>
      <c r="C812" s="119" t="s">
        <v>50</v>
      </c>
      <c r="D812" s="119" t="s">
        <v>22</v>
      </c>
      <c r="E812" s="117" t="s">
        <v>370</v>
      </c>
      <c r="F812" s="120">
        <f t="shared" si="240"/>
        <v>2</v>
      </c>
      <c r="G812" s="121" t="str">
        <f t="shared" si="241"/>
        <v>Daniel (Ferret)</v>
      </c>
      <c r="H812" s="122">
        <f>IF($D812="",0,IFERROR(LOOKUP(2,1/(($D$3:D811=$D812)*($A$3:A811&lt;$A812)),$N$3:N811),'Guide &amp; Settings'!$C$41))</f>
        <v>1119.5571710772849</v>
      </c>
      <c r="I812" s="123">
        <f t="shared" si="242"/>
        <v>0.56596794081381008</v>
      </c>
      <c r="J812" s="124">
        <f>IF($D812="",0,IF($F812&lt;2,0,IF($E812="Win",('Guide &amp; Settings'!$C$42/(($F812-1)*COUNTIFS($A$4:$A$1510,$A812,$E$4:$E$1510,"Win")))*SUMIFS($X$4:$X$1510,$A$4:$A$1510,$A812,$E$4:$E$1510,"Loss"),-('Guide &amp; Settings'!$C$42/($F812-1))*$X812)))</f>
        <v>10.843699002143381</v>
      </c>
      <c r="K812" s="124">
        <f>IF($D812="",0,'Guide &amp; Settings'!$C$43*(IF($E812="Win",1,0)-$I812))</f>
        <v>5.2083847102342791</v>
      </c>
      <c r="L812" s="125">
        <f>IF($D812="",0,'Guide &amp; Settings'!$C$44*IF($F812&gt;=3,$F812,0))</f>
        <v>0</v>
      </c>
      <c r="M812" s="124">
        <f t="shared" si="243"/>
        <v>16.052083712377659</v>
      </c>
      <c r="N812" s="122">
        <f t="shared" si="244"/>
        <v>1135.6092547896626</v>
      </c>
      <c r="O812" s="121" t="str">
        <f t="shared" si="245"/>
        <v>OK</v>
      </c>
      <c r="P812">
        <f t="shared" si="246"/>
        <v>1119.5571710772849</v>
      </c>
      <c r="Q812">
        <f t="shared" si="247"/>
        <v>0.5</v>
      </c>
      <c r="R812">
        <f t="shared" si="248"/>
        <v>0.61363636363636365</v>
      </c>
      <c r="S812">
        <f t="shared" si="249"/>
        <v>1.0842245989304813</v>
      </c>
      <c r="T812" s="89">
        <f t="shared" si="250"/>
        <v>42</v>
      </c>
      <c r="U812" s="126">
        <f>IF($D812="",0,IFERROR(LOOKUP(2,1/(($D$3:D811=$D812)*($C$3:C811=$C812)*($A$3:A811&lt;$A812)),$AB$3:AB811),1000))</f>
        <v>1131.608491043781</v>
      </c>
      <c r="V812" s="126">
        <f t="shared" si="251"/>
        <v>1130.3264357281962</v>
      </c>
      <c r="W812">
        <f t="shared" si="252"/>
        <v>1130.3264357281962</v>
      </c>
      <c r="X812">
        <f t="shared" si="253"/>
        <v>0.5</v>
      </c>
      <c r="Y812">
        <f t="shared" si="254"/>
        <v>1131.608491043781</v>
      </c>
      <c r="Z812">
        <f t="shared" si="255"/>
        <v>0.5</v>
      </c>
      <c r="AA812">
        <f>IF($D812="",0,IF($F812&lt;2,0,IF($E812="Win",('Guide &amp; Settings'!$C$42/(($F812-1)*COUNTIFS($A$4:$A$1510,$A812,$E$4:$E$1510,"Win")))*SUMIFS($Z$4:$Z$1510,$A$4:$A$1510,$A812,$E$4:$E$1510,"Loss"),-('Guide &amp; Settings'!$C$42/($F812-1))*$Z812)))</f>
        <v>10.007845268999851</v>
      </c>
      <c r="AB812" s="126">
        <f t="shared" si="256"/>
        <v>1141.6163363127807</v>
      </c>
      <c r="AC812">
        <f>IF($D812="","",IF($AD812=0,0,IF(COUNTIFS($D$4:$D812,$D812,$B$4:$B812,$B812)&gt;1,0,IF($B812&lt;'Guide &amp; Settings'!$C$50,0,IF(($B812-$AD812)/7-'Guide &amp; Settings'!$C$48&gt;=0,(INT(($B812-$AD812)/7-'Guide &amp; Settings'!$C$48)+1)*'Guide &amp; Settings'!$C$49,0)))))</f>
        <v>0</v>
      </c>
      <c r="AD812" s="142">
        <f t="shared" si="257"/>
        <v>46322</v>
      </c>
      <c r="AE812">
        <f t="shared" si="258"/>
        <v>1</v>
      </c>
      <c r="AF812">
        <f t="shared" si="259"/>
        <v>0</v>
      </c>
    </row>
    <row r="813" spans="1:32" x14ac:dyDescent="0.2">
      <c r="A813" s="117">
        <v>347</v>
      </c>
      <c r="B813" s="118">
        <v>46325</v>
      </c>
      <c r="C813" s="119" t="s">
        <v>50</v>
      </c>
      <c r="D813" s="119" t="s">
        <v>20</v>
      </c>
      <c r="E813" s="117" t="s">
        <v>371</v>
      </c>
      <c r="F813" s="120">
        <f t="shared" si="240"/>
        <v>2</v>
      </c>
      <c r="G813" s="121" t="str">
        <f t="shared" si="241"/>
        <v>Daniel (Ferret)</v>
      </c>
      <c r="H813" s="122">
        <f>IF($D813="",0,IFERROR(LOOKUP(2,1/(($D$3:D812=$D813)*($A$3:A812&lt;$A813)),$N$3:N812),'Guide &amp; Settings'!$C$41))</f>
        <v>1204.1838551704134</v>
      </c>
      <c r="I813" s="123">
        <f t="shared" si="242"/>
        <v>0.43403205918618987</v>
      </c>
      <c r="J813" s="124">
        <f>IF($D813="",0,IF($F813&lt;2,0,IF($E813="Win",('Guide &amp; Settings'!$C$42/(($F813-1)*COUNTIFS($A$4:$A$1510,$A813,$E$4:$E$1510,"Win")))*SUMIFS($X$4:$X$1510,$A$4:$A$1510,$A813,$E$4:$E$1510,"Loss"),-('Guide &amp; Settings'!$C$42/($F813-1))*$X813)))</f>
        <v>-10.843699002143381</v>
      </c>
      <c r="K813" s="124">
        <f>IF($D813="",0,'Guide &amp; Settings'!$C$43*(IF($E813="Win",1,0)-$I813))</f>
        <v>-5.2083847102342782</v>
      </c>
      <c r="L813" s="125">
        <f>IF($D813="",0,'Guide &amp; Settings'!$C$44*IF($F813&gt;=3,$F813,0))</f>
        <v>0</v>
      </c>
      <c r="M813" s="124">
        <f t="shared" si="243"/>
        <v>-16.052083712377659</v>
      </c>
      <c r="N813" s="122">
        <f t="shared" si="244"/>
        <v>1188.1317714580357</v>
      </c>
      <c r="O813" s="121" t="str">
        <f t="shared" si="245"/>
        <v>OK</v>
      </c>
      <c r="P813">
        <f t="shared" si="246"/>
        <v>1119.5571710772849</v>
      </c>
      <c r="Q813">
        <f t="shared" si="247"/>
        <v>0.61943489898440773</v>
      </c>
      <c r="R813">
        <f t="shared" si="248"/>
        <v>0.47058823529411764</v>
      </c>
      <c r="S813">
        <f t="shared" si="249"/>
        <v>1.0842245989304813</v>
      </c>
      <c r="T813" s="89">
        <f t="shared" si="250"/>
        <v>49</v>
      </c>
      <c r="U813" s="126">
        <f>IF($D813="",0,IFERROR(LOOKUP(2,1/(($D$3:D812=$D813)*($C$3:C812=$C813)*($A$3:A812&lt;$A813)),$AB$3:AB812),1000))</f>
        <v>994.83761092199006</v>
      </c>
      <c r="V813" s="126">
        <f t="shared" si="251"/>
        <v>1014.2215224264737</v>
      </c>
      <c r="W813">
        <f t="shared" si="252"/>
        <v>1130.3264357281962</v>
      </c>
      <c r="X813">
        <f t="shared" si="253"/>
        <v>0.33886559381698067</v>
      </c>
      <c r="Y813">
        <f t="shared" si="254"/>
        <v>1131.608491043781</v>
      </c>
      <c r="Z813">
        <f t="shared" si="255"/>
        <v>0.31274516465624536</v>
      </c>
      <c r="AA813">
        <f>IF($D813="",0,IF($F813&lt;2,0,IF($E813="Win",('Guide &amp; Settings'!$C$42/(($F813-1)*COUNTIFS($A$4:$A$1510,$A813,$E$4:$E$1510,"Win")))*SUMIFS($Z$4:$Z$1510,$A$4:$A$1510,$A813,$E$4:$E$1510,"Loss"),-('Guide &amp; Settings'!$C$42/($F813-1))*$Z813)))</f>
        <v>-10.007845268999851</v>
      </c>
      <c r="AB813" s="126">
        <f t="shared" si="256"/>
        <v>984.8297656529902</v>
      </c>
      <c r="AC813">
        <f>IF($D813="","",IF($AD813=0,0,IF(COUNTIFS($D$4:$D813,$D813,$B$4:$B813,$B813)&gt;1,0,IF($B813&lt;'Guide &amp; Settings'!$C$50,0,IF(($B813-$AD813)/7-'Guide &amp; Settings'!$C$48&gt;=0,(INT(($B813-$AD813)/7-'Guide &amp; Settings'!$C$48)+1)*'Guide &amp; Settings'!$C$49,0)))))</f>
        <v>0</v>
      </c>
      <c r="AD813" s="142">
        <f t="shared" si="257"/>
        <v>46323</v>
      </c>
      <c r="AE813">
        <f t="shared" si="258"/>
        <v>1</v>
      </c>
      <c r="AF813">
        <f t="shared" si="259"/>
        <v>0</v>
      </c>
    </row>
    <row r="814" spans="1:32" x14ac:dyDescent="0.2">
      <c r="A814" s="117">
        <v>348</v>
      </c>
      <c r="B814" s="118">
        <v>46325</v>
      </c>
      <c r="C814" s="119" t="s">
        <v>50</v>
      </c>
      <c r="D814" s="119" t="s">
        <v>22</v>
      </c>
      <c r="E814" s="117" t="s">
        <v>370</v>
      </c>
      <c r="F814" s="120">
        <f t="shared" si="240"/>
        <v>2</v>
      </c>
      <c r="G814" s="121" t="str">
        <f t="shared" si="241"/>
        <v>Daniel (Ferret)</v>
      </c>
      <c r="H814" s="122">
        <f>IF($D814="",0,IFERROR(LOOKUP(2,1/(($D$3:D813=$D814)*($A$3:A813&lt;$A814)),$N$3:N813),'Guide &amp; Settings'!$C$41))</f>
        <v>1135.6092547896626</v>
      </c>
      <c r="I814" s="123">
        <f t="shared" si="242"/>
        <v>0.57413249211356465</v>
      </c>
      <c r="J814" s="124">
        <f>IF($D814="",0,IF($F814&lt;2,0,IF($E814="Win",('Guide &amp; Settings'!$C$42/(($F814-1)*COUNTIFS($A$4:$A$1510,$A814,$E$4:$E$1510,"Win")))*SUMIFS($X$4:$X$1510,$A$4:$A$1510,$A814,$E$4:$E$1510,"Loss"),-('Guide &amp; Settings'!$C$42/($F814-1))*$X814)))</f>
        <v>9.9719322996049851</v>
      </c>
      <c r="K814" s="124">
        <f>IF($D814="",0,'Guide &amp; Settings'!$C$43*(IF($E814="Win",1,0)-$I814))</f>
        <v>5.1104100946372242</v>
      </c>
      <c r="L814" s="125">
        <f>IF($D814="",0,'Guide &amp; Settings'!$C$44*IF($F814&gt;=3,$F814,0))</f>
        <v>0</v>
      </c>
      <c r="M814" s="124">
        <f t="shared" si="243"/>
        <v>15.082342394242209</v>
      </c>
      <c r="N814" s="122">
        <f t="shared" si="244"/>
        <v>1150.6915971839048</v>
      </c>
      <c r="O814" s="121" t="str">
        <f t="shared" si="245"/>
        <v>OK</v>
      </c>
      <c r="P814">
        <f t="shared" si="246"/>
        <v>1135.6092547896626</v>
      </c>
      <c r="Q814">
        <f t="shared" si="247"/>
        <v>0.5</v>
      </c>
      <c r="R814">
        <f t="shared" si="248"/>
        <v>0.62222222222222223</v>
      </c>
      <c r="S814">
        <f t="shared" si="249"/>
        <v>1.0837606837606839</v>
      </c>
      <c r="T814" s="89">
        <f t="shared" si="250"/>
        <v>43</v>
      </c>
      <c r="U814" s="126">
        <f>IF($D814="",0,IFERROR(LOOKUP(2,1/(($D$3:D813=$D814)*($C$3:C813=$C814)*($A$3:A813&lt;$A814)),$AB$3:AB813),1000))</f>
        <v>1141.6163363127807</v>
      </c>
      <c r="V814" s="126">
        <f t="shared" si="251"/>
        <v>1140.9905986541226</v>
      </c>
      <c r="W814">
        <f t="shared" si="252"/>
        <v>1140.9905986541226</v>
      </c>
      <c r="X814">
        <f t="shared" si="253"/>
        <v>0.5</v>
      </c>
      <c r="Y814">
        <f t="shared" si="254"/>
        <v>1141.6163363127807</v>
      </c>
      <c r="Z814">
        <f t="shared" si="255"/>
        <v>0.5</v>
      </c>
      <c r="AA814">
        <f>IF($D814="",0,IF($F814&lt;2,0,IF($E814="Win",('Guide &amp; Settings'!$C$42/(($F814-1)*COUNTIFS($A$4:$A$1510,$A814,$E$4:$E$1510,"Win")))*SUMIFS($Z$4:$Z$1510,$A$4:$A$1510,$A814,$E$4:$E$1510,"Loss"),-('Guide &amp; Settings'!$C$42/($F814-1))*$Z814)))</f>
        <v>9.2329477460124298</v>
      </c>
      <c r="AB814" s="126">
        <f t="shared" si="256"/>
        <v>1150.8492840587933</v>
      </c>
      <c r="AC814">
        <f>IF($D814="","",IF($AD814=0,0,IF(COUNTIFS($D$4:$D814,$D814,$B$4:$B814,$B814)&gt;1,0,IF($B814&lt;'Guide &amp; Settings'!$C$50,0,IF(($B814-$AD814)/7-'Guide &amp; Settings'!$C$48&gt;=0,(INT(($B814-$AD814)/7-'Guide &amp; Settings'!$C$48)+1)*'Guide &amp; Settings'!$C$49,0)))))</f>
        <v>0</v>
      </c>
      <c r="AD814" s="142">
        <f t="shared" si="257"/>
        <v>46322</v>
      </c>
      <c r="AE814">
        <f t="shared" si="258"/>
        <v>1</v>
      </c>
      <c r="AF814">
        <f t="shared" si="259"/>
        <v>0</v>
      </c>
    </row>
    <row r="815" spans="1:32" x14ac:dyDescent="0.2">
      <c r="A815" s="117">
        <v>348</v>
      </c>
      <c r="B815" s="118">
        <v>46325</v>
      </c>
      <c r="C815" s="119" t="s">
        <v>50</v>
      </c>
      <c r="D815" s="119" t="s">
        <v>20</v>
      </c>
      <c r="E815" s="117" t="s">
        <v>371</v>
      </c>
      <c r="F815" s="120">
        <f t="shared" si="240"/>
        <v>2</v>
      </c>
      <c r="G815" s="121" t="str">
        <f t="shared" si="241"/>
        <v>Daniel (Ferret)</v>
      </c>
      <c r="H815" s="122">
        <f>IF($D815="",0,IFERROR(LOOKUP(2,1/(($D$3:D814=$D815)*($A$3:A814&lt;$A815)),$N$3:N814),'Guide &amp; Settings'!$C$41))</f>
        <v>1188.1317714580357</v>
      </c>
      <c r="I815" s="123">
        <f t="shared" si="242"/>
        <v>0.42586750788643529</v>
      </c>
      <c r="J815" s="124">
        <f>IF($D815="",0,IF($F815&lt;2,0,IF($E815="Win",('Guide &amp; Settings'!$C$42/(($F815-1)*COUNTIFS($A$4:$A$1510,$A815,$E$4:$E$1510,"Win")))*SUMIFS($X$4:$X$1510,$A$4:$A$1510,$A815,$E$4:$E$1510,"Loss"),-('Guide &amp; Settings'!$C$42/($F815-1))*$X815)))</f>
        <v>-9.9719322996049851</v>
      </c>
      <c r="K815" s="124">
        <f>IF($D815="",0,'Guide &amp; Settings'!$C$43*(IF($E815="Win",1,0)-$I815))</f>
        <v>-5.1104100946372233</v>
      </c>
      <c r="L815" s="125">
        <f>IF($D815="",0,'Guide &amp; Settings'!$C$44*IF($F815&gt;=3,$F815,0))</f>
        <v>0</v>
      </c>
      <c r="M815" s="124">
        <f t="shared" si="243"/>
        <v>-15.082342394242207</v>
      </c>
      <c r="N815" s="122">
        <f t="shared" si="244"/>
        <v>1173.0494290637935</v>
      </c>
      <c r="O815" s="121" t="str">
        <f t="shared" si="245"/>
        <v>OK</v>
      </c>
      <c r="P815">
        <f t="shared" si="246"/>
        <v>1135.6092547896626</v>
      </c>
      <c r="Q815">
        <f t="shared" si="247"/>
        <v>0.5750154048249444</v>
      </c>
      <c r="R815">
        <f t="shared" si="248"/>
        <v>0.46153846153846156</v>
      </c>
      <c r="S815">
        <f t="shared" si="249"/>
        <v>1.0837606837606839</v>
      </c>
      <c r="T815" s="89">
        <f t="shared" si="250"/>
        <v>50</v>
      </c>
      <c r="U815" s="126">
        <f>IF($D815="",0,IFERROR(LOOKUP(2,1/(($D$3:D814=$D815)*($C$3:C814=$C815)*($A$3:A814&lt;$A815)),$AB$3:AB814),1000))</f>
        <v>984.8297656529902</v>
      </c>
      <c r="V815" s="126">
        <f t="shared" si="251"/>
        <v>1003.3117661807216</v>
      </c>
      <c r="W815">
        <f t="shared" si="252"/>
        <v>1140.9905986541226</v>
      </c>
      <c r="X815">
        <f t="shared" si="253"/>
        <v>0.31162288436265578</v>
      </c>
      <c r="Y815">
        <f t="shared" si="254"/>
        <v>1141.6163363127807</v>
      </c>
      <c r="Z815">
        <f t="shared" si="255"/>
        <v>0.28852961706288843</v>
      </c>
      <c r="AA815">
        <f>IF($D815="",0,IF($F815&lt;2,0,IF($E815="Win",('Guide &amp; Settings'!$C$42/(($F815-1)*COUNTIFS($A$4:$A$1510,$A815,$E$4:$E$1510,"Win")))*SUMIFS($Z$4:$Z$1510,$A$4:$A$1510,$A815,$E$4:$E$1510,"Loss"),-('Guide &amp; Settings'!$C$42/($F815-1))*$Z815)))</f>
        <v>-9.2329477460124298</v>
      </c>
      <c r="AB815" s="126">
        <f t="shared" si="256"/>
        <v>975.59681790697778</v>
      </c>
      <c r="AC815">
        <f>IF($D815="","",IF($AD815=0,0,IF(COUNTIFS($D$4:$D815,$D815,$B$4:$B815,$B815)&gt;1,0,IF($B815&lt;'Guide &amp; Settings'!$C$50,0,IF(($B815-$AD815)/7-'Guide &amp; Settings'!$C$48&gt;=0,(INT(($B815-$AD815)/7-'Guide &amp; Settings'!$C$48)+1)*'Guide &amp; Settings'!$C$49,0)))))</f>
        <v>0</v>
      </c>
      <c r="AD815" s="142">
        <f t="shared" si="257"/>
        <v>46323</v>
      </c>
      <c r="AE815">
        <f t="shared" si="258"/>
        <v>1</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46318</v>
      </c>
    </row>
    <row r="4" spans="1:41" ht="15" customHeight="1" x14ac:dyDescent="0.2">
      <c r="A4" t="s">
        <v>416</v>
      </c>
      <c r="B4" s="138">
        <f>MAX('Match Log'!$B$4:$B$1510)</f>
        <v>46325</v>
      </c>
      <c r="C4" t="s">
        <v>417</v>
      </c>
      <c r="D4" s="138">
        <f ca="1">MAX($B$4,TODAY())</f>
        <v>46326</v>
      </c>
    </row>
    <row r="5" spans="1:41" x14ac:dyDescent="0.2">
      <c r="B5" s="137">
        <f ca="1">TODAY()-7</f>
        <v>46319</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1244.2911759451083</v>
      </c>
      <c r="C7">
        <f>IFERROR(INDEX(Engine!$C$2:$C$15,MATCH($A7,Engine!$A$2:$A$15,0)),"")</f>
        <v>1134.4280478584974</v>
      </c>
      <c r="D7">
        <f t="shared" ref="D7:D20" si="0">RANK($B7,$B$7:$B$20)</f>
        <v>2</v>
      </c>
      <c r="E7">
        <f t="shared" ref="E7:E20" si="1">MAX($B$7:$B$20)-$B7</f>
        <v>61.5284071721278</v>
      </c>
      <c r="F7" t="str">
        <f>IFERROR(LOOKUP(2,1/('Match Log'!$D$4:$D$1510=$A7),'Match Log'!$E$4:$E$1510),"")</f>
        <v>Win</v>
      </c>
      <c r="G7">
        <f>IF($F7="",0,SUMPRODUCT(('Match Log'!$D$4:$D$1510=$A7)*(ROW('Match Log'!$A$4:$A$1510)&gt;SUMPRODUCT(MAX(('Match Log'!$D$4:$D$1510=$A7)*('Match Log'!$E$4:$E$1510&lt;&gt;$F7)*ROW('Match Log'!$A$4:$A$1510))))))</f>
        <v>2</v>
      </c>
      <c r="H7" t="str">
        <f t="shared" ref="H7:H20" si="2">IF($G7=0,"",LEFT($F7,1)&amp;$G7)</f>
        <v>W2</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LLLWW</v>
      </c>
      <c r="J7">
        <f t="shared" ref="J7:J20" ca="1" si="3">$AL7-$AM7+$AN7-$AO7+ROW()/10000000</f>
        <v>1223.1911766451085</v>
      </c>
      <c r="K7">
        <f t="shared" ref="K7:K20" ca="1" si="4">RANK($J7,$J$7:$J$20)</f>
        <v>3</v>
      </c>
      <c r="L7">
        <f t="shared" ref="L7:L20" ca="1" si="5">$K7-RANK($AI7,$AI$7:$AI$20)</f>
        <v>1</v>
      </c>
      <c r="M7">
        <f t="shared" ref="M7:M20" si="6">SUMPRODUCT(($D$25:$D$724=$A7)*($G$25:$G$724&gt;0.25)*($D$25:$D$724&lt;&gt;""))</f>
        <v>9</v>
      </c>
      <c r="N7">
        <f t="shared" ref="N7:N20" si="7">LEN($I7)-LEN(SUBSTITUTE($I7,"W",""))</f>
        <v>2</v>
      </c>
      <c r="O7">
        <f t="shared" ref="O7:O20" si="8">IF($F7="Win",$G7,0)</f>
        <v>2</v>
      </c>
      <c r="P7">
        <f>IFERROR(SUMPRODUCT(MAX(('Match Log'!$D$4:$D$1510=$A7)*'Match Log'!$B$4:$B$1510)),0)</f>
        <v>46319</v>
      </c>
      <c r="Q7">
        <f t="shared" ref="Q7:Q20" ca="1" si="9">IF($P7=0,"",($D$4-$P7)/7)</f>
        <v>1</v>
      </c>
      <c r="R7">
        <f ca="1">IF($P7=0,0,IF($Q7&gt;='Guide &amp; Settings'!$C$48,(INT($Q7-'Guide &amp; Settings'!$C$48)+1)*'Guide &amp; Settings'!$C$49,0))</f>
        <v>0</v>
      </c>
      <c r="S7">
        <f ca="1">$B7-$R7-$U7+SUMIF('Poker Stake Ledger'!$C$18:$C$137,$A7,'Poker Stake Ledger'!$K$18:$K$137)</f>
        <v>1223.1911759451084</v>
      </c>
      <c r="T7" t="str">
        <f ca="1">IF($P7=0,"No games",IF($Q7&gt;='Guide &amp; Settings'!$C$48,"Inactive",IF($Q7&gt;='Guide &amp; Settings'!$C$47,"At risk","Active")))</f>
        <v>Active</v>
      </c>
      <c r="U7">
        <f>SUMIF('Match Log'!$D$4:$D$1510,$A7,'Match Log'!$AC$4:$AC$1510)</f>
        <v>10</v>
      </c>
      <c r="V7">
        <f t="shared" ref="V7:V20" si="10">IF($F7="Loss",$G7,0)</f>
        <v>0</v>
      </c>
      <c r="W7">
        <f t="shared" ref="W7:W20" ca="1" si="11">MAX(0,MIN(100,50+($S7-1000)/4))</f>
        <v>100</v>
      </c>
      <c r="X7">
        <f ca="1">IFERROR(INDEX(Dashboard!$G$5:$G$18,MATCH($A7,Dashboard!$B$5:$B$18,0))*100,0)</f>
        <v>46.808510638297875</v>
      </c>
      <c r="Y7">
        <f ca="1">MIN(100,IFERROR(INDEX(Dashboard!$K$5:$K$18,MATCH($A7,Dashboard!$B$5:$B$18,0)),0)/5*50+$AC7/4*50)</f>
        <v>100</v>
      </c>
      <c r="Z7">
        <f t="shared" ref="Z7:Z20" si="12">IFERROR($N7/LEN($I7)*100,0)</f>
        <v>40</v>
      </c>
      <c r="AA7">
        <f t="shared" ref="AA7:AA20" si="13">IF($C7="",0,MAX(0,MIN(100,50+($C7-1000)/4)))</f>
        <v>83.607011964624348</v>
      </c>
      <c r="AB7">
        <f t="shared" ref="AB7:AB20" ca="1" si="14">0.35*$W7+0.2*$X7+0.2*$Y7+0.15*$Z7+0.1*$AA7</f>
        <v>78.722403324122013</v>
      </c>
      <c r="AC7">
        <f>IFERROR(SUMPRODUCT((INDEX('Sport Records'!$B$8:$O$32,0,MATCH($A7,'Sport Records'!$B$7:$O$7,0))&gt;=2)*(INDEX('Sport Records'!$B$62:$O$86,0,MATCH($A7,'Sport Records'!$B$61:$O$61,0))&gt;=0.5)),0)</f>
        <v>4</v>
      </c>
      <c r="AD7">
        <f ca="1">IFERROR(INDEX(Dashboard!$D$5:$D$18,MATCH($A7,Dashboard!$B$5:$B$18,0)),0)</f>
        <v>94</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3</v>
      </c>
      <c r="AH7">
        <f ca="1">COUNTIFS('Match Log'!$D$4:$D$1510,$A7,'Match Log'!$B$4:$B$1510,"&gt;="&amp;$B$5,'Match Log'!$E$4:$E$1510,"Win")</f>
        <v>2</v>
      </c>
      <c r="AI7">
        <f t="shared" ref="AI7:AI20" ca="1" si="16">IF(ISNUMBER($S7),$S7,-1000000)+ROW()/10000000</f>
        <v>1223.1911766451085</v>
      </c>
      <c r="AK7">
        <f ca="1">_xlfn.MAXIFS('Match Log'!$B$4:$B$1510,'Match Log'!$D$4:$D$1510,$A7,'Match Log'!$B$4:$B$1510,"&lt;="&amp;($D$4-7))</f>
        <v>46319</v>
      </c>
      <c r="AL7">
        <f ca="1">IFERROR(LOOKUP(2,1/(('Match Log'!$D$4:$D$1510=$A7)*('Match Log'!$B$4:$B$1510&lt;=$D$4-7)),'Match Log'!$N$4:$N$1510),1000)</f>
        <v>1244.2911759451083</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1102.5617350947855</v>
      </c>
      <c r="D8">
        <f t="shared" si="0"/>
        <v>9</v>
      </c>
      <c r="E8">
        <f t="shared" si="1"/>
        <v>276.30198658372228</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879.51759733351378</v>
      </c>
      <c r="K8">
        <f t="shared" ca="1" si="4"/>
        <v>12</v>
      </c>
      <c r="L8">
        <f t="shared" ca="1" si="5"/>
        <v>0</v>
      </c>
      <c r="M8">
        <f t="shared" si="6"/>
        <v>0</v>
      </c>
      <c r="N8">
        <f t="shared" si="7"/>
        <v>2</v>
      </c>
      <c r="O8">
        <f t="shared" si="8"/>
        <v>0</v>
      </c>
      <c r="P8">
        <f>IFERROR(SUMPRODUCT(MAX(('Match Log'!$D$4:$D$1510=$A8)*'Match Log'!$B$4:$B$1510)),0)</f>
        <v>46188</v>
      </c>
      <c r="Q8">
        <f t="shared" ca="1" si="9"/>
        <v>19.714285714285715</v>
      </c>
      <c r="R8">
        <f ca="1">IF($P8=0,0,IF($Q8&gt;='Guide &amp; Settings'!$C$48,(INT($Q8-'Guide &amp; Settings'!$C$48)+1)*'Guide &amp; Settings'!$C$49,0))</f>
        <v>160</v>
      </c>
      <c r="S8">
        <f ca="1">$B8-$R8-$U8+SUMIF('Poker Stake Ledger'!$C$18:$C$137,$A8,'Poker Stake Ledger'!$K$18:$K$137)</f>
        <v>869.51759653351382</v>
      </c>
      <c r="T8" t="str">
        <f ca="1">IF($P8=0,"No games",IF($Q8&gt;='Guide &amp; Settings'!$C$48,"Inactive",IF($Q8&gt;='Guide &amp; Settings'!$C$47,"At risk","Active")))</f>
        <v>Inactive</v>
      </c>
      <c r="U8">
        <f>SUMIF('Match Log'!$D$4:$D$1510,$A8,'Match Log'!$AC$4:$AC$1510)</f>
        <v>0</v>
      </c>
      <c r="V8">
        <f t="shared" si="10"/>
        <v>2</v>
      </c>
      <c r="W8">
        <f t="shared" ca="1" si="11"/>
        <v>17.379399133378456</v>
      </c>
      <c r="X8">
        <f ca="1">IFERROR(INDEX(Dashboard!$G$5:$G$18,MATCH($A8,Dashboard!$B$5:$B$18,0))*100,0)</f>
        <v>50</v>
      </c>
      <c r="Y8">
        <f ca="1">MIN(100,IFERROR(INDEX(Dashboard!$K$5:$K$18,MATCH($A8,Dashboard!$B$5:$B$18,0)),0)/5*50+$AC8/4*50)</f>
        <v>42.5</v>
      </c>
      <c r="Z8">
        <f t="shared" si="12"/>
        <v>40</v>
      </c>
      <c r="AA8">
        <f t="shared" si="13"/>
        <v>75.640433773696373</v>
      </c>
      <c r="AB8">
        <f t="shared" ca="1" si="14"/>
        <v>38.146833074052097</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869.51759733351378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150</v>
      </c>
    </row>
    <row r="9" spans="1:41" ht="15" customHeight="1" x14ac:dyDescent="0.2">
      <c r="A9" t="s">
        <v>17</v>
      </c>
      <c r="B9">
        <f>IFERROR(INDEX(Engine!$B$2:$B$15,MATCH($A9,Engine!$A$2:$A$15,0)),1000)</f>
        <v>1048.0761030598392</v>
      </c>
      <c r="C9">
        <f>IFERROR(INDEX(Engine!$C$2:$C$15,MATCH($A9,Engine!$A$2:$A$15,0)),"")</f>
        <v>1146.2715652098545</v>
      </c>
      <c r="D9">
        <f t="shared" si="0"/>
        <v>8</v>
      </c>
      <c r="E9">
        <f t="shared" si="1"/>
        <v>257.74348005739694</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1028.0761039598392</v>
      </c>
      <c r="K9">
        <f t="shared" ca="1" si="4"/>
        <v>7</v>
      </c>
      <c r="L9">
        <f t="shared" ca="1" si="5"/>
        <v>0</v>
      </c>
      <c r="M9">
        <f t="shared" si="6"/>
        <v>0</v>
      </c>
      <c r="N9">
        <f t="shared" si="7"/>
        <v>1</v>
      </c>
      <c r="O9">
        <f t="shared" si="8"/>
        <v>0</v>
      </c>
      <c r="P9">
        <f>IFERROR(SUMPRODUCT(MAX(('Match Log'!$D$4:$D$1510=$A9)*'Match Log'!$B$4:$B$1510)),0)</f>
        <v>46297</v>
      </c>
      <c r="Q9">
        <f t="shared" ca="1" si="9"/>
        <v>4.1428571428571432</v>
      </c>
      <c r="R9">
        <f ca="1">IF($P9=0,0,IF($Q9&gt;='Guide &amp; Settings'!$C$48,(INT($Q9-'Guide &amp; Settings'!$C$48)+1)*'Guide &amp; Settings'!$C$49,0))</f>
        <v>10</v>
      </c>
      <c r="S9">
        <f ca="1">$B9-$R9-$U9+SUMIF('Poker Stake Ledger'!$C$18:$C$137,$A9,'Poker Stake Ledger'!$K$18:$K$137)</f>
        <v>1018.0761030598392</v>
      </c>
      <c r="T9" t="str">
        <f ca="1">IF($P9=0,"No games",IF($Q9&gt;='Guide &amp; Settings'!$C$48,"Inactive",IF($Q9&gt;='Guide &amp; Settings'!$C$47,"At risk","Active")))</f>
        <v>Inactive</v>
      </c>
      <c r="U9">
        <f>SUMIF('Match Log'!$D$4:$D$1510,$A9,'Match Log'!$AC$4:$AC$1510)</f>
        <v>20</v>
      </c>
      <c r="V9">
        <f t="shared" si="10"/>
        <v>4</v>
      </c>
      <c r="W9">
        <f t="shared" ca="1" si="11"/>
        <v>54.519025764959792</v>
      </c>
      <c r="X9">
        <f ca="1">IFERROR(INDEX(Dashboard!$G$5:$G$18,MATCH($A9,Dashboard!$B$5:$B$18,0))*100,0)</f>
        <v>39.130434782608695</v>
      </c>
      <c r="Y9">
        <f ca="1">MIN(100,IFERROR(INDEX(Dashboard!$K$5:$K$18,MATCH($A9,Dashboard!$B$5:$B$18,0)),0)/5*50+$AC9/4*50)</f>
        <v>100</v>
      </c>
      <c r="Z9">
        <f t="shared" si="12"/>
        <v>20</v>
      </c>
      <c r="AA9">
        <f t="shared" si="13"/>
        <v>86.567891302463636</v>
      </c>
      <c r="AB9">
        <f t="shared" ca="1" si="14"/>
        <v>58.564535104504031</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1018.0761039598392</v>
      </c>
      <c r="AK9">
        <f ca="1">_xlfn.MAXIFS('Match Log'!$B$4:$B$1510,'Match Log'!$D$4:$D$1510,$A9,'Match Log'!$B$4:$B$1510,"&lt;="&amp;($D$4-7))</f>
        <v>46297</v>
      </c>
      <c r="AL9">
        <f ca="1">IFERROR(LOOKUP(2,1/(('Match Log'!$D$4:$D$1510=$A9)*('Match Log'!$B$4:$B$1510&lt;=$D$4-7)),'Match Log'!$N$4:$N$1510),1000)</f>
        <v>1048.0761030598392</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1171.8789592287735</v>
      </c>
      <c r="D10">
        <f t="shared" si="0"/>
        <v>13</v>
      </c>
      <c r="E10">
        <f t="shared" si="1"/>
        <v>398.78824667606182</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827.03133744117429</v>
      </c>
      <c r="K10">
        <f t="shared" ca="1" si="4"/>
        <v>13</v>
      </c>
      <c r="L10">
        <f t="shared" ca="1" si="5"/>
        <v>0</v>
      </c>
      <c r="M10">
        <f t="shared" si="6"/>
        <v>0</v>
      </c>
      <c r="N10">
        <f t="shared" si="7"/>
        <v>0</v>
      </c>
      <c r="O10">
        <f t="shared" si="8"/>
        <v>0</v>
      </c>
      <c r="P10">
        <f>IFERROR(SUMPRODUCT(MAX(('Match Log'!$D$4:$D$1510=$A10)*'Match Log'!$B$4:$B$1510)),0)</f>
        <v>46256</v>
      </c>
      <c r="Q10">
        <f t="shared" ca="1" si="9"/>
        <v>10</v>
      </c>
      <c r="R10">
        <f ca="1">IF($P10=0,0,IF($Q10&gt;='Guide &amp; Settings'!$C$48,(INT($Q10-'Guide &amp; Settings'!$C$48)+1)*'Guide &amp; Settings'!$C$49,0))</f>
        <v>70</v>
      </c>
      <c r="S10">
        <f ca="1">$B10-$R10-$U10+SUMIF('Poker Stake Ledger'!$C$18:$C$137,$A10,'Poker Stake Ledger'!$K$18:$K$137)</f>
        <v>817.03133644117429</v>
      </c>
      <c r="T10" t="str">
        <f ca="1">IF($P10=0,"No games",IF($Q10&gt;='Guide &amp; Settings'!$C$48,"Inactive",IF($Q10&gt;='Guide &amp; Settings'!$C$47,"At risk","Active")))</f>
        <v>Inactive</v>
      </c>
      <c r="U10">
        <f>SUMIF('Match Log'!$D$4:$D$1510,$A10,'Match Log'!$AC$4:$AC$1510)</f>
        <v>20</v>
      </c>
      <c r="V10">
        <f t="shared" si="10"/>
        <v>5</v>
      </c>
      <c r="W10">
        <f t="shared" ca="1" si="11"/>
        <v>4.2578341102935724</v>
      </c>
      <c r="X10">
        <f ca="1">IFERROR(INDEX(Dashboard!$G$5:$G$18,MATCH($A10,Dashboard!$B$5:$B$18,0))*100,0)</f>
        <v>21.739130434782609</v>
      </c>
      <c r="Y10">
        <f ca="1">MIN(100,IFERROR(INDEX(Dashboard!$K$5:$K$18,MATCH($A10,Dashboard!$B$5:$B$18,0)),0)/5*50+$AC10/4*50)</f>
        <v>60</v>
      </c>
      <c r="Z10">
        <f t="shared" si="12"/>
        <v>0</v>
      </c>
      <c r="AA10">
        <f t="shared" si="13"/>
        <v>92.969739807193378</v>
      </c>
      <c r="AB10">
        <f t="shared" ca="1" si="14"/>
        <v>27.13504200627861</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817.03133744117429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60</v>
      </c>
    </row>
    <row r="11" spans="1:41" ht="15" customHeight="1" x14ac:dyDescent="0.2">
      <c r="A11" t="s">
        <v>19</v>
      </c>
      <c r="B11">
        <f>IFERROR(INDEX(Engine!$B$2:$B$15,MATCH($A11,Engine!$A$2:$A$15,0)),1000)</f>
        <v>1305.8195831172361</v>
      </c>
      <c r="C11">
        <f>IFERROR(INDEX(Engine!$C$2:$C$15,MATCH($A11,Engine!$A$2:$A$15,0)),"")</f>
        <v>1127.1568566150286</v>
      </c>
      <c r="D11">
        <f t="shared" si="0"/>
        <v>1</v>
      </c>
      <c r="E11">
        <f t="shared" si="1"/>
        <v>0</v>
      </c>
      <c r="F11" t="str">
        <f>IFERROR(LOOKUP(2,1/('Match Log'!$D$4:$D$1510=$A11),'Match Log'!$E$4:$E$1510),"")</f>
        <v>Win</v>
      </c>
      <c r="G11">
        <f>IF($F11="",0,SUMPRODUCT(('Match Log'!$D$4:$D$1510=$A11)*(ROW('Match Log'!$A$4:$A$1510)&gt;SUMPRODUCT(MAX(('Match Log'!$D$4:$D$1510=$A11)*('Match Log'!$E$4:$E$1510&lt;&gt;$F11)*ROW('Match Log'!$A$4:$A$1510))))))</f>
        <v>1</v>
      </c>
      <c r="H11" t="str">
        <f t="shared" si="2"/>
        <v>W1</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WWWLW</v>
      </c>
      <c r="J11">
        <f t="shared" ca="1" si="3"/>
        <v>1273.6858380946653</v>
      </c>
      <c r="K11">
        <f t="shared" ca="1" si="4"/>
        <v>1</v>
      </c>
      <c r="L11">
        <f t="shared" ca="1" si="5"/>
        <v>0</v>
      </c>
      <c r="M11">
        <f t="shared" si="6"/>
        <v>2</v>
      </c>
      <c r="N11">
        <f t="shared" si="7"/>
        <v>4</v>
      </c>
      <c r="O11">
        <f t="shared" si="8"/>
        <v>1</v>
      </c>
      <c r="P11">
        <f>IFERROR(SUMPRODUCT(MAX(('Match Log'!$D$4:$D$1510=$A11)*'Match Log'!$B$4:$B$1510)),0)</f>
        <v>46322</v>
      </c>
      <c r="Q11">
        <f t="shared" ca="1" si="9"/>
        <v>0.5714285714285714</v>
      </c>
      <c r="R11">
        <f ca="1">IF($P11=0,0,IF($Q11&gt;='Guide &amp; Settings'!$C$48,(INT($Q11-'Guide &amp; Settings'!$C$48)+1)*'Guide &amp; Settings'!$C$49,0))</f>
        <v>0</v>
      </c>
      <c r="S11">
        <f ca="1">$B11-$R11-$U11+SUMIF('Poker Stake Ledger'!$C$18:$C$137,$A11,'Poker Stake Ledger'!$K$18:$K$137)</f>
        <v>1327.5695831172361</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64.102564102564102</v>
      </c>
      <c r="Y11">
        <f ca="1">MIN(100,IFERROR(INDEX(Dashboard!$K$5:$K$18,MATCH($A11,Dashboard!$B$5:$B$18,0)),0)/5*50+$AC11/4*50)</f>
        <v>100</v>
      </c>
      <c r="Z11">
        <f t="shared" si="12"/>
        <v>80</v>
      </c>
      <c r="AA11">
        <f t="shared" si="13"/>
        <v>81.789214153757143</v>
      </c>
      <c r="AB11">
        <f t="shared" ca="1" si="14"/>
        <v>87.999434235888529</v>
      </c>
      <c r="AC11">
        <f>IFERROR(SUMPRODUCT((INDEX('Sport Records'!$B$8:$O$32,0,MATCH($A11,'Sport Records'!$B$7:$O$7,0))&gt;=2)*(INDEX('Sport Records'!$B$62:$O$86,0,MATCH($A11,'Sport Records'!$B$61:$O$61,0))&gt;=0.5)),0)</f>
        <v>9</v>
      </c>
      <c r="AD11">
        <f ca="1">IFERROR(INDEX(Dashboard!$D$5:$D$18,MATCH($A11,Dashboard!$B$5:$B$18,0)),0)</f>
        <v>78</v>
      </c>
      <c r="AE11">
        <f ca="1">IFERROR(INDEX(Dashboard!$K$5:$K$18,MATCH($A11,Dashboard!$B$5:$B$18,0)),0)</f>
        <v>15</v>
      </c>
      <c r="AF11" t="str">
        <f t="shared" ca="1" si="15"/>
        <v>Elite</v>
      </c>
      <c r="AG11">
        <f ca="1">COUNTIFS('Match Log'!$D$4:$D$1510,$A11,'Match Log'!$B$4:$B$1510,"&gt;="&amp;$B$5)</f>
        <v>13</v>
      </c>
      <c r="AH11">
        <f ca="1">COUNTIFS('Match Log'!$D$4:$D$1510,$A11,'Match Log'!$B$4:$B$1510,"&gt;="&amp;$B$5,'Match Log'!$E$4:$E$1510,"Win")</f>
        <v>10</v>
      </c>
      <c r="AI11">
        <f t="shared" ca="1" si="16"/>
        <v>1327.5695842172361</v>
      </c>
      <c r="AK11">
        <f ca="1">_xlfn.MAXIFS('Match Log'!$B$4:$B$1510,'Match Log'!$D$4:$D$1510,$A11,'Match Log'!$B$4:$B$1510,"&lt;="&amp;($D$4-7))</f>
        <v>46303</v>
      </c>
      <c r="AL11">
        <f ca="1">IFERROR(LOOKUP(2,1/(('Match Log'!$D$4:$D$1510=$A11)*('Match Log'!$B$4:$B$1510&lt;=$D$4-7)),'Match Log'!$N$4:$N$1510),1000)</f>
        <v>1251.9358369946654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1173.0494290637935</v>
      </c>
      <c r="C12">
        <f>IFERROR(INDEX(Engine!$C$2:$C$15,MATCH($A12,Engine!$A$2:$A$15,0)),"")</f>
        <v>1150.3456079746441</v>
      </c>
      <c r="D12">
        <f t="shared" si="0"/>
        <v>5</v>
      </c>
      <c r="E12">
        <f t="shared" si="1"/>
        <v>132.77015405344264</v>
      </c>
      <c r="F12" t="str">
        <f>IFERROR(LOOKUP(2,1/('Match Log'!$D$4:$D$1510=$A12),'Match Log'!$E$4:$E$1510),"")</f>
        <v>Loss</v>
      </c>
      <c r="G12">
        <f>IF($F12="",0,SUMPRODUCT(('Match Log'!$D$4:$D$1510=$A12)*(ROW('Match Log'!$A$4:$A$1510)&gt;SUMPRODUCT(MAX(('Match Log'!$D$4:$D$1510=$A12)*('Match Log'!$E$4:$E$1510&lt;&gt;$F12)*ROW('Match Log'!$A$4:$A$1510))))))</f>
        <v>3</v>
      </c>
      <c r="H12" t="str">
        <f t="shared" si="2"/>
        <v>L3</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LWLLL</v>
      </c>
      <c r="J12">
        <f t="shared" ca="1" si="3"/>
        <v>1228.1633304156974</v>
      </c>
      <c r="K12">
        <f t="shared" ca="1" si="4"/>
        <v>2</v>
      </c>
      <c r="L12">
        <f t="shared" ca="1" si="5"/>
        <v>-1</v>
      </c>
      <c r="M12">
        <f t="shared" si="6"/>
        <v>7</v>
      </c>
      <c r="N12">
        <f t="shared" si="7"/>
        <v>1</v>
      </c>
      <c r="O12">
        <f t="shared" si="8"/>
        <v>0</v>
      </c>
      <c r="P12">
        <f>IFERROR(SUMPRODUCT(MAX(('Match Log'!$D$4:$D$1510=$A12)*'Match Log'!$B$4:$B$1510)),0)</f>
        <v>46325</v>
      </c>
      <c r="Q12">
        <f t="shared" ca="1" si="9"/>
        <v>0.14285714285714285</v>
      </c>
      <c r="R12">
        <f ca="1">IF($P12=0,0,IF($Q12&gt;='Guide &amp; Settings'!$C$48,(INT($Q12-'Guide &amp; Settings'!$C$48)+1)*'Guide &amp; Settings'!$C$49,0))</f>
        <v>0</v>
      </c>
      <c r="S12">
        <f ca="1">$B12-$R12-$U12+SUMIF('Poker Stake Ledger'!$C$18:$C$137,$A12,'Poker Stake Ledger'!$K$18:$K$137)</f>
        <v>1169.2994290637935</v>
      </c>
      <c r="T12" t="str">
        <f ca="1">IF($P12=0,"No games",IF($Q12&gt;='Guide &amp; Settings'!$C$48,"Inactive",IF($Q12&gt;='Guide &amp; Settings'!$C$47,"At risk","Active")))</f>
        <v>Active</v>
      </c>
      <c r="U12">
        <f>SUMIF('Match Log'!$D$4:$D$1510,$A12,'Match Log'!$AC$4:$AC$1510)</f>
        <v>0</v>
      </c>
      <c r="V12">
        <f t="shared" si="10"/>
        <v>3</v>
      </c>
      <c r="W12">
        <f t="shared" ca="1" si="11"/>
        <v>92.324857265948367</v>
      </c>
      <c r="X12">
        <f ca="1">IFERROR(INDEX(Dashboard!$G$5:$G$18,MATCH($A12,Dashboard!$B$5:$B$18,0))*100,0)</f>
        <v>46.022727272727273</v>
      </c>
      <c r="Y12">
        <f ca="1">MIN(100,IFERROR(INDEX(Dashboard!$K$5:$K$18,MATCH($A12,Dashboard!$B$5:$B$18,0)),0)/5*50+$AC12/4*50)</f>
        <v>100</v>
      </c>
      <c r="Z12">
        <f t="shared" si="12"/>
        <v>20</v>
      </c>
      <c r="AA12">
        <f t="shared" si="13"/>
        <v>87.586401993661013</v>
      </c>
      <c r="AB12">
        <f t="shared" ca="1" si="14"/>
        <v>73.276885696993489</v>
      </c>
      <c r="AC12">
        <f>IFERROR(SUMPRODUCT((INDEX('Sport Records'!$B$8:$O$32,0,MATCH($A12,'Sport Records'!$B$7:$O$7,0))&gt;=2)*(INDEX('Sport Records'!$B$62:$O$86,0,MATCH($A12,'Sport Records'!$B$61:$O$61,0))&gt;=0.5)),0)</f>
        <v>5</v>
      </c>
      <c r="AD12">
        <f ca="1">IFERROR(INDEX(Dashboard!$D$5:$D$18,MATCH($A12,Dashboard!$B$5:$B$18,0)),0)</f>
        <v>176</v>
      </c>
      <c r="AE12">
        <f ca="1">IFERROR(INDEX(Dashboard!$K$5:$K$18,MATCH($A12,Dashboard!$B$5:$B$18,0)),0)</f>
        <v>19</v>
      </c>
      <c r="AF12" t="str">
        <f t="shared" ca="1" si="15"/>
        <v>Elite</v>
      </c>
      <c r="AG12">
        <f ca="1">COUNTIFS('Match Log'!$D$4:$D$1510,$A12,'Match Log'!$B$4:$B$1510,"&gt;="&amp;$B$5)</f>
        <v>6</v>
      </c>
      <c r="AH12">
        <f ca="1">COUNTIFS('Match Log'!$D$4:$D$1510,$A12,'Match Log'!$B$4:$B$1510,"&gt;="&amp;$B$5,'Match Log'!$E$4:$E$1510,"Win")</f>
        <v>1</v>
      </c>
      <c r="AI12">
        <f t="shared" ca="1" si="16"/>
        <v>1169.2994302637935</v>
      </c>
      <c r="AK12">
        <f ca="1">_xlfn.MAXIFS('Match Log'!$B$4:$B$1510,'Match Log'!$D$4:$D$1510,$A12,'Match Log'!$B$4:$B$1510,"&lt;="&amp;($D$4-7))</f>
        <v>46319</v>
      </c>
      <c r="AL12">
        <f ca="1">IFERROR(LOOKUP(2,1/(('Match Log'!$D$4:$D$1510=$A12)*('Match Log'!$B$4:$B$1510&lt;=$D$4-7)),'Match Log'!$N$4:$N$1510),1000)</f>
        <v>1231.9133292156973</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1176.4960512957946</v>
      </c>
      <c r="C13">
        <f>IFERROR(INDEX(Engine!$C$2:$C$15,MATCH($A13,Engine!$A$2:$A$15,0)),"")</f>
        <v>1093.3760939026447</v>
      </c>
      <c r="D13">
        <f t="shared" si="0"/>
        <v>4</v>
      </c>
      <c r="E13">
        <f t="shared" si="1"/>
        <v>129.32353182144152</v>
      </c>
      <c r="F13" t="str">
        <f>IFERROR(LOOKUP(2,1/('Match Log'!$D$4:$D$1510=$A13),'Match Log'!$E$4:$E$1510),"")</f>
        <v>Loss</v>
      </c>
      <c r="G13">
        <f>IF($F13="",0,SUMPRODUCT(('Match Log'!$D$4:$D$1510=$A13)*(ROW('Match Log'!$A$4:$A$1510)&gt;SUMPRODUCT(MAX(('Match Log'!$D$4:$D$1510=$A13)*('Match Log'!$E$4:$E$1510&lt;&gt;$F13)*ROW('Match Log'!$A$4:$A$1510))))))</f>
        <v>2</v>
      </c>
      <c r="H13" t="str">
        <f t="shared" si="2"/>
        <v>L2</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LWWLL</v>
      </c>
      <c r="J13">
        <f t="shared" ca="1" si="3"/>
        <v>1174.9945505849278</v>
      </c>
      <c r="K13">
        <f t="shared" ca="1" si="4"/>
        <v>5</v>
      </c>
      <c r="L13">
        <f t="shared" ca="1" si="5"/>
        <v>-1</v>
      </c>
      <c r="M13">
        <f t="shared" si="6"/>
        <v>4</v>
      </c>
      <c r="N13">
        <f t="shared" si="7"/>
        <v>2</v>
      </c>
      <c r="O13">
        <f t="shared" si="8"/>
        <v>0</v>
      </c>
      <c r="P13">
        <f>IFERROR(SUMPRODUCT(MAX(('Match Log'!$D$4:$D$1510=$A13)*'Match Log'!$B$4:$B$1510)),0)</f>
        <v>46323</v>
      </c>
      <c r="Q13">
        <f t="shared" ca="1" si="9"/>
        <v>0.42857142857142855</v>
      </c>
      <c r="R13">
        <f ca="1">IF($P13=0,0,IF($Q13&gt;='Guide &amp; Settings'!$C$48,(INT($Q13-'Guide &amp; Settings'!$C$48)+1)*'Guide &amp; Settings'!$C$49,0))</f>
        <v>0</v>
      </c>
      <c r="S13">
        <f ca="1">$B13-$R13-$U13+SUMIF('Poker Stake Ledger'!$C$18:$C$137,$A13,'Poker Stake Ledger'!$K$18:$K$137)</f>
        <v>1140.9460512957946</v>
      </c>
      <c r="T13" t="str">
        <f ca="1">IF($P13=0,"No games",IF($Q13&gt;='Guide &amp; Settings'!$C$48,"Inactive",IF($Q13&gt;='Guide &amp; Settings'!$C$47,"At risk","Active")))</f>
        <v>Active</v>
      </c>
      <c r="U13">
        <f>SUMIF('Match Log'!$D$4:$D$1510,$A13,'Match Log'!$AC$4:$AC$1510)</f>
        <v>30</v>
      </c>
      <c r="V13">
        <f t="shared" si="10"/>
        <v>2</v>
      </c>
      <c r="W13">
        <f t="shared" ca="1" si="11"/>
        <v>85.236512823948658</v>
      </c>
      <c r="X13">
        <f ca="1">IFERROR(INDEX(Dashboard!$G$5:$G$18,MATCH($A13,Dashboard!$B$5:$B$18,0))*100,0)</f>
        <v>51.063829787234042</v>
      </c>
      <c r="Y13">
        <f ca="1">MIN(100,IFERROR(INDEX(Dashboard!$K$5:$K$18,MATCH($A13,Dashboard!$B$5:$B$18,0)),0)/5*50+$AC13/4*50)</f>
        <v>100</v>
      </c>
      <c r="Z13">
        <f t="shared" si="12"/>
        <v>40</v>
      </c>
      <c r="AA13">
        <f t="shared" si="13"/>
        <v>73.344023475661174</v>
      </c>
      <c r="AB13">
        <f t="shared" ca="1" si="14"/>
        <v>73.379947793394948</v>
      </c>
      <c r="AC13">
        <f>IFERROR(SUMPRODUCT((INDEX('Sport Records'!$B$8:$O$32,0,MATCH($A13,'Sport Records'!$B$7:$O$7,0))&gt;=2)*(INDEX('Sport Records'!$B$62:$O$86,0,MATCH($A13,'Sport Records'!$B$61:$O$61,0))&gt;=0.5)),0)</f>
        <v>5</v>
      </c>
      <c r="AD13">
        <f ca="1">IFERROR(INDEX(Dashboard!$D$5:$D$18,MATCH($A13,Dashboard!$B$5:$B$18,0)),0)</f>
        <v>47</v>
      </c>
      <c r="AE13">
        <f ca="1">IFERROR(INDEX(Dashboard!$K$5:$K$18,MATCH($A13,Dashboard!$B$5:$B$18,0)),0)</f>
        <v>12</v>
      </c>
      <c r="AF13" t="str">
        <f t="shared" ca="1" si="15"/>
        <v>Elite</v>
      </c>
      <c r="AG13">
        <f ca="1">COUNTIFS('Match Log'!$D$4:$D$1510,$A13,'Match Log'!$B$4:$B$1510,"&gt;="&amp;$B$5)</f>
        <v>7</v>
      </c>
      <c r="AH13">
        <f ca="1">COUNTIFS('Match Log'!$D$4:$D$1510,$A13,'Match Log'!$B$4:$B$1510,"&gt;="&amp;$B$5,'Match Log'!$E$4:$E$1510,"Win")</f>
        <v>3</v>
      </c>
      <c r="AI13">
        <f t="shared" ca="1" si="16"/>
        <v>1140.9460525957945</v>
      </c>
      <c r="AK13">
        <f ca="1">_xlfn.MAXIFS('Match Log'!$B$4:$B$1510,'Match Log'!$D$4:$D$1510,$A13,'Match Log'!$B$4:$B$1510,"&lt;="&amp;($D$4-7))</f>
        <v>46319</v>
      </c>
      <c r="AL13">
        <f ca="1">IFERROR(LOOKUP(2,1/(('Match Log'!$D$4:$D$1510=$A13)*('Match Log'!$B$4:$B$1510&lt;=$D$4-7)),'Match Log'!$N$4:$N$1510),1000)</f>
        <v>1210.5445492849278</v>
      </c>
      <c r="AM13">
        <f ca="1">SUMIFS('Match Log'!$AC$4:$AC$1510,'Match Log'!$D$4:$D$1510,$A13,'Match Log'!$B$4:$B$1510,"&lt;="&amp;($D$4-7))</f>
        <v>30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1150.6915971839048</v>
      </c>
      <c r="C14">
        <f>IFERROR(INDEX(Engine!$C$2:$C$15,MATCH($A14,Engine!$A$2:$A$15,0)),"")</f>
        <v>1179.0629759580163</v>
      </c>
      <c r="D14">
        <f t="shared" si="0"/>
        <v>6</v>
      </c>
      <c r="E14">
        <f t="shared" si="1"/>
        <v>155.12798593333127</v>
      </c>
      <c r="F14" t="str">
        <f>IFERROR(LOOKUP(2,1/('Match Log'!$D$4:$D$1510=$A14),'Match Log'!$E$4:$E$1510),"")</f>
        <v>Win</v>
      </c>
      <c r="G14">
        <f>IF($F14="",0,SUMPRODUCT(('Match Log'!$D$4:$D$1510=$A14)*(ROW('Match Log'!$A$4:$A$1510)&gt;SUMPRODUCT(MAX(('Match Log'!$D$4:$D$1510=$A14)*('Match Log'!$E$4:$E$1510&lt;&gt;$F14)*ROW('Match Log'!$A$4:$A$1510))))))</f>
        <v>3</v>
      </c>
      <c r="H14" t="str">
        <f t="shared" si="2"/>
        <v>W3</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WLWWW</v>
      </c>
      <c r="J14">
        <f t="shared" ca="1" si="3"/>
        <v>1154.949343848014</v>
      </c>
      <c r="K14">
        <f t="shared" ca="1" si="4"/>
        <v>6</v>
      </c>
      <c r="L14">
        <f t="shared" ca="1" si="5"/>
        <v>1</v>
      </c>
      <c r="M14">
        <f t="shared" si="6"/>
        <v>12</v>
      </c>
      <c r="N14">
        <f t="shared" si="7"/>
        <v>4</v>
      </c>
      <c r="O14">
        <f t="shared" si="8"/>
        <v>3</v>
      </c>
      <c r="P14">
        <f>IFERROR(SUMPRODUCT(MAX(('Match Log'!$D$4:$D$1510=$A14)*'Match Log'!$B$4:$B$1510)),0)</f>
        <v>46325</v>
      </c>
      <c r="Q14">
        <f t="shared" ca="1" si="9"/>
        <v>0.14285714285714285</v>
      </c>
      <c r="R14">
        <f ca="1">IF($P14=0,0,IF($Q14&gt;='Guide &amp; Settings'!$C$48,(INT($Q14-'Guide &amp; Settings'!$C$48)+1)*'Guide &amp; Settings'!$C$49,0))</f>
        <v>0</v>
      </c>
      <c r="S14">
        <f ca="1">$B14-$R14-$U14+SUMIF('Poker Stake Ledger'!$C$18:$C$137,$A14,'Poker Stake Ledger'!$K$18:$K$137)</f>
        <v>1149.3415971839049</v>
      </c>
      <c r="T14" t="str">
        <f ca="1">IF($P14=0,"No games",IF($Q14&gt;='Guide &amp; Settings'!$C$48,"Inactive",IF($Q14&gt;='Guide &amp; Settings'!$C$47,"At risk","Active")))</f>
        <v>Active</v>
      </c>
      <c r="U14">
        <f>SUMIF('Match Log'!$D$4:$D$1510,$A14,'Match Log'!$AC$4:$AC$1510)</f>
        <v>0</v>
      </c>
      <c r="V14">
        <f t="shared" si="10"/>
        <v>0</v>
      </c>
      <c r="W14">
        <f t="shared" ca="1" si="11"/>
        <v>87.335399295976231</v>
      </c>
      <c r="X14">
        <f ca="1">IFERROR(INDEX(Dashboard!$G$5:$G$18,MATCH($A14,Dashboard!$B$5:$B$18,0))*100,0)</f>
        <v>42.134831460674157</v>
      </c>
      <c r="Y14">
        <f ca="1">MIN(100,IFERROR(INDEX(Dashboard!$K$5:$K$18,MATCH($A14,Dashboard!$B$5:$B$18,0)),0)/5*50+$AC14/4*50)</f>
        <v>100</v>
      </c>
      <c r="Z14">
        <f t="shared" si="12"/>
        <v>80</v>
      </c>
      <c r="AA14">
        <f t="shared" si="13"/>
        <v>94.765743989504074</v>
      </c>
      <c r="AB14">
        <f t="shared" ca="1" si="14"/>
        <v>80.47093044467691</v>
      </c>
      <c r="AC14">
        <f>IFERROR(SUMPRODUCT((INDEX('Sport Records'!$B$8:$O$32,0,MATCH($A14,'Sport Records'!$B$7:$O$7,0))&gt;=2)*(INDEX('Sport Records'!$B$62:$O$86,0,MATCH($A14,'Sport Records'!$B$61:$O$61,0))&gt;=0.5)),0)</f>
        <v>5</v>
      </c>
      <c r="AD14">
        <f ca="1">IFERROR(INDEX(Dashboard!$D$5:$D$18,MATCH($A14,Dashboard!$B$5:$B$18,0)),0)</f>
        <v>178</v>
      </c>
      <c r="AE14">
        <f ca="1">IFERROR(INDEX(Dashboard!$K$5:$K$18,MATCH($A14,Dashboard!$B$5:$B$18,0)),0)</f>
        <v>20</v>
      </c>
      <c r="AF14" t="str">
        <f t="shared" ca="1" si="15"/>
        <v>Elite</v>
      </c>
      <c r="AG14">
        <f ca="1">COUNTIFS('Match Log'!$D$4:$D$1510,$A14,'Match Log'!$B$4:$B$1510,"&gt;="&amp;$B$5)</f>
        <v>19</v>
      </c>
      <c r="AH14">
        <f ca="1">COUNTIFS('Match Log'!$D$4:$D$1510,$A14,'Match Log'!$B$4:$B$1510,"&gt;="&amp;$B$5,'Match Log'!$E$4:$E$1510,"Win")</f>
        <v>7</v>
      </c>
      <c r="AI14">
        <f t="shared" ca="1" si="16"/>
        <v>1149.3415985839049</v>
      </c>
      <c r="AK14">
        <f ca="1">_xlfn.MAXIFS('Match Log'!$B$4:$B$1510,'Match Log'!$D$4:$D$1510,$A14,'Match Log'!$B$4:$B$1510,"&lt;="&amp;($D$4-7))</f>
        <v>46319</v>
      </c>
      <c r="AL14">
        <f ca="1">IFERROR(LOOKUP(2,1/(('Match Log'!$D$4:$D$1510=$A14)*('Match Log'!$B$4:$B$1510&lt;=$D$4-7)),'Match Log'!$N$4:$N$1510),1000)</f>
        <v>1156.2993424480139</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1134.6311578846237</v>
      </c>
      <c r="D15">
        <f t="shared" si="0"/>
        <v>3</v>
      </c>
      <c r="E15">
        <f t="shared" si="1"/>
        <v>87.918041390287954</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1177.9015432269482</v>
      </c>
      <c r="K15">
        <f t="shared" ca="1" si="4"/>
        <v>4</v>
      </c>
      <c r="L15">
        <f t="shared" ca="1" si="5"/>
        <v>0</v>
      </c>
      <c r="M15">
        <f t="shared" si="6"/>
        <v>3</v>
      </c>
      <c r="N15">
        <f t="shared" si="7"/>
        <v>3</v>
      </c>
      <c r="O15">
        <f t="shared" si="8"/>
        <v>0</v>
      </c>
      <c r="P15">
        <f>IFERROR(SUMPRODUCT(MAX(('Match Log'!$D$4:$D$1510=$A15)*'Match Log'!$B$4:$B$1510)),0)</f>
        <v>46290</v>
      </c>
      <c r="Q15">
        <f t="shared" ca="1" si="9"/>
        <v>5.1428571428571432</v>
      </c>
      <c r="R15">
        <f ca="1">IF($P15=0,0,IF($Q15&gt;='Guide &amp; Settings'!$C$48,(INT($Q15-'Guide &amp; Settings'!$C$48)+1)*'Guide &amp; Settings'!$C$49,0))</f>
        <v>20</v>
      </c>
      <c r="S15">
        <f ca="1">$B15-$R15-$U15+SUMIF('Poker Stake Ledger'!$C$18:$C$137,$A15,'Poker Stake Ledger'!$K$18:$K$137)</f>
        <v>1167.9015417269482</v>
      </c>
      <c r="T15" t="str">
        <f ca="1">IF($P15=0,"No games",IF($Q15&gt;='Guide &amp; Settings'!$C$48,"Inactive",IF($Q15&gt;='Guide &amp; Settings'!$C$47,"At risk","Active")))</f>
        <v>Inactive</v>
      </c>
      <c r="U15">
        <f>SUMIF('Match Log'!$D$4:$D$1510,$A15,'Match Log'!$AC$4:$AC$1510)</f>
        <v>30</v>
      </c>
      <c r="V15">
        <f t="shared" si="10"/>
        <v>1</v>
      </c>
      <c r="W15">
        <f t="shared" ca="1" si="11"/>
        <v>91.975385431737038</v>
      </c>
      <c r="X15">
        <f ca="1">IFERROR(INDEX(Dashboard!$G$5:$G$18,MATCH($A15,Dashboard!$B$5:$B$18,0))*100,0)</f>
        <v>59.523809523809526</v>
      </c>
      <c r="Y15">
        <f ca="1">MIN(100,IFERROR(INDEX(Dashboard!$K$5:$K$18,MATCH($A15,Dashboard!$B$5:$B$18,0)),0)/5*50+$AC15/4*50)</f>
        <v>100</v>
      </c>
      <c r="Z15">
        <f t="shared" si="12"/>
        <v>60</v>
      </c>
      <c r="AA15">
        <f t="shared" si="13"/>
        <v>83.657789471155922</v>
      </c>
      <c r="AB15">
        <f t="shared" ca="1" si="14"/>
        <v>81.461925752985451</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1167.9015432269482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10</v>
      </c>
    </row>
    <row r="16" spans="1:41" ht="15" customHeight="1" x14ac:dyDescent="0.2">
      <c r="A16" t="s">
        <v>24</v>
      </c>
      <c r="B16">
        <f>IFERROR(INDEX(Engine!$B$2:$B$15,MATCH($A16,Engine!$A$2:$A$15,0)),1000)</f>
        <v>862.22294373677494</v>
      </c>
      <c r="C16">
        <f>IFERROR(INDEX(Engine!$C$2:$C$15,MATCH($A16,Engine!$A$2:$A$15,0)),"")</f>
        <v>1143.0188534100253</v>
      </c>
      <c r="D16">
        <f t="shared" si="0"/>
        <v>14</v>
      </c>
      <c r="E16">
        <f t="shared" si="1"/>
        <v>443.59663938046117</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752.22294533677496</v>
      </c>
      <c r="K16">
        <f t="shared" ca="1" si="4"/>
        <v>14</v>
      </c>
      <c r="L16">
        <f t="shared" ca="1" si="5"/>
        <v>0</v>
      </c>
      <c r="M16">
        <f t="shared" si="6"/>
        <v>1</v>
      </c>
      <c r="N16">
        <f t="shared" si="7"/>
        <v>0</v>
      </c>
      <c r="O16">
        <f t="shared" si="8"/>
        <v>0</v>
      </c>
      <c r="P16">
        <f>IFERROR(SUMPRODUCT(MAX(('Match Log'!$D$4:$D$1510=$A16)*'Match Log'!$B$4:$B$1510)),0)</f>
        <v>46222</v>
      </c>
      <c r="Q16">
        <f t="shared" ca="1" si="9"/>
        <v>14.857142857142858</v>
      </c>
      <c r="R16">
        <f ca="1">IF($P16=0,0,IF($Q16&gt;='Guide &amp; Settings'!$C$48,(INT($Q16-'Guide &amp; Settings'!$C$48)+1)*'Guide &amp; Settings'!$C$49,0))</f>
        <v>110</v>
      </c>
      <c r="S16">
        <f ca="1">$B16-$R16-$U16+SUMIF('Poker Stake Ledger'!$C$18:$C$137,$A16,'Poker Stake Ledger'!$K$18:$K$137)</f>
        <v>742.22294373677494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85.754713352506315</v>
      </c>
      <c r="AB16">
        <f t="shared" ca="1" si="14"/>
        <v>17.242138001917297</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742.22294533677496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100</v>
      </c>
    </row>
    <row r="17" spans="1:41" ht="15" customHeight="1" x14ac:dyDescent="0.2">
      <c r="A17" t="s">
        <v>25</v>
      </c>
      <c r="B17">
        <f>IFERROR(INDEX(Engine!$B$2:$B$15,MATCH($A17,Engine!$A$2:$A$15,0)),1000)</f>
        <v>1016.8465069072693</v>
      </c>
      <c r="C17">
        <f>IFERROR(INDEX(Engine!$C$2:$C$15,MATCH($A17,Engine!$A$2:$A$15,0)),"")</f>
        <v>1159.0985927625284</v>
      </c>
      <c r="D17">
        <f t="shared" si="0"/>
        <v>10</v>
      </c>
      <c r="E17">
        <f t="shared" si="1"/>
        <v>288.97307620996685</v>
      </c>
      <c r="F17" t="str">
        <f>IFERROR(LOOKUP(2,1/('Match Log'!$D$4:$D$1510=$A17),'Match Log'!$E$4:$E$1510),"")</f>
        <v>Win</v>
      </c>
      <c r="G17">
        <f>IF($F17="",0,SUMPRODUCT(('Match Log'!$D$4:$D$1510=$A17)*(ROW('Match Log'!$A$4:$A$1510)&gt;SUMPRODUCT(MAX(('Match Log'!$D$4:$D$1510=$A17)*('Match Log'!$E$4:$E$1510&lt;&gt;$F17)*ROW('Match Log'!$A$4:$A$1510))))))</f>
        <v>2</v>
      </c>
      <c r="H17" t="str">
        <f t="shared" si="2"/>
        <v>W2</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WLLWW</v>
      </c>
      <c r="J17">
        <f t="shared" ca="1" si="3"/>
        <v>972.2101113246938</v>
      </c>
      <c r="K17">
        <f t="shared" ca="1" si="4"/>
        <v>10</v>
      </c>
      <c r="L17">
        <f t="shared" ca="1" si="5"/>
        <v>2</v>
      </c>
      <c r="M17">
        <f t="shared" si="6"/>
        <v>5</v>
      </c>
      <c r="N17">
        <f t="shared" si="7"/>
        <v>3</v>
      </c>
      <c r="O17">
        <f t="shared" si="8"/>
        <v>2</v>
      </c>
      <c r="P17">
        <f>IFERROR(SUMPRODUCT(MAX(('Match Log'!$D$4:$D$1510=$A17)*'Match Log'!$B$4:$B$1510)),0)</f>
        <v>46323</v>
      </c>
      <c r="Q17">
        <f t="shared" ca="1" si="9"/>
        <v>0.42857142857142855</v>
      </c>
      <c r="R17">
        <f ca="1">IF($P17=0,0,IF($Q17&gt;='Guide &amp; Settings'!$C$48,(INT($Q17-'Guide &amp; Settings'!$C$48)+1)*'Guide &amp; Settings'!$C$49,0))</f>
        <v>0</v>
      </c>
      <c r="S17">
        <f ca="1">$B17-$R17-$U17+SUMIF('Poker Stake Ledger'!$C$18:$C$137,$A17,'Poker Stake Ledger'!$K$18:$K$137)</f>
        <v>1016.8465069072693</v>
      </c>
      <c r="T17" t="str">
        <f ca="1">IF($P17=0,"No games",IF($Q17&gt;='Guide &amp; Settings'!$C$48,"Inactive",IF($Q17&gt;='Guide &amp; Settings'!$C$47,"At risk","Active")))</f>
        <v>Active</v>
      </c>
      <c r="U17">
        <f>SUMIF('Match Log'!$D$4:$D$1510,$A17,'Match Log'!$AC$4:$AC$1510)</f>
        <v>0</v>
      </c>
      <c r="V17">
        <f t="shared" si="10"/>
        <v>0</v>
      </c>
      <c r="W17">
        <f t="shared" ca="1" si="11"/>
        <v>54.211626726817315</v>
      </c>
      <c r="X17">
        <f ca="1">IFERROR(INDEX(Dashboard!$G$5:$G$18,MATCH($A17,Dashboard!$B$5:$B$18,0))*100,0)</f>
        <v>37.234042553191486</v>
      </c>
      <c r="Y17">
        <f ca="1">MIN(100,IFERROR(INDEX(Dashboard!$K$5:$K$18,MATCH($A17,Dashboard!$B$5:$B$18,0)),0)/5*50+$AC17/4*50)</f>
        <v>100</v>
      </c>
      <c r="Z17">
        <f t="shared" si="12"/>
        <v>60</v>
      </c>
      <c r="AA17">
        <f t="shared" si="13"/>
        <v>89.774648190632092</v>
      </c>
      <c r="AB17">
        <f t="shared" ca="1" si="14"/>
        <v>64.398342684087567</v>
      </c>
      <c r="AC17">
        <f>IFERROR(SUMPRODUCT((INDEX('Sport Records'!$B$8:$O$32,0,MATCH($A17,'Sport Records'!$B$7:$O$7,0))&gt;=2)*(INDEX('Sport Records'!$B$62:$O$86,0,MATCH($A17,'Sport Records'!$B$61:$O$61,0))&gt;=0.5)),0)</f>
        <v>3</v>
      </c>
      <c r="AD17">
        <f ca="1">IFERROR(INDEX(Dashboard!$D$5:$D$18,MATCH($A17,Dashboard!$B$5:$B$18,0)),0)</f>
        <v>94</v>
      </c>
      <c r="AE17">
        <f ca="1">IFERROR(INDEX(Dashboard!$K$5:$K$18,MATCH($A17,Dashboard!$B$5:$B$18,0)),0)</f>
        <v>14</v>
      </c>
      <c r="AF17" t="str">
        <f t="shared" ca="1" si="15"/>
        <v>Strong</v>
      </c>
      <c r="AG17">
        <f ca="1">COUNTIFS('Match Log'!$D$4:$D$1510,$A17,'Match Log'!$B$4:$B$1510,"&gt;="&amp;$B$5)</f>
        <v>9</v>
      </c>
      <c r="AH17">
        <f ca="1">COUNTIFS('Match Log'!$D$4:$D$1510,$A17,'Match Log'!$B$4:$B$1510,"&gt;="&amp;$B$5,'Match Log'!$E$4:$E$1510,"Win")</f>
        <v>5</v>
      </c>
      <c r="AI17">
        <f t="shared" ca="1" si="16"/>
        <v>1016.8465086072692</v>
      </c>
      <c r="AK17">
        <f ca="1">_xlfn.MAXIFS('Match Log'!$B$4:$B$1510,'Match Log'!$D$4:$D$1510,$A17,'Match Log'!$B$4:$B$1510,"&lt;="&amp;($D$4-7))</f>
        <v>46319</v>
      </c>
      <c r="AL17">
        <f ca="1">IFERROR(LOOKUP(2,1/(('Match Log'!$D$4:$D$1510=$A17)*('Match Log'!$B$4:$B$1510&lt;=$D$4-7)),'Match Log'!$N$4:$N$1510),1000)</f>
        <v>972.21010962469381</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1064.2869798362001</v>
      </c>
      <c r="D18">
        <f t="shared" si="0"/>
        <v>7</v>
      </c>
      <c r="E18">
        <f t="shared" si="1"/>
        <v>218.27068841075061</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1017.5488965064854</v>
      </c>
      <c r="K18">
        <f t="shared" ca="1" si="4"/>
        <v>8</v>
      </c>
      <c r="L18">
        <f t="shared" ca="1" si="5"/>
        <v>-1</v>
      </c>
      <c r="M18">
        <f t="shared" si="6"/>
        <v>2</v>
      </c>
      <c r="N18">
        <f t="shared" si="7"/>
        <v>3</v>
      </c>
      <c r="O18">
        <f t="shared" si="8"/>
        <v>1</v>
      </c>
      <c r="P18">
        <f>IFERROR(SUMPRODUCT(MAX(('Match Log'!$D$4:$D$1510=$A18)*'Match Log'!$B$4:$B$1510)),0)</f>
        <v>46249</v>
      </c>
      <c r="Q18">
        <f t="shared" ca="1" si="9"/>
        <v>11</v>
      </c>
      <c r="R18">
        <f ca="1">IF($P18=0,0,IF($Q18&gt;='Guide &amp; Settings'!$C$48,(INT($Q18-'Guide &amp; Settings'!$C$48)+1)*'Guide &amp; Settings'!$C$49,0))</f>
        <v>80</v>
      </c>
      <c r="S18">
        <f ca="1">$B18-$R18-$U18+SUMIF('Poker Stake Ledger'!$C$18:$C$137,$A18,'Poker Stake Ledger'!$K$18:$K$137)</f>
        <v>1007.5488947064855</v>
      </c>
      <c r="T18" t="str">
        <f ca="1">IF($P18=0,"No games",IF($Q18&gt;='Guide &amp; Settings'!$C$48,"Inactive",IF($Q18&gt;='Guide &amp; Settings'!$C$47,"At risk","Active")))</f>
        <v>Inactive</v>
      </c>
      <c r="U18">
        <f>SUMIF('Match Log'!$D$4:$D$1510,$A18,'Match Log'!$AC$4:$AC$1510)</f>
        <v>0</v>
      </c>
      <c r="V18">
        <f t="shared" si="10"/>
        <v>0</v>
      </c>
      <c r="W18">
        <f t="shared" ca="1" si="11"/>
        <v>51.887223676621375</v>
      </c>
      <c r="X18">
        <f ca="1">IFERROR(INDEX(Dashboard!$G$5:$G$18,MATCH($A18,Dashboard!$B$5:$B$18,0))*100,0)</f>
        <v>46.666666666666664</v>
      </c>
      <c r="Y18">
        <f ca="1">MIN(100,IFERROR(INDEX(Dashboard!$K$5:$K$18,MATCH($A18,Dashboard!$B$5:$B$18,0)),0)/5*50+$AC18/4*50)</f>
        <v>65</v>
      </c>
      <c r="Z18">
        <f t="shared" si="12"/>
        <v>60</v>
      </c>
      <c r="AA18">
        <f t="shared" si="13"/>
        <v>66.071744959050022</v>
      </c>
      <c r="AB18">
        <f t="shared" ca="1" si="14"/>
        <v>56.101036116055823</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Mid</v>
      </c>
      <c r="AG18">
        <f ca="1">COUNTIFS('Match Log'!$D$4:$D$1510,$A18,'Match Log'!$B$4:$B$1510,"&gt;="&amp;$B$5)</f>
        <v>0</v>
      </c>
      <c r="AH18">
        <f ca="1">COUNTIFS('Match Log'!$D$4:$D$1510,$A18,'Match Log'!$B$4:$B$1510,"&gt;="&amp;$B$5,'Match Log'!$E$4:$E$1510,"Win")</f>
        <v>0</v>
      </c>
      <c r="AI18">
        <f t="shared" ca="1" si="16"/>
        <v>1007.5488965064854</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70</v>
      </c>
    </row>
    <row r="19" spans="1:41" ht="15" customHeight="1" x14ac:dyDescent="0.2">
      <c r="A19" t="s">
        <v>27</v>
      </c>
      <c r="B19">
        <f>IFERROR(INDEX(Engine!$B$2:$B$15,MATCH($A19,Engine!$A$2:$A$15,0)),1000)</f>
        <v>1010.5072402821568</v>
      </c>
      <c r="C19">
        <f>IFERROR(INDEX(Engine!$C$2:$C$15,MATCH($A19,Engine!$A$2:$A$15,0)),"")</f>
        <v>1111.0628839164388</v>
      </c>
      <c r="D19">
        <f t="shared" si="0"/>
        <v>11</v>
      </c>
      <c r="E19">
        <f t="shared" si="1"/>
        <v>295.31234283507933</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970.5072421821568</v>
      </c>
      <c r="K19">
        <f t="shared" ca="1" si="4"/>
        <v>11</v>
      </c>
      <c r="L19">
        <f t="shared" ca="1" si="5"/>
        <v>0</v>
      </c>
      <c r="M19">
        <f t="shared" si="6"/>
        <v>0</v>
      </c>
      <c r="N19">
        <f t="shared" si="7"/>
        <v>0</v>
      </c>
      <c r="O19">
        <f t="shared" si="8"/>
        <v>0</v>
      </c>
      <c r="P19">
        <f>IFERROR(SUMPRODUCT(MAX(('Match Log'!$D$4:$D$1510=$A19)*'Match Log'!$B$4:$B$1510)),0)</f>
        <v>46298</v>
      </c>
      <c r="Q19">
        <f t="shared" ca="1" si="9"/>
        <v>4</v>
      </c>
      <c r="R19">
        <f ca="1">IF($P19=0,0,IF($Q19&gt;='Guide &amp; Settings'!$C$48,(INT($Q19-'Guide &amp; Settings'!$C$48)+1)*'Guide &amp; Settings'!$C$49,0))</f>
        <v>10</v>
      </c>
      <c r="S19">
        <f ca="1">$B19-$R19-$U19+SUMIF('Poker Stake Ledger'!$C$18:$C$137,$A19,'Poker Stake Ledger'!$K$18:$K$137)</f>
        <v>960.50724028215677</v>
      </c>
      <c r="T19" t="str">
        <f ca="1">IF($P19=0,"No games",IF($Q19&gt;='Guide &amp; Settings'!$C$48,"Inactive",IF($Q19&gt;='Guide &amp; Settings'!$C$47,"At risk","Active")))</f>
        <v>Inactive</v>
      </c>
      <c r="U19">
        <f>SUMIF('Match Log'!$D$4:$D$1510,$A19,'Match Log'!$AC$4:$AC$1510)</f>
        <v>40</v>
      </c>
      <c r="V19">
        <f t="shared" si="10"/>
        <v>8</v>
      </c>
      <c r="W19">
        <f t="shared" ca="1" si="11"/>
        <v>40.126810070539193</v>
      </c>
      <c r="X19">
        <f ca="1">IFERROR(INDEX(Dashboard!$G$5:$G$18,MATCH($A19,Dashboard!$B$5:$B$18,0))*100,0)</f>
        <v>35.294117647058826</v>
      </c>
      <c r="Y19">
        <f ca="1">MIN(100,IFERROR(INDEX(Dashboard!$K$5:$K$18,MATCH($A19,Dashboard!$B$5:$B$18,0)),0)/5*50+$AC19/4*50)</f>
        <v>75</v>
      </c>
      <c r="Z19">
        <f t="shared" si="12"/>
        <v>0</v>
      </c>
      <c r="AA19">
        <f t="shared" si="13"/>
        <v>77.765720979109688</v>
      </c>
      <c r="AB19">
        <f t="shared" ca="1" si="14"/>
        <v>43.879779152011452</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Developing</v>
      </c>
      <c r="AG19">
        <f ca="1">COUNTIFS('Match Log'!$D$4:$D$1510,$A19,'Match Log'!$B$4:$B$1510,"&gt;="&amp;$B$5)</f>
        <v>0</v>
      </c>
      <c r="AH19">
        <f ca="1">COUNTIFS('Match Log'!$D$4:$D$1510,$A19,'Match Log'!$B$4:$B$1510,"&gt;="&amp;$B$5,'Match Log'!$E$4:$E$1510,"Win")</f>
        <v>0</v>
      </c>
      <c r="AI19">
        <f t="shared" ca="1" si="16"/>
        <v>960.5072421821568</v>
      </c>
      <c r="AK19">
        <f ca="1">_xlfn.MAXIFS('Match Log'!$B$4:$B$1510,'Match Log'!$D$4:$D$1510,$A19,'Match Log'!$B$4:$B$1510,"&lt;="&amp;($D$4-7))</f>
        <v>46298</v>
      </c>
      <c r="AL19">
        <f ca="1">IFERROR(LOOKUP(2,1/(('Match Log'!$D$4:$D$1510=$A19)*('Match Log'!$B$4:$B$1510&lt;=$D$4-7)),'Match Log'!$N$4:$N$1510),1000)</f>
        <v>1010.5072402821568</v>
      </c>
      <c r="AM19">
        <f ca="1">SUMIFS('Match Log'!$AC$4:$AC$1510,'Match Log'!$D$4:$D$1510,$A19,'Match Log'!$B$4:$B$1510,"&lt;="&amp;($D$4-7))</f>
        <v>40</v>
      </c>
      <c r="AN19">
        <f ca="1">SUMIFS('Poker Stake Ledger'!$K$18:$K$137,'Poker Stake Ledger'!$C$18:$C$137,$A19,'Poker Stake Ledger'!$B$18:$B$137,"&lt;="&amp;($D$4-7))</f>
        <v>0</v>
      </c>
      <c r="AO19">
        <f ca="1">IF($AK19=0,0,IF(($D$4-7-$AK19)/7&gt;='Guide &amp; Settings'!$C$48,(INT(($D$4-7-$AK19)/7-'Guide &amp; Settings'!$C$48)+1)*'Guide &amp; Settings'!$C$49,0))</f>
        <v>0</v>
      </c>
    </row>
    <row r="20" spans="1:41" ht="15" customHeight="1" x14ac:dyDescent="0.2">
      <c r="A20" t="s">
        <v>28</v>
      </c>
      <c r="B20">
        <f>IFERROR(INDEX(Engine!$B$2:$B$15,MATCH($A20,Engine!$A$2:$A$15,0)),1000)</f>
        <v>1000</v>
      </c>
      <c r="C20" t="str">
        <f>IFERROR(INDEX(Engine!$C$2:$C$15,MATCH($A20,Engine!$A$2:$A$15,0)),"")</f>
        <v/>
      </c>
      <c r="D20">
        <f t="shared" si="0"/>
        <v>12</v>
      </c>
      <c r="E20">
        <f t="shared" si="1"/>
        <v>305.81958311723611</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t="str">
        <f t="shared" ca="1" si="31"/>
        <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t="str">
        <f t="shared" ca="1" si="31"/>
        <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t="str">
        <f t="shared" ca="1" si="31"/>
        <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t="str">
        <f t="shared" ca="1" si="31"/>
        <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t="str">
        <f t="shared" ca="1" si="31"/>
        <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t="str">
        <f t="shared" ca="1" si="31"/>
        <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t="str">
        <f t="shared" ca="1" si="31"/>
        <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t="str">
        <f t="shared" ca="1" si="31"/>
        <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t="str">
        <f t="shared" ca="1" si="31"/>
        <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t="str">
        <f t="shared" ca="1" si="31"/>
        <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t="str">
        <f t="shared" ca="1" si="31"/>
        <v/>
      </c>
    </row>
    <row r="342" spans="1:25" x14ac:dyDescent="0.2">
      <c r="A342">
        <v>318</v>
      </c>
      <c r="B342">
        <f>IFERROR(INDEX('Match Log'!$B$4:$B$1510,MATCH($A342,'Match Log'!$A$4:$A$1510,0)),"")</f>
        <v>46303</v>
      </c>
      <c r="C342" t="str">
        <f>IFERROR(INDEX('Match Log'!$C$4:$C$1510,MATCH($A342,'Match Log'!$A$4:$A$1510,0)),"")</f>
        <v>Mario Kart</v>
      </c>
      <c r="D342" t="str">
        <f t="array" ref="D342">IFERROR(_xlfn.TEXTJOIN(" + ",TRUE(),IF(('Match Log'!$A$4:$A$1510=$A342)*('Match Log'!$E$4:$E$1510="Win"),'Match Log'!$D$4:$D$1510,"")),IFERROR(LOOKUP(2,1/(('Match Log'!$A$4:$A$1510=$A342)*('Match Log'!$E$4:$E$1510="Win")),'Match Log'!$D$4:$D$1510),""))</f>
        <v>Oscar</v>
      </c>
      <c r="E342">
        <f>IFERROR(INDEX('Match Log'!$F$4:$F$1510,MATCH($A342,'Match Log'!$A$4:$A$1510,0)),"")</f>
        <v>2</v>
      </c>
      <c r="F342">
        <f>IFERROR(SUMIFS('Match Log'!$I$4:$I$1510,'Match Log'!$A$4:$A$1510,$A342,'Match Log'!$E$4:$E$1510,"Win"),"")</f>
        <v>0.91719745222929938</v>
      </c>
      <c r="G342">
        <f t="shared" si="29"/>
        <v>-0.83439490445859876</v>
      </c>
      <c r="H342" t="str">
        <f t="array" ref="H342">IFERROR(IF(COUNTIFS('Match Log'!$A$4:$A$1510,$A342,'Match Log'!$E$4:$E$1510,"Win")&gt;1,_xlfn.TEXTJOIN(" + ",TRUE(),IF(('Match Log'!$A$4:$A$1510=$A342)*('Match Log'!$E$4:$E$1510="Loss"),'Match Log'!$D$4:$D$1510,"")),IF($E342=2,LOOKUP(2,1/(('Match Log'!$A$4:$A$1510=$A342)*('Match Log'!$E$4:$E$1510="Loss")),'Match Log'!$D$4:$D$1510),"the field")),"")</f>
        <v>Shawn</v>
      </c>
      <c r="I342">
        <f t="shared" si="30"/>
        <v>-0.8347129044585988</v>
      </c>
      <c r="J342">
        <v>318</v>
      </c>
      <c r="K342">
        <f>IF($J342&gt;MAX('Match Log'!$A$4:$A$1510),NA(),IFERROR(LOOKUP(2,1/(('Match Log'!$D$4:$D$1510=$K$24)*('Match Log'!$A$4:$A$1510&lt;=$J342)),'Match Log'!$N$4:$N$1510),NA()))</f>
        <v>1209.6766156390552</v>
      </c>
      <c r="L342">
        <f>IF($J342&gt;MAX('Match Log'!$A$4:$A$1510),NA(),IFERROR(LOOKUP(2,1/(('Match Log'!$D$4:$D$1510=$L$24)*('Match Log'!$A$4:$A$1510&lt;=$J342)),'Match Log'!$N$4:$N$1510),NA()))</f>
        <v>1029.5175965335138</v>
      </c>
      <c r="M342">
        <f>IF($J342&gt;MAX('Match Log'!$A$4:$A$1510),NA(),IFERROR(LOOKUP(2,1/(('Match Log'!$D$4:$D$1510=$M$24)*('Match Log'!$A$4:$A$1510&lt;=$J342)),'Match Log'!$N$4:$N$1510),NA()))</f>
        <v>1048.0761030598392</v>
      </c>
      <c r="N342">
        <f>IF($J342&gt;MAX('Match Log'!$A$4:$A$1510),NA(),IFERROR(LOOKUP(2,1/(('Match Log'!$D$4:$D$1510=$N$24)*('Match Log'!$A$4:$A$1510&lt;=$J342)),'Match Log'!$N$4:$N$1510),NA()))</f>
        <v>907.03133644117429</v>
      </c>
      <c r="O342">
        <f>IF($J342&gt;MAX('Match Log'!$A$4:$A$1510),NA(),IFERROR(LOOKUP(2,1/(('Match Log'!$D$4:$D$1510=$O$24)*('Match Log'!$A$4:$A$1510&lt;=$J342)),'Match Log'!$N$4:$N$1510),NA()))</f>
        <v>1233.497020705217</v>
      </c>
      <c r="P342">
        <f>IF($J342&gt;MAX('Match Log'!$A$4:$A$1510),NA(),IFERROR(LOOKUP(2,1/(('Match Log'!$D$4:$D$1510=$P$24)*('Match Log'!$A$4:$A$1510&lt;=$J342)),'Match Log'!$N$4:$N$1510),NA()))</f>
        <v>1208.4544096093366</v>
      </c>
      <c r="Q342">
        <f>IF($J342&gt;MAX('Match Log'!$A$4:$A$1510),NA(),IFERROR(LOOKUP(2,1/(('Match Log'!$D$4:$D$1510=$Q$24)*('Match Log'!$A$4:$A$1510&lt;=$J342)),'Match Log'!$N$4:$N$1510),NA()))</f>
        <v>1215.996181687143</v>
      </c>
      <c r="R342">
        <f>IF($J342&gt;MAX('Match Log'!$A$4:$A$1510),NA(),IFERROR(LOOKUP(2,1/(('Match Log'!$D$4:$D$1510=$R$24)*('Match Log'!$A$4:$A$1510&lt;=$J342)),'Match Log'!$N$4:$N$1510),NA()))</f>
        <v>1209.3527190435154</v>
      </c>
      <c r="S342">
        <f>IF($J342&gt;MAX('Match Log'!$A$4:$A$1510),NA(),IFERROR(LOOKUP(2,1/(('Match Log'!$D$4:$D$1510=$S$24)*('Match Log'!$A$4:$A$1510&lt;=$J342)),'Match Log'!$N$4:$N$1510),NA()))</f>
        <v>1217.9015417269482</v>
      </c>
      <c r="T342">
        <f>IF($J342&gt;MAX('Match Log'!$A$4:$A$1510),NA(),IFERROR(LOOKUP(2,1/(('Match Log'!$D$4:$D$1510=$T$24)*('Match Log'!$A$4:$A$1510&lt;=$J342)),'Match Log'!$N$4:$N$1510),NA()))</f>
        <v>862.22294373677494</v>
      </c>
      <c r="U342">
        <f>IF($J342&gt;MAX('Match Log'!$A$4:$A$1510),NA(),IFERROR(LOOKUP(2,1/(('Match Log'!$D$4:$D$1510=$U$24)*('Match Log'!$A$4:$A$1510&lt;=$J342)),'Match Log'!$N$4:$N$1510),NA()))</f>
        <v>981.21739682883947</v>
      </c>
      <c r="V342">
        <f>IF($J342&gt;MAX('Match Log'!$A$4:$A$1510),NA(),IFERROR(LOOKUP(2,1/(('Match Log'!$D$4:$D$1510=$V$24)*('Match Log'!$A$4:$A$1510&lt;=$J342)),'Match Log'!$N$4:$N$1510),NA()))</f>
        <v>1087.5488947064855</v>
      </c>
      <c r="W342">
        <f>IF($J342&gt;MAX('Match Log'!$A$4:$A$1510),NA(),IFERROR(LOOKUP(2,1/(('Match Log'!$D$4:$D$1510=$W$24)*('Match Log'!$A$4:$A$1510&lt;=$J342)),'Match Log'!$N$4:$N$1510),NA()))</f>
        <v>1010.5072402821568</v>
      </c>
      <c r="X342" t="e">
        <f>IF($J342&gt;MAX('Match Log'!$A$4:$A$1510),NA(),IFERROR(LOOKUP(2,1/(('Match Log'!$D$4:$D$1510=$X$24)*('Match Log'!$A$4:$A$1510&lt;=$J342)),'Match Log'!$N$4:$N$1510),NA()))</f>
        <v>#N/A</v>
      </c>
      <c r="Y342" t="str">
        <f t="shared" ca="1" si="31"/>
        <v/>
      </c>
    </row>
    <row r="343" spans="1:25" x14ac:dyDescent="0.2">
      <c r="A343">
        <v>319</v>
      </c>
      <c r="B343">
        <f>IFERROR(INDEX('Match Log'!$B$4:$B$1510,MATCH($A343,'Match Log'!$A$4:$A$1510,0)),"")</f>
        <v>46303</v>
      </c>
      <c r="C343" t="str">
        <f>IFERROR(INDEX('Match Log'!$C$4:$C$1510,MATCH($A343,'Match Log'!$A$4:$A$1510,0)),"")</f>
        <v>Mario Kart</v>
      </c>
      <c r="D343" t="str">
        <f t="array" ref="D343">IFERROR(_xlfn.TEXTJOIN(" + ",TRUE(),IF(('Match Log'!$A$4:$A$1510=$A343)*('Match Log'!$E$4:$E$1510="Win"),'Match Log'!$D$4:$D$1510,"")),IFERROR(LOOKUP(2,1/(('Match Log'!$A$4:$A$1510=$A343)*('Match Log'!$E$4:$E$1510="Win")),'Match Log'!$D$4:$D$1510),""))</f>
        <v>Shawn</v>
      </c>
      <c r="E343">
        <f>IFERROR(INDEX('Match Log'!$F$4:$F$1510,MATCH($A343,'Match Log'!$A$4:$A$1510,0)),"")</f>
        <v>2</v>
      </c>
      <c r="F343">
        <f>IFERROR(SUMIFS('Match Log'!$I$4:$I$1510,'Match Log'!$A$4:$A$1510,$A343,'Match Log'!$E$4:$E$1510,"Win"),"")</f>
        <v>7.6086956521739121E-2</v>
      </c>
      <c r="G343">
        <f t="shared" si="29"/>
        <v>0.84782608695652173</v>
      </c>
      <c r="H343" t="str">
        <f t="array" ref="H343">IFERROR(IF(COUNTIFS('Match Log'!$A$4:$A$1510,$A343,'Match Log'!$E$4:$E$1510,"Win")&gt;1,_xlfn.TEXTJOIN(" + ",TRUE(),IF(('Match Log'!$A$4:$A$1510=$A343)*('Match Log'!$E$4:$E$1510="Loss"),'Match Log'!$D$4:$D$1510,"")),IF($E343=2,LOOKUP(2,1/(('Match Log'!$A$4:$A$1510=$A343)*('Match Log'!$E$4:$E$1510="Loss")),'Match Log'!$D$4:$D$1510),"the field")),"")</f>
        <v>Oscar</v>
      </c>
      <c r="I343">
        <f t="shared" si="30"/>
        <v>0.84750708695652177</v>
      </c>
      <c r="J343">
        <v>319</v>
      </c>
      <c r="K343">
        <f>IF($J343&gt;MAX('Match Log'!$A$4:$A$1510),NA(),IFERROR(LOOKUP(2,1/(('Match Log'!$D$4:$D$1510=$K$24)*('Match Log'!$A$4:$A$1510&lt;=$J343)),'Match Log'!$N$4:$N$1510),NA()))</f>
        <v>1209.6766156390552</v>
      </c>
      <c r="L343">
        <f>IF($J343&gt;MAX('Match Log'!$A$4:$A$1510),NA(),IFERROR(LOOKUP(2,1/(('Match Log'!$D$4:$D$1510=$L$24)*('Match Log'!$A$4:$A$1510&lt;=$J343)),'Match Log'!$N$4:$N$1510),NA()))</f>
        <v>1029.5175965335138</v>
      </c>
      <c r="M343">
        <f>IF($J343&gt;MAX('Match Log'!$A$4:$A$1510),NA(),IFERROR(LOOKUP(2,1/(('Match Log'!$D$4:$D$1510=$M$24)*('Match Log'!$A$4:$A$1510&lt;=$J343)),'Match Log'!$N$4:$N$1510),NA()))</f>
        <v>1048.0761030598392</v>
      </c>
      <c r="N343">
        <f>IF($J343&gt;MAX('Match Log'!$A$4:$A$1510),NA(),IFERROR(LOOKUP(2,1/(('Match Log'!$D$4:$D$1510=$N$24)*('Match Log'!$A$4:$A$1510&lt;=$J343)),'Match Log'!$N$4:$N$1510),NA()))</f>
        <v>907.03133644117429</v>
      </c>
      <c r="O343">
        <f>IF($J343&gt;MAX('Match Log'!$A$4:$A$1510),NA(),IFERROR(LOOKUP(2,1/(('Match Log'!$D$4:$D$1510=$O$24)*('Match Log'!$A$4:$A$1510&lt;=$J343)),'Match Log'!$N$4:$N$1510),NA()))</f>
        <v>1233.497020705217</v>
      </c>
      <c r="P343">
        <f>IF($J343&gt;MAX('Match Log'!$A$4:$A$1510),NA(),IFERROR(LOOKUP(2,1/(('Match Log'!$D$4:$D$1510=$P$24)*('Match Log'!$A$4:$A$1510&lt;=$J343)),'Match Log'!$N$4:$N$1510),NA()))</f>
        <v>1240.5972700779639</v>
      </c>
      <c r="Q343">
        <f>IF($J343&gt;MAX('Match Log'!$A$4:$A$1510),NA(),IFERROR(LOOKUP(2,1/(('Match Log'!$D$4:$D$1510=$Q$24)*('Match Log'!$A$4:$A$1510&lt;=$J343)),'Match Log'!$N$4:$N$1510),NA()))</f>
        <v>1215.996181687143</v>
      </c>
      <c r="R343">
        <f>IF($J343&gt;MAX('Match Log'!$A$4:$A$1510),NA(),IFERROR(LOOKUP(2,1/(('Match Log'!$D$4:$D$1510=$R$24)*('Match Log'!$A$4:$A$1510&lt;=$J343)),'Match Log'!$N$4:$N$1510),NA()))</f>
        <v>1209.3527190435154</v>
      </c>
      <c r="S343">
        <f>IF($J343&gt;MAX('Match Log'!$A$4:$A$1510),NA(),IFERROR(LOOKUP(2,1/(('Match Log'!$D$4:$D$1510=$S$24)*('Match Log'!$A$4:$A$1510&lt;=$J343)),'Match Log'!$N$4:$N$1510),NA()))</f>
        <v>1217.9015417269482</v>
      </c>
      <c r="T343">
        <f>IF($J343&gt;MAX('Match Log'!$A$4:$A$1510),NA(),IFERROR(LOOKUP(2,1/(('Match Log'!$D$4:$D$1510=$T$24)*('Match Log'!$A$4:$A$1510&lt;=$J343)),'Match Log'!$N$4:$N$1510),NA()))</f>
        <v>862.22294373677494</v>
      </c>
      <c r="U343">
        <f>IF($J343&gt;MAX('Match Log'!$A$4:$A$1510),NA(),IFERROR(LOOKUP(2,1/(('Match Log'!$D$4:$D$1510=$U$24)*('Match Log'!$A$4:$A$1510&lt;=$J343)),'Match Log'!$N$4:$N$1510),NA()))</f>
        <v>949.07453636021216</v>
      </c>
      <c r="V343">
        <f>IF($J343&gt;MAX('Match Log'!$A$4:$A$1510),NA(),IFERROR(LOOKUP(2,1/(('Match Log'!$D$4:$D$1510=$V$24)*('Match Log'!$A$4:$A$1510&lt;=$J343)),'Match Log'!$N$4:$N$1510),NA()))</f>
        <v>1087.5488947064855</v>
      </c>
      <c r="W343">
        <f>IF($J343&gt;MAX('Match Log'!$A$4:$A$1510),NA(),IFERROR(LOOKUP(2,1/(('Match Log'!$D$4:$D$1510=$W$24)*('Match Log'!$A$4:$A$1510&lt;=$J343)),'Match Log'!$N$4:$N$1510),NA()))</f>
        <v>1010.5072402821568</v>
      </c>
      <c r="X343" t="e">
        <f>IF($J343&gt;MAX('Match Log'!$A$4:$A$1510),NA(),IFERROR(LOOKUP(2,1/(('Match Log'!$D$4:$D$1510=$X$24)*('Match Log'!$A$4:$A$1510&lt;=$J343)),'Match Log'!$N$4:$N$1510),NA()))</f>
        <v>#N/A</v>
      </c>
      <c r="Y343" t="str">
        <f t="shared" ca="1" si="31"/>
        <v/>
      </c>
    </row>
    <row r="344" spans="1:25" x14ac:dyDescent="0.2">
      <c r="A344">
        <v>320</v>
      </c>
      <c r="B344">
        <f>IFERROR(INDEX('Match Log'!$B$4:$B$1510,MATCH($A344,'Match Log'!$A$4:$A$1510,0)),"")</f>
        <v>46303</v>
      </c>
      <c r="C344" t="str">
        <f>IFERROR(INDEX('Match Log'!$C$4:$C$1510,MATCH($A344,'Match Log'!$A$4:$A$1510,0)),"")</f>
        <v>Pool</v>
      </c>
      <c r="D344" t="str">
        <f t="array" ref="D344">IFERROR(_xlfn.TEXTJOIN(" + ",TRUE(),IF(('Match Log'!$A$4:$A$1510=$A344)*('Match Log'!$E$4:$E$1510="Win"),'Match Log'!$D$4:$D$1510,"")),IFERROR(LOOKUP(2,1/(('Match Log'!$A$4:$A$1510=$A344)*('Match Log'!$E$4:$E$1510="Win")),'Match Log'!$D$4:$D$1510),""))</f>
        <v>Josh</v>
      </c>
      <c r="E344">
        <f>IFERROR(INDEX('Match Log'!$F$4:$F$1510,MATCH($A344,'Match Log'!$A$4:$A$1510,0)),"")</f>
        <v>2</v>
      </c>
      <c r="F344">
        <f>IFERROR(SUMIFS('Match Log'!$I$4:$I$1510,'Match Log'!$A$4:$A$1510,$A344,'Match Log'!$E$4:$E$1510,"Win"),"")</f>
        <v>0.52</v>
      </c>
      <c r="G344">
        <f t="shared" si="29"/>
        <v>-4.0000000000000036E-2</v>
      </c>
      <c r="H344" t="str">
        <f t="array" ref="H344">IFERROR(IF(COUNTIFS('Match Log'!$A$4:$A$1510,$A344,'Match Log'!$E$4:$E$1510,"Win")&gt;1,_xlfn.TEXTJOIN(" + ",TRUE(),IF(('Match Log'!$A$4:$A$1510=$A344)*('Match Log'!$E$4:$E$1510="Loss"),'Match Log'!$D$4:$D$1510,"")),IF($E344=2,LOOKUP(2,1/(('Match Log'!$A$4:$A$1510=$A344)*('Match Log'!$E$4:$E$1510="Loss")),'Match Log'!$D$4:$D$1510),"the field")),"")</f>
        <v>Daniel (Ferret)</v>
      </c>
      <c r="I344">
        <f t="shared" si="30"/>
        <v>-4.0320000000000036E-2</v>
      </c>
      <c r="J344">
        <v>320</v>
      </c>
      <c r="K344">
        <f>IF($J344&gt;MAX('Match Log'!$A$4:$A$1510),NA(),IFERROR(LOOKUP(2,1/(('Match Log'!$D$4:$D$1510=$K$24)*('Match Log'!$A$4:$A$1510&lt;=$J344)),'Match Log'!$N$4:$N$1510),NA()))</f>
        <v>1209.6766156390552</v>
      </c>
      <c r="L344">
        <f>IF($J344&gt;MAX('Match Log'!$A$4:$A$1510),NA(),IFERROR(LOOKUP(2,1/(('Match Log'!$D$4:$D$1510=$L$24)*('Match Log'!$A$4:$A$1510&lt;=$J344)),'Match Log'!$N$4:$N$1510),NA()))</f>
        <v>1029.5175965335138</v>
      </c>
      <c r="M344">
        <f>IF($J344&gt;MAX('Match Log'!$A$4:$A$1510),NA(),IFERROR(LOOKUP(2,1/(('Match Log'!$D$4:$D$1510=$M$24)*('Match Log'!$A$4:$A$1510&lt;=$J344)),'Match Log'!$N$4:$N$1510),NA()))</f>
        <v>1048.0761030598392</v>
      </c>
      <c r="N344">
        <f>IF($J344&gt;MAX('Match Log'!$A$4:$A$1510),NA(),IFERROR(LOOKUP(2,1/(('Match Log'!$D$4:$D$1510=$N$24)*('Match Log'!$A$4:$A$1510&lt;=$J344)),'Match Log'!$N$4:$N$1510),NA()))</f>
        <v>907.03133644117429</v>
      </c>
      <c r="O344">
        <f>IF($J344&gt;MAX('Match Log'!$A$4:$A$1510),NA(),IFERROR(LOOKUP(2,1/(('Match Log'!$D$4:$D$1510=$O$24)*('Match Log'!$A$4:$A$1510&lt;=$J344)),'Match Log'!$N$4:$N$1510),NA()))</f>
        <v>1251.9358369946654</v>
      </c>
      <c r="P344">
        <f>IF($J344&gt;MAX('Match Log'!$A$4:$A$1510),NA(),IFERROR(LOOKUP(2,1/(('Match Log'!$D$4:$D$1510=$P$24)*('Match Log'!$A$4:$A$1510&lt;=$J344)),'Match Log'!$N$4:$N$1510),NA()))</f>
        <v>1240.5972700779639</v>
      </c>
      <c r="Q344">
        <f>IF($J344&gt;MAX('Match Log'!$A$4:$A$1510),NA(),IFERROR(LOOKUP(2,1/(('Match Log'!$D$4:$D$1510=$Q$24)*('Match Log'!$A$4:$A$1510&lt;=$J344)),'Match Log'!$N$4:$N$1510),NA()))</f>
        <v>1215.996181687143</v>
      </c>
      <c r="R344">
        <f>IF($J344&gt;MAX('Match Log'!$A$4:$A$1510),NA(),IFERROR(LOOKUP(2,1/(('Match Log'!$D$4:$D$1510=$R$24)*('Match Log'!$A$4:$A$1510&lt;=$J344)),'Match Log'!$N$4:$N$1510),NA()))</f>
        <v>1190.9139027540671</v>
      </c>
      <c r="S344">
        <f>IF($J344&gt;MAX('Match Log'!$A$4:$A$1510),NA(),IFERROR(LOOKUP(2,1/(('Match Log'!$D$4:$D$1510=$S$24)*('Match Log'!$A$4:$A$1510&lt;=$J344)),'Match Log'!$N$4:$N$1510),NA()))</f>
        <v>1217.9015417269482</v>
      </c>
      <c r="T344">
        <f>IF($J344&gt;MAX('Match Log'!$A$4:$A$1510),NA(),IFERROR(LOOKUP(2,1/(('Match Log'!$D$4:$D$1510=$T$24)*('Match Log'!$A$4:$A$1510&lt;=$J344)),'Match Log'!$N$4:$N$1510),NA()))</f>
        <v>862.22294373677494</v>
      </c>
      <c r="U344">
        <f>IF($J344&gt;MAX('Match Log'!$A$4:$A$1510),NA(),IFERROR(LOOKUP(2,1/(('Match Log'!$D$4:$D$1510=$U$24)*('Match Log'!$A$4:$A$1510&lt;=$J344)),'Match Log'!$N$4:$N$1510),NA()))</f>
        <v>949.07453636021216</v>
      </c>
      <c r="V344">
        <f>IF($J344&gt;MAX('Match Log'!$A$4:$A$1510),NA(),IFERROR(LOOKUP(2,1/(('Match Log'!$D$4:$D$1510=$V$24)*('Match Log'!$A$4:$A$1510&lt;=$J344)),'Match Log'!$N$4:$N$1510),NA()))</f>
        <v>1087.5488947064855</v>
      </c>
      <c r="W344">
        <f>IF($J344&gt;MAX('Match Log'!$A$4:$A$1510),NA(),IFERROR(LOOKUP(2,1/(('Match Log'!$D$4:$D$1510=$W$24)*('Match Log'!$A$4:$A$1510&lt;=$J344)),'Match Log'!$N$4:$N$1510),NA()))</f>
        <v>1010.5072402821568</v>
      </c>
      <c r="X344" t="e">
        <f>IF($J344&gt;MAX('Match Log'!$A$4:$A$1510),NA(),IFERROR(LOOKUP(2,1/(('Match Log'!$D$4:$D$1510=$X$24)*('Match Log'!$A$4:$A$1510&lt;=$J344)),'Match Log'!$N$4:$N$1510),NA()))</f>
        <v>#N/A</v>
      </c>
      <c r="Y344" t="str">
        <f t="shared" ca="1" si="31"/>
        <v/>
      </c>
    </row>
    <row r="345" spans="1:25" x14ac:dyDescent="0.2">
      <c r="A345">
        <v>321</v>
      </c>
      <c r="B345">
        <f>IFERROR(INDEX('Match Log'!$B$4:$B$1510,MATCH($A345,'Match Log'!$A$4:$A$1510,0)),"")</f>
        <v>46319</v>
      </c>
      <c r="C345" t="str">
        <f>IFERROR(INDEX('Match Log'!$C$4:$C$1510,MATCH($A345,'Match Log'!$A$4:$A$1510,0)),"")</f>
        <v>Darts</v>
      </c>
      <c r="D345" t="str">
        <f t="array" ref="D345">IFERROR(_xlfn.TEXTJOIN(" + ",TRUE(),IF(('Match Log'!$A$4:$A$1510=$A345)*('Match Log'!$E$4:$E$1510="Win"),'Match Log'!$D$4:$D$1510,"")),IFERROR(LOOKUP(2,1/(('Match Log'!$A$4:$A$1510=$A345)*('Match Log'!$E$4:$E$1510="Win")),'Match Log'!$D$4:$D$1510),""))</f>
        <v>Oscar</v>
      </c>
      <c r="E345">
        <f>IFERROR(INDEX('Match Log'!$F$4:$F$1510,MATCH($A345,'Match Log'!$A$4:$A$1510,0)),"")</f>
        <v>2</v>
      </c>
      <c r="F345">
        <f>IFERROR(SUMIFS('Match Log'!$I$4:$I$1510,'Match Log'!$A$4:$A$1510,$A345,'Match Log'!$E$4:$E$1510,"Win"),"")</f>
        <v>0.66666666666666663</v>
      </c>
      <c r="G345">
        <f t="shared" ref="G345:G408" si="32">IF($D345="","",1-$F345*$E345)</f>
        <v>-0.33333333333333326</v>
      </c>
      <c r="H345" t="str">
        <f t="array" ref="H345">IFERROR(IF(COUNTIFS('Match Log'!$A$4:$A$1510,$A345,'Match Log'!$E$4:$E$1510,"Win")&gt;1,_xlfn.TEXTJOIN(" + ",TRUE(),IF(('Match Log'!$A$4:$A$1510=$A345)*('Match Log'!$E$4:$E$1510="Loss"),'Match Log'!$D$4:$D$1510,"")),IF($E345=2,LOOKUP(2,1/(('Match Log'!$A$4:$A$1510=$A345)*('Match Log'!$E$4:$E$1510="Loss")),'Match Log'!$D$4:$D$1510),"the field")),"")</f>
        <v>Simon</v>
      </c>
      <c r="I345">
        <f t="shared" ref="I345:I408" si="33">IF($G345="","",$G345-$A345/1000000)</f>
        <v>-0.33365433333333328</v>
      </c>
      <c r="J345">
        <v>321</v>
      </c>
      <c r="K345">
        <f>IF($J345&gt;MAX('Match Log'!$A$4:$A$1510),NA(),IFERROR(LOOKUP(2,1/(('Match Log'!$D$4:$D$1510=$K$24)*('Match Log'!$A$4:$A$1510&lt;=$J345)),'Match Log'!$N$4:$N$1510),NA()))</f>
        <v>1209.6766156390552</v>
      </c>
      <c r="L345">
        <f>IF($J345&gt;MAX('Match Log'!$A$4:$A$1510),NA(),IFERROR(LOOKUP(2,1/(('Match Log'!$D$4:$D$1510=$L$24)*('Match Log'!$A$4:$A$1510&lt;=$J345)),'Match Log'!$N$4:$N$1510),NA()))</f>
        <v>1029.5175965335138</v>
      </c>
      <c r="M345">
        <f>IF($J345&gt;MAX('Match Log'!$A$4:$A$1510),NA(),IFERROR(LOOKUP(2,1/(('Match Log'!$D$4:$D$1510=$M$24)*('Match Log'!$A$4:$A$1510&lt;=$J345)),'Match Log'!$N$4:$N$1510),NA()))</f>
        <v>1048.0761030598392</v>
      </c>
      <c r="N345">
        <f>IF($J345&gt;MAX('Match Log'!$A$4:$A$1510),NA(),IFERROR(LOOKUP(2,1/(('Match Log'!$D$4:$D$1510=$N$24)*('Match Log'!$A$4:$A$1510&lt;=$J345)),'Match Log'!$N$4:$N$1510),NA()))</f>
        <v>907.03133644117429</v>
      </c>
      <c r="O345">
        <f>IF($J345&gt;MAX('Match Log'!$A$4:$A$1510),NA(),IFERROR(LOOKUP(2,1/(('Match Log'!$D$4:$D$1510=$O$24)*('Match Log'!$A$4:$A$1510&lt;=$J345)),'Match Log'!$N$4:$N$1510),NA()))</f>
        <v>1251.9358369946654</v>
      </c>
      <c r="P345">
        <f>IF($J345&gt;MAX('Match Log'!$A$4:$A$1510),NA(),IFERROR(LOOKUP(2,1/(('Match Log'!$D$4:$D$1510=$P$24)*('Match Log'!$A$4:$A$1510&lt;=$J345)),'Match Log'!$N$4:$N$1510),NA()))</f>
        <v>1240.5972700779639</v>
      </c>
      <c r="Q345">
        <f>IF($J345&gt;MAX('Match Log'!$A$4:$A$1510),NA(),IFERROR(LOOKUP(2,1/(('Match Log'!$D$4:$D$1510=$Q$24)*('Match Log'!$A$4:$A$1510&lt;=$J345)),'Match Log'!$N$4:$N$1510),NA()))</f>
        <v>1189.1811918109922</v>
      </c>
      <c r="R345">
        <f>IF($J345&gt;MAX('Match Log'!$A$4:$A$1510),NA(),IFERROR(LOOKUP(2,1/(('Match Log'!$D$4:$D$1510=$R$24)*('Match Log'!$A$4:$A$1510&lt;=$J345)),'Match Log'!$N$4:$N$1510),NA()))</f>
        <v>1190.9139027540671</v>
      </c>
      <c r="S345">
        <f>IF($J345&gt;MAX('Match Log'!$A$4:$A$1510),NA(),IFERROR(LOOKUP(2,1/(('Match Log'!$D$4:$D$1510=$S$24)*('Match Log'!$A$4:$A$1510&lt;=$J345)),'Match Log'!$N$4:$N$1510),NA()))</f>
        <v>1217.9015417269482</v>
      </c>
      <c r="T345">
        <f>IF($J345&gt;MAX('Match Log'!$A$4:$A$1510),NA(),IFERROR(LOOKUP(2,1/(('Match Log'!$D$4:$D$1510=$T$24)*('Match Log'!$A$4:$A$1510&lt;=$J345)),'Match Log'!$N$4:$N$1510),NA()))</f>
        <v>862.22294373677494</v>
      </c>
      <c r="U345">
        <f>IF($J345&gt;MAX('Match Log'!$A$4:$A$1510),NA(),IFERROR(LOOKUP(2,1/(('Match Log'!$D$4:$D$1510=$U$24)*('Match Log'!$A$4:$A$1510&lt;=$J345)),'Match Log'!$N$4:$N$1510),NA()))</f>
        <v>975.88952623636283</v>
      </c>
      <c r="V345">
        <f>IF($J345&gt;MAX('Match Log'!$A$4:$A$1510),NA(),IFERROR(LOOKUP(2,1/(('Match Log'!$D$4:$D$1510=$V$24)*('Match Log'!$A$4:$A$1510&lt;=$J345)),'Match Log'!$N$4:$N$1510),NA()))</f>
        <v>1087.5488947064855</v>
      </c>
      <c r="W345">
        <f>IF($J345&gt;MAX('Match Log'!$A$4:$A$1510),NA(),IFERROR(LOOKUP(2,1/(('Match Log'!$D$4:$D$1510=$W$24)*('Match Log'!$A$4:$A$1510&lt;=$J345)),'Match Log'!$N$4:$N$1510),NA()))</f>
        <v>1010.5072402821568</v>
      </c>
      <c r="X345" t="e">
        <f>IF($J345&gt;MAX('Match Log'!$A$4:$A$1510),NA(),IFERROR(LOOKUP(2,1/(('Match Log'!$D$4:$D$1510=$X$24)*('Match Log'!$A$4:$A$1510&lt;=$J345)),'Match Log'!$N$4:$N$1510),NA()))</f>
        <v>#N/A</v>
      </c>
      <c r="Y345">
        <f t="shared" ref="Y345:Y408" ca="1" si="34">IF(AND($B345&lt;&gt;"",$B345&gt;=$B$5,$I345&lt;&gt;""),$I345,"")</f>
        <v>-0.33365433333333328</v>
      </c>
    </row>
    <row r="346" spans="1:25" x14ac:dyDescent="0.2">
      <c r="A346">
        <v>322</v>
      </c>
      <c r="B346">
        <f>IFERROR(INDEX('Match Log'!$B$4:$B$1510,MATCH($A346,'Match Log'!$A$4:$A$1510,0)),"")</f>
        <v>46319</v>
      </c>
      <c r="C346" t="str">
        <f>IFERROR(INDEX('Match Log'!$C$4:$C$1510,MATCH($A346,'Match Log'!$A$4:$A$1510,0)),"")</f>
        <v>Darts</v>
      </c>
      <c r="D346" t="str">
        <f t="array" ref="D346">IFERROR(_xlfn.TEXTJOIN(" + ",TRUE(),IF(('Match Log'!$A$4:$A$1510=$A346)*('Match Log'!$E$4:$E$1510="Win"),'Match Log'!$D$4:$D$1510,"")),IFERROR(LOOKUP(2,1/(('Match Log'!$A$4:$A$1510=$A346)*('Match Log'!$E$4:$E$1510="Win")),'Match Log'!$D$4:$D$1510),""))</f>
        <v>Simon</v>
      </c>
      <c r="E346">
        <f>IFERROR(INDEX('Match Log'!$F$4:$F$1510,MATCH($A346,'Match Log'!$A$4:$A$1510,0)),"")</f>
        <v>2</v>
      </c>
      <c r="F346">
        <f>IFERROR(SUMIFS('Match Log'!$I$4:$I$1510,'Match Log'!$A$4:$A$1510,$A346,'Match Log'!$E$4:$E$1510,"Win"),"")</f>
        <v>0.25</v>
      </c>
      <c r="G346">
        <f t="shared" si="32"/>
        <v>0.5</v>
      </c>
      <c r="H346" t="str">
        <f t="array" ref="H346">IFERROR(IF(COUNTIFS('Match Log'!$A$4:$A$1510,$A346,'Match Log'!$E$4:$E$1510,"Win")&gt;1,_xlfn.TEXTJOIN(" + ",TRUE(),IF(('Match Log'!$A$4:$A$1510=$A346)*('Match Log'!$E$4:$E$1510="Loss"),'Match Log'!$D$4:$D$1510,"")),IF($E346=2,LOOKUP(2,1/(('Match Log'!$A$4:$A$1510=$A346)*('Match Log'!$E$4:$E$1510="Loss")),'Match Log'!$D$4:$D$1510),"the field")),"")</f>
        <v>Oscar</v>
      </c>
      <c r="I346">
        <f t="shared" si="33"/>
        <v>0.49967800000000001</v>
      </c>
      <c r="J346">
        <v>322</v>
      </c>
      <c r="K346">
        <f>IF($J346&gt;MAX('Match Log'!$A$4:$A$1510),NA(),IFERROR(LOOKUP(2,1/(('Match Log'!$D$4:$D$1510=$K$24)*('Match Log'!$A$4:$A$1510&lt;=$J346)),'Match Log'!$N$4:$N$1510),NA()))</f>
        <v>1209.6766156390552</v>
      </c>
      <c r="L346">
        <f>IF($J346&gt;MAX('Match Log'!$A$4:$A$1510),NA(),IFERROR(LOOKUP(2,1/(('Match Log'!$D$4:$D$1510=$L$24)*('Match Log'!$A$4:$A$1510&lt;=$J346)),'Match Log'!$N$4:$N$1510),NA()))</f>
        <v>1029.5175965335138</v>
      </c>
      <c r="M346">
        <f>IF($J346&gt;MAX('Match Log'!$A$4:$A$1510),NA(),IFERROR(LOOKUP(2,1/(('Match Log'!$D$4:$D$1510=$M$24)*('Match Log'!$A$4:$A$1510&lt;=$J346)),'Match Log'!$N$4:$N$1510),NA()))</f>
        <v>1048.0761030598392</v>
      </c>
      <c r="N346">
        <f>IF($J346&gt;MAX('Match Log'!$A$4:$A$1510),NA(),IFERROR(LOOKUP(2,1/(('Match Log'!$D$4:$D$1510=$N$24)*('Match Log'!$A$4:$A$1510&lt;=$J346)),'Match Log'!$N$4:$N$1510),NA()))</f>
        <v>907.03133644117429</v>
      </c>
      <c r="O346">
        <f>IF($J346&gt;MAX('Match Log'!$A$4:$A$1510),NA(),IFERROR(LOOKUP(2,1/(('Match Log'!$D$4:$D$1510=$O$24)*('Match Log'!$A$4:$A$1510&lt;=$J346)),'Match Log'!$N$4:$N$1510),NA()))</f>
        <v>1251.9358369946654</v>
      </c>
      <c r="P346">
        <f>IF($J346&gt;MAX('Match Log'!$A$4:$A$1510),NA(),IFERROR(LOOKUP(2,1/(('Match Log'!$D$4:$D$1510=$P$24)*('Match Log'!$A$4:$A$1510&lt;=$J346)),'Match Log'!$N$4:$N$1510),NA()))</f>
        <v>1240.5972700779639</v>
      </c>
      <c r="Q346">
        <f>IF($J346&gt;MAX('Match Log'!$A$4:$A$1510),NA(),IFERROR(LOOKUP(2,1/(('Match Log'!$D$4:$D$1510=$Q$24)*('Match Log'!$A$4:$A$1510&lt;=$J346)),'Match Log'!$N$4:$N$1510),NA()))</f>
        <v>1209.9191951039859</v>
      </c>
      <c r="R346">
        <f>IF($J346&gt;MAX('Match Log'!$A$4:$A$1510),NA(),IFERROR(LOOKUP(2,1/(('Match Log'!$D$4:$D$1510=$R$24)*('Match Log'!$A$4:$A$1510&lt;=$J346)),'Match Log'!$N$4:$N$1510),NA()))</f>
        <v>1190.9139027540671</v>
      </c>
      <c r="S346">
        <f>IF($J346&gt;MAX('Match Log'!$A$4:$A$1510),NA(),IFERROR(LOOKUP(2,1/(('Match Log'!$D$4:$D$1510=$S$24)*('Match Log'!$A$4:$A$1510&lt;=$J346)),'Match Log'!$N$4:$N$1510),NA()))</f>
        <v>1217.9015417269482</v>
      </c>
      <c r="T346">
        <f>IF($J346&gt;MAX('Match Log'!$A$4:$A$1510),NA(),IFERROR(LOOKUP(2,1/(('Match Log'!$D$4:$D$1510=$T$24)*('Match Log'!$A$4:$A$1510&lt;=$J346)),'Match Log'!$N$4:$N$1510),NA()))</f>
        <v>862.22294373677494</v>
      </c>
      <c r="U346">
        <f>IF($J346&gt;MAX('Match Log'!$A$4:$A$1510),NA(),IFERROR(LOOKUP(2,1/(('Match Log'!$D$4:$D$1510=$U$24)*('Match Log'!$A$4:$A$1510&lt;=$J346)),'Match Log'!$N$4:$N$1510),NA()))</f>
        <v>955.15152294336929</v>
      </c>
      <c r="V346">
        <f>IF($J346&gt;MAX('Match Log'!$A$4:$A$1510),NA(),IFERROR(LOOKUP(2,1/(('Match Log'!$D$4:$D$1510=$V$24)*('Match Log'!$A$4:$A$1510&lt;=$J346)),'Match Log'!$N$4:$N$1510),NA()))</f>
        <v>1087.5488947064855</v>
      </c>
      <c r="W346">
        <f>IF($J346&gt;MAX('Match Log'!$A$4:$A$1510),NA(),IFERROR(LOOKUP(2,1/(('Match Log'!$D$4:$D$1510=$W$24)*('Match Log'!$A$4:$A$1510&lt;=$J346)),'Match Log'!$N$4:$N$1510),NA()))</f>
        <v>1010.5072402821568</v>
      </c>
      <c r="X346" t="e">
        <f>IF($J346&gt;MAX('Match Log'!$A$4:$A$1510),NA(),IFERROR(LOOKUP(2,1/(('Match Log'!$D$4:$D$1510=$X$24)*('Match Log'!$A$4:$A$1510&lt;=$J346)),'Match Log'!$N$4:$N$1510),NA()))</f>
        <v>#N/A</v>
      </c>
      <c r="Y346">
        <f t="shared" ca="1" si="34"/>
        <v>0.49967800000000001</v>
      </c>
    </row>
    <row r="347" spans="1:25" x14ac:dyDescent="0.2">
      <c r="A347">
        <v>323</v>
      </c>
      <c r="B347">
        <f>IFERROR(INDEX('Match Log'!$B$4:$B$1510,MATCH($A347,'Match Log'!$A$4:$A$1510,0)),"")</f>
        <v>46319</v>
      </c>
      <c r="C347" t="str">
        <f>IFERROR(INDEX('Match Log'!$C$4:$C$1510,MATCH($A347,'Match Log'!$A$4:$A$1510,0)),"")</f>
        <v>Darts</v>
      </c>
      <c r="D347" t="str">
        <f t="array" ref="D347">IFERROR(_xlfn.TEXTJOIN(" + ",TRUE(),IF(('Match Log'!$A$4:$A$1510=$A347)*('Match Log'!$E$4:$E$1510="Win"),'Match Log'!$D$4:$D$1510,"")),IFERROR(LOOKUP(2,1/(('Match Log'!$A$4:$A$1510=$A347)*('Match Log'!$E$4:$E$1510="Win")),'Match Log'!$D$4:$D$1510),""))</f>
        <v>Oscar</v>
      </c>
      <c r="E347">
        <f>IFERROR(INDEX('Match Log'!$F$4:$F$1510,MATCH($A347,'Match Log'!$A$4:$A$1510,0)),"")</f>
        <v>2</v>
      </c>
      <c r="F347">
        <f>IFERROR(SUMIFS('Match Log'!$I$4:$I$1510,'Match Log'!$A$4:$A$1510,$A347,'Match Log'!$E$4:$E$1510,"Win"),"")</f>
        <v>0.60000000000000009</v>
      </c>
      <c r="G347">
        <f t="shared" si="32"/>
        <v>-0.20000000000000018</v>
      </c>
      <c r="H347" t="str">
        <f t="array" ref="H347">IFERROR(IF(COUNTIFS('Match Log'!$A$4:$A$1510,$A347,'Match Log'!$E$4:$E$1510,"Win")&gt;1,_xlfn.TEXTJOIN(" + ",TRUE(),IF(('Match Log'!$A$4:$A$1510=$A347)*('Match Log'!$E$4:$E$1510="Loss"),'Match Log'!$D$4:$D$1510,"")),IF($E347=2,LOOKUP(2,1/(('Match Log'!$A$4:$A$1510=$A347)*('Match Log'!$E$4:$E$1510="Loss")),'Match Log'!$D$4:$D$1510),"the field")),"")</f>
        <v>Simon</v>
      </c>
      <c r="I347">
        <f t="shared" si="33"/>
        <v>-0.20032300000000017</v>
      </c>
      <c r="J347">
        <v>323</v>
      </c>
      <c r="K347">
        <f>IF($J347&gt;MAX('Match Log'!$A$4:$A$1510),NA(),IFERROR(LOOKUP(2,1/(('Match Log'!$D$4:$D$1510=$K$24)*('Match Log'!$A$4:$A$1510&lt;=$J347)),'Match Log'!$N$4:$N$1510),NA()))</f>
        <v>1209.6766156390552</v>
      </c>
      <c r="L347">
        <f>IF($J347&gt;MAX('Match Log'!$A$4:$A$1510),NA(),IFERROR(LOOKUP(2,1/(('Match Log'!$D$4:$D$1510=$L$24)*('Match Log'!$A$4:$A$1510&lt;=$J347)),'Match Log'!$N$4:$N$1510),NA()))</f>
        <v>1029.5175965335138</v>
      </c>
      <c r="M347">
        <f>IF($J347&gt;MAX('Match Log'!$A$4:$A$1510),NA(),IFERROR(LOOKUP(2,1/(('Match Log'!$D$4:$D$1510=$M$24)*('Match Log'!$A$4:$A$1510&lt;=$J347)),'Match Log'!$N$4:$N$1510),NA()))</f>
        <v>1048.0761030598392</v>
      </c>
      <c r="N347">
        <f>IF($J347&gt;MAX('Match Log'!$A$4:$A$1510),NA(),IFERROR(LOOKUP(2,1/(('Match Log'!$D$4:$D$1510=$N$24)*('Match Log'!$A$4:$A$1510&lt;=$J347)),'Match Log'!$N$4:$N$1510),NA()))</f>
        <v>907.03133644117429</v>
      </c>
      <c r="O347">
        <f>IF($J347&gt;MAX('Match Log'!$A$4:$A$1510),NA(),IFERROR(LOOKUP(2,1/(('Match Log'!$D$4:$D$1510=$O$24)*('Match Log'!$A$4:$A$1510&lt;=$J347)),'Match Log'!$N$4:$N$1510),NA()))</f>
        <v>1251.9358369946654</v>
      </c>
      <c r="P347">
        <f>IF($J347&gt;MAX('Match Log'!$A$4:$A$1510),NA(),IFERROR(LOOKUP(2,1/(('Match Log'!$D$4:$D$1510=$P$24)*('Match Log'!$A$4:$A$1510&lt;=$J347)),'Match Log'!$N$4:$N$1510),NA()))</f>
        <v>1240.5972700779639</v>
      </c>
      <c r="Q347">
        <f>IF($J347&gt;MAX('Match Log'!$A$4:$A$1510),NA(),IFERROR(LOOKUP(2,1/(('Match Log'!$D$4:$D$1510=$Q$24)*('Match Log'!$A$4:$A$1510&lt;=$J347)),'Match Log'!$N$4:$N$1510),NA()))</f>
        <v>1183.835584669815</v>
      </c>
      <c r="R347">
        <f>IF($J347&gt;MAX('Match Log'!$A$4:$A$1510),NA(),IFERROR(LOOKUP(2,1/(('Match Log'!$D$4:$D$1510=$R$24)*('Match Log'!$A$4:$A$1510&lt;=$J347)),'Match Log'!$N$4:$N$1510),NA()))</f>
        <v>1190.9139027540671</v>
      </c>
      <c r="S347">
        <f>IF($J347&gt;MAX('Match Log'!$A$4:$A$1510),NA(),IFERROR(LOOKUP(2,1/(('Match Log'!$D$4:$D$1510=$S$24)*('Match Log'!$A$4:$A$1510&lt;=$J347)),'Match Log'!$N$4:$N$1510),NA()))</f>
        <v>1217.9015417269482</v>
      </c>
      <c r="T347">
        <f>IF($J347&gt;MAX('Match Log'!$A$4:$A$1510),NA(),IFERROR(LOOKUP(2,1/(('Match Log'!$D$4:$D$1510=$T$24)*('Match Log'!$A$4:$A$1510&lt;=$J347)),'Match Log'!$N$4:$N$1510),NA()))</f>
        <v>862.22294373677494</v>
      </c>
      <c r="U347">
        <f>IF($J347&gt;MAX('Match Log'!$A$4:$A$1510),NA(),IFERROR(LOOKUP(2,1/(('Match Log'!$D$4:$D$1510=$U$24)*('Match Log'!$A$4:$A$1510&lt;=$J347)),'Match Log'!$N$4:$N$1510),NA()))</f>
        <v>981.23513337754014</v>
      </c>
      <c r="V347">
        <f>IF($J347&gt;MAX('Match Log'!$A$4:$A$1510),NA(),IFERROR(LOOKUP(2,1/(('Match Log'!$D$4:$D$1510=$V$24)*('Match Log'!$A$4:$A$1510&lt;=$J347)),'Match Log'!$N$4:$N$1510),NA()))</f>
        <v>1087.5488947064855</v>
      </c>
      <c r="W347">
        <f>IF($J347&gt;MAX('Match Log'!$A$4:$A$1510),NA(),IFERROR(LOOKUP(2,1/(('Match Log'!$D$4:$D$1510=$W$24)*('Match Log'!$A$4:$A$1510&lt;=$J347)),'Match Log'!$N$4:$N$1510),NA()))</f>
        <v>1010.5072402821568</v>
      </c>
      <c r="X347" t="e">
        <f>IF($J347&gt;MAX('Match Log'!$A$4:$A$1510),NA(),IFERROR(LOOKUP(2,1/(('Match Log'!$D$4:$D$1510=$X$24)*('Match Log'!$A$4:$A$1510&lt;=$J347)),'Match Log'!$N$4:$N$1510),NA()))</f>
        <v>#N/A</v>
      </c>
      <c r="Y347">
        <f t="shared" ca="1" si="34"/>
        <v>-0.20032300000000017</v>
      </c>
    </row>
    <row r="348" spans="1:25" x14ac:dyDescent="0.2">
      <c r="A348">
        <v>324</v>
      </c>
      <c r="B348">
        <f>IFERROR(INDEX('Match Log'!$B$4:$B$1510,MATCH($A348,'Match Log'!$A$4:$A$1510,0)),"")</f>
        <v>46319</v>
      </c>
      <c r="C348" t="str">
        <f>IFERROR(INDEX('Match Log'!$C$4:$C$1510,MATCH($A348,'Match Log'!$A$4:$A$1510,0)),"")</f>
        <v>Darts</v>
      </c>
      <c r="D348" t="str">
        <f t="array" ref="D348">IFERROR(_xlfn.TEXTJOIN(" + ",TRUE(),IF(('Match Log'!$A$4:$A$1510=$A348)*('Match Log'!$E$4:$E$1510="Win"),'Match Log'!$D$4:$D$1510,"")),IFERROR(LOOKUP(2,1/(('Match Log'!$A$4:$A$1510=$A348)*('Match Log'!$E$4:$E$1510="Win")),'Match Log'!$D$4:$D$1510),""))</f>
        <v>Simon</v>
      </c>
      <c r="E348">
        <f>IFERROR(INDEX('Match Log'!$F$4:$F$1510,MATCH($A348,'Match Log'!$A$4:$A$1510,0)),"")</f>
        <v>3</v>
      </c>
      <c r="F348">
        <f>IFERROR(SUMIFS('Match Log'!$I$4:$I$1510,'Match Log'!$A$4:$A$1510,$A348,'Match Log'!$E$4:$E$1510,"Win"),"")</f>
        <v>0.23076923076923078</v>
      </c>
      <c r="G348">
        <f t="shared" si="32"/>
        <v>0.30769230769230771</v>
      </c>
      <c r="H348" t="str">
        <f t="array" ref="H348">IFERROR(IF(COUNTIFS('Match Log'!$A$4:$A$1510,$A348,'Match Log'!$E$4:$E$1510,"Win")&gt;1,_xlfn.TEXTJOIN(" + ",TRUE(),IF(('Match Log'!$A$4:$A$1510=$A348)*('Match Log'!$E$4:$E$1510="Loss"),'Match Log'!$D$4:$D$1510,"")),IF($E348=2,LOOKUP(2,1/(('Match Log'!$A$4:$A$1510=$A348)*('Match Log'!$E$4:$E$1510="Loss")),'Match Log'!$D$4:$D$1510),"the field")),"")</f>
        <v>the field</v>
      </c>
      <c r="I348">
        <f t="shared" si="33"/>
        <v>0.30736830769230772</v>
      </c>
      <c r="J348">
        <v>324</v>
      </c>
      <c r="K348">
        <f>IF($J348&gt;MAX('Match Log'!$A$4:$A$1510),NA(),IFERROR(LOOKUP(2,1/(('Match Log'!$D$4:$D$1510=$K$24)*('Match Log'!$A$4:$A$1510&lt;=$J348)),'Match Log'!$N$4:$N$1510),NA()))</f>
        <v>1209.6766156390552</v>
      </c>
      <c r="L348">
        <f>IF($J348&gt;MAX('Match Log'!$A$4:$A$1510),NA(),IFERROR(LOOKUP(2,1/(('Match Log'!$D$4:$D$1510=$L$24)*('Match Log'!$A$4:$A$1510&lt;=$J348)),'Match Log'!$N$4:$N$1510),NA()))</f>
        <v>1029.5175965335138</v>
      </c>
      <c r="M348">
        <f>IF($J348&gt;MAX('Match Log'!$A$4:$A$1510),NA(),IFERROR(LOOKUP(2,1/(('Match Log'!$D$4:$D$1510=$M$24)*('Match Log'!$A$4:$A$1510&lt;=$J348)),'Match Log'!$N$4:$N$1510),NA()))</f>
        <v>1048.0761030598392</v>
      </c>
      <c r="N348">
        <f>IF($J348&gt;MAX('Match Log'!$A$4:$A$1510),NA(),IFERROR(LOOKUP(2,1/(('Match Log'!$D$4:$D$1510=$N$24)*('Match Log'!$A$4:$A$1510&lt;=$J348)),'Match Log'!$N$4:$N$1510),NA()))</f>
        <v>907.03133644117429</v>
      </c>
      <c r="O348">
        <f>IF($J348&gt;MAX('Match Log'!$A$4:$A$1510),NA(),IFERROR(LOOKUP(2,1/(('Match Log'!$D$4:$D$1510=$O$24)*('Match Log'!$A$4:$A$1510&lt;=$J348)),'Match Log'!$N$4:$N$1510),NA()))</f>
        <v>1251.9358369946654</v>
      </c>
      <c r="P348">
        <f>IF($J348&gt;MAX('Match Log'!$A$4:$A$1510),NA(),IFERROR(LOOKUP(2,1/(('Match Log'!$D$4:$D$1510=$P$24)*('Match Log'!$A$4:$A$1510&lt;=$J348)),'Match Log'!$N$4:$N$1510),NA()))</f>
        <v>1231.9133292156973</v>
      </c>
      <c r="Q348">
        <f>IF($J348&gt;MAX('Match Log'!$A$4:$A$1510),NA(),IFERROR(LOOKUP(2,1/(('Match Log'!$D$4:$D$1510=$Q$24)*('Match Log'!$A$4:$A$1510&lt;=$J348)),'Match Log'!$N$4:$N$1510),NA()))</f>
        <v>1210.5445492849278</v>
      </c>
      <c r="R348">
        <f>IF($J348&gt;MAX('Match Log'!$A$4:$A$1510),NA(),IFERROR(LOOKUP(2,1/(('Match Log'!$D$4:$D$1510=$R$24)*('Match Log'!$A$4:$A$1510&lt;=$J348)),'Match Log'!$N$4:$N$1510),NA()))</f>
        <v>1190.9139027540671</v>
      </c>
      <c r="S348">
        <f>IF($J348&gt;MAX('Match Log'!$A$4:$A$1510),NA(),IFERROR(LOOKUP(2,1/(('Match Log'!$D$4:$D$1510=$S$24)*('Match Log'!$A$4:$A$1510&lt;=$J348)),'Match Log'!$N$4:$N$1510),NA()))</f>
        <v>1217.9015417269482</v>
      </c>
      <c r="T348">
        <f>IF($J348&gt;MAX('Match Log'!$A$4:$A$1510),NA(),IFERROR(LOOKUP(2,1/(('Match Log'!$D$4:$D$1510=$T$24)*('Match Log'!$A$4:$A$1510&lt;=$J348)),'Match Log'!$N$4:$N$1510),NA()))</f>
        <v>862.22294373677494</v>
      </c>
      <c r="U348">
        <f>IF($J348&gt;MAX('Match Log'!$A$4:$A$1510),NA(),IFERROR(LOOKUP(2,1/(('Match Log'!$D$4:$D$1510=$U$24)*('Match Log'!$A$4:$A$1510&lt;=$J348)),'Match Log'!$N$4:$N$1510),NA()))</f>
        <v>972.21010962469381</v>
      </c>
      <c r="V348">
        <f>IF($J348&gt;MAX('Match Log'!$A$4:$A$1510),NA(),IFERROR(LOOKUP(2,1/(('Match Log'!$D$4:$D$1510=$V$24)*('Match Log'!$A$4:$A$1510&lt;=$J348)),'Match Log'!$N$4:$N$1510),NA()))</f>
        <v>1087.5488947064855</v>
      </c>
      <c r="W348">
        <f>IF($J348&gt;MAX('Match Log'!$A$4:$A$1510),NA(),IFERROR(LOOKUP(2,1/(('Match Log'!$D$4:$D$1510=$W$24)*('Match Log'!$A$4:$A$1510&lt;=$J348)),'Match Log'!$N$4:$N$1510),NA()))</f>
        <v>1010.5072402821568</v>
      </c>
      <c r="X348" t="e">
        <f>IF($J348&gt;MAX('Match Log'!$A$4:$A$1510),NA(),IFERROR(LOOKUP(2,1/(('Match Log'!$D$4:$D$1510=$X$24)*('Match Log'!$A$4:$A$1510&lt;=$J348)),'Match Log'!$N$4:$N$1510),NA()))</f>
        <v>#N/A</v>
      </c>
      <c r="Y348">
        <f t="shared" ca="1" si="34"/>
        <v>0.30736830769230772</v>
      </c>
    </row>
    <row r="349" spans="1:25" x14ac:dyDescent="0.2">
      <c r="A349">
        <v>325</v>
      </c>
      <c r="B349">
        <f>IFERROR(INDEX('Match Log'!$B$4:$B$1510,MATCH($A349,'Match Log'!$A$4:$A$1510,0)),"")</f>
        <v>46319</v>
      </c>
      <c r="C349" t="str">
        <f>IFERROR(INDEX('Match Log'!$C$4:$C$1510,MATCH($A349,'Match Log'!$A$4:$A$1510,0)),"")</f>
        <v>Call of Duty</v>
      </c>
      <c r="D349" t="str">
        <f t="array" ref="D349">IFERROR(_xlfn.TEXTJOIN(" + ",TRUE(),IF(('Match Log'!$A$4:$A$1510=$A349)*('Match Log'!$E$4:$E$1510="Win"),'Match Log'!$D$4:$D$1510,"")),IFERROR(LOOKUP(2,1/(('Match Log'!$A$4:$A$1510=$A349)*('Match Log'!$E$4:$E$1510="Win")),'Match Log'!$D$4:$D$1510),""))</f>
        <v>Daniel (Ferret)</v>
      </c>
      <c r="E349">
        <f>IFERROR(INDEX('Match Log'!$F$4:$F$1510,MATCH($A349,'Match Log'!$A$4:$A$1510,0)),"")</f>
        <v>2</v>
      </c>
      <c r="F349">
        <f>IFERROR(SUMIFS('Match Log'!$I$4:$I$1510,'Match Log'!$A$4:$A$1510,$A349,'Match Log'!$E$4:$E$1510,"Win"),"")</f>
        <v>0.66666666666666674</v>
      </c>
      <c r="G349">
        <f t="shared" si="32"/>
        <v>-0.33333333333333348</v>
      </c>
      <c r="H349" t="str">
        <f t="array" ref="H349">IFERROR(IF(COUNTIFS('Match Log'!$A$4:$A$1510,$A349,'Match Log'!$E$4:$E$1510,"Win")&gt;1,_xlfn.TEXTJOIN(" + ",TRUE(),IF(('Match Log'!$A$4:$A$1510=$A349)*('Match Log'!$E$4:$E$1510="Loss"),'Match Log'!$D$4:$D$1510,"")),IF($E349=2,LOOKUP(2,1/(('Match Log'!$A$4:$A$1510=$A349)*('Match Log'!$E$4:$E$1510="Loss")),'Match Log'!$D$4:$D$1510),"the field")),"")</f>
        <v>Aaron</v>
      </c>
      <c r="I349">
        <f t="shared" si="33"/>
        <v>-0.3336583333333335</v>
      </c>
      <c r="J349">
        <v>325</v>
      </c>
      <c r="K349">
        <f>IF($J349&gt;MAX('Match Log'!$A$4:$A$1510),NA(),IFERROR(LOOKUP(2,1/(('Match Log'!$D$4:$D$1510=$K$24)*('Match Log'!$A$4:$A$1510&lt;=$J349)),'Match Log'!$N$4:$N$1510),NA()))</f>
        <v>1191.6033931950399</v>
      </c>
      <c r="L349">
        <f>IF($J349&gt;MAX('Match Log'!$A$4:$A$1510),NA(),IFERROR(LOOKUP(2,1/(('Match Log'!$D$4:$D$1510=$L$24)*('Match Log'!$A$4:$A$1510&lt;=$J349)),'Match Log'!$N$4:$N$1510),NA()))</f>
        <v>1029.5175965335138</v>
      </c>
      <c r="M349">
        <f>IF($J349&gt;MAX('Match Log'!$A$4:$A$1510),NA(),IFERROR(LOOKUP(2,1/(('Match Log'!$D$4:$D$1510=$M$24)*('Match Log'!$A$4:$A$1510&lt;=$J349)),'Match Log'!$N$4:$N$1510),NA()))</f>
        <v>1048.0761030598392</v>
      </c>
      <c r="N349">
        <f>IF($J349&gt;MAX('Match Log'!$A$4:$A$1510),NA(),IFERROR(LOOKUP(2,1/(('Match Log'!$D$4:$D$1510=$N$24)*('Match Log'!$A$4:$A$1510&lt;=$J349)),'Match Log'!$N$4:$N$1510),NA()))</f>
        <v>907.03133644117429</v>
      </c>
      <c r="O349">
        <f>IF($J349&gt;MAX('Match Log'!$A$4:$A$1510),NA(),IFERROR(LOOKUP(2,1/(('Match Log'!$D$4:$D$1510=$O$24)*('Match Log'!$A$4:$A$1510&lt;=$J349)),'Match Log'!$N$4:$N$1510),NA()))</f>
        <v>1251.9358369946654</v>
      </c>
      <c r="P349">
        <f>IF($J349&gt;MAX('Match Log'!$A$4:$A$1510),NA(),IFERROR(LOOKUP(2,1/(('Match Log'!$D$4:$D$1510=$P$24)*('Match Log'!$A$4:$A$1510&lt;=$J349)),'Match Log'!$N$4:$N$1510),NA()))</f>
        <v>1231.9133292156973</v>
      </c>
      <c r="Q349">
        <f>IF($J349&gt;MAX('Match Log'!$A$4:$A$1510),NA(),IFERROR(LOOKUP(2,1/(('Match Log'!$D$4:$D$1510=$Q$24)*('Match Log'!$A$4:$A$1510&lt;=$J349)),'Match Log'!$N$4:$N$1510),NA()))</f>
        <v>1210.5445492849278</v>
      </c>
      <c r="R349">
        <f>IF($J349&gt;MAX('Match Log'!$A$4:$A$1510),NA(),IFERROR(LOOKUP(2,1/(('Match Log'!$D$4:$D$1510=$R$24)*('Match Log'!$A$4:$A$1510&lt;=$J349)),'Match Log'!$N$4:$N$1510),NA()))</f>
        <v>1208.9871251980824</v>
      </c>
      <c r="S349">
        <f>IF($J349&gt;MAX('Match Log'!$A$4:$A$1510),NA(),IFERROR(LOOKUP(2,1/(('Match Log'!$D$4:$D$1510=$S$24)*('Match Log'!$A$4:$A$1510&lt;=$J349)),'Match Log'!$N$4:$N$1510),NA()))</f>
        <v>1217.9015417269482</v>
      </c>
      <c r="T349">
        <f>IF($J349&gt;MAX('Match Log'!$A$4:$A$1510),NA(),IFERROR(LOOKUP(2,1/(('Match Log'!$D$4:$D$1510=$T$24)*('Match Log'!$A$4:$A$1510&lt;=$J349)),'Match Log'!$N$4:$N$1510),NA()))</f>
        <v>862.22294373677494</v>
      </c>
      <c r="U349">
        <f>IF($J349&gt;MAX('Match Log'!$A$4:$A$1510),NA(),IFERROR(LOOKUP(2,1/(('Match Log'!$D$4:$D$1510=$U$24)*('Match Log'!$A$4:$A$1510&lt;=$J349)),'Match Log'!$N$4:$N$1510),NA()))</f>
        <v>972.21010962469381</v>
      </c>
      <c r="V349">
        <f>IF($J349&gt;MAX('Match Log'!$A$4:$A$1510),NA(),IFERROR(LOOKUP(2,1/(('Match Log'!$D$4:$D$1510=$V$24)*('Match Log'!$A$4:$A$1510&lt;=$J349)),'Match Log'!$N$4:$N$1510),NA()))</f>
        <v>1087.5488947064855</v>
      </c>
      <c r="W349">
        <f>IF($J349&gt;MAX('Match Log'!$A$4:$A$1510),NA(),IFERROR(LOOKUP(2,1/(('Match Log'!$D$4:$D$1510=$W$24)*('Match Log'!$A$4:$A$1510&lt;=$J349)),'Match Log'!$N$4:$N$1510),NA()))</f>
        <v>1010.5072402821568</v>
      </c>
      <c r="X349" t="e">
        <f>IF($J349&gt;MAX('Match Log'!$A$4:$A$1510),NA(),IFERROR(LOOKUP(2,1/(('Match Log'!$D$4:$D$1510=$X$24)*('Match Log'!$A$4:$A$1510&lt;=$J349)),'Match Log'!$N$4:$N$1510),NA()))</f>
        <v>#N/A</v>
      </c>
      <c r="Y349">
        <f t="shared" ca="1" si="34"/>
        <v>-0.3336583333333335</v>
      </c>
    </row>
    <row r="350" spans="1:25" x14ac:dyDescent="0.2">
      <c r="A350">
        <v>326</v>
      </c>
      <c r="B350">
        <f>IFERROR(INDEX('Match Log'!$B$4:$B$1510,MATCH($A350,'Match Log'!$A$4:$A$1510,0)),"")</f>
        <v>46319</v>
      </c>
      <c r="C350" t="str">
        <f>IFERROR(INDEX('Match Log'!$C$4:$C$1510,MATCH($A350,'Match Log'!$A$4:$A$1510,0)),"")</f>
        <v>Call of Duty</v>
      </c>
      <c r="D350" t="str">
        <f t="array" ref="D350">IFERROR(_xlfn.TEXTJOIN(" + ",TRUE(),IF(('Match Log'!$A$4:$A$1510=$A350)*('Match Log'!$E$4:$E$1510="Win"),'Match Log'!$D$4:$D$1510,"")),IFERROR(LOOKUP(2,1/(('Match Log'!$A$4:$A$1510=$A350)*('Match Log'!$E$4:$E$1510="Win")),'Match Log'!$D$4:$D$1510),""))</f>
        <v>Aaron</v>
      </c>
      <c r="E350">
        <f>IFERROR(INDEX('Match Log'!$F$4:$F$1510,MATCH($A350,'Match Log'!$A$4:$A$1510,0)),"")</f>
        <v>2</v>
      </c>
      <c r="F350">
        <f>IFERROR(SUMIFS('Match Log'!$I$4:$I$1510,'Match Log'!$A$4:$A$1510,$A350,'Match Log'!$E$4:$E$1510,"Win"),"")</f>
        <v>0.30769230769230771</v>
      </c>
      <c r="G350">
        <f t="shared" si="32"/>
        <v>0.38461538461538458</v>
      </c>
      <c r="H350" t="str">
        <f t="array" ref="H350">IFERROR(IF(COUNTIFS('Match Log'!$A$4:$A$1510,$A350,'Match Log'!$E$4:$E$1510,"Win")&gt;1,_xlfn.TEXTJOIN(" + ",TRUE(),IF(('Match Log'!$A$4:$A$1510=$A350)*('Match Log'!$E$4:$E$1510="Loss"),'Match Log'!$D$4:$D$1510,"")),IF($E350=2,LOOKUP(2,1/(('Match Log'!$A$4:$A$1510=$A350)*('Match Log'!$E$4:$E$1510="Loss")),'Match Log'!$D$4:$D$1510),"the field")),"")</f>
        <v>Daniel (Ferret)</v>
      </c>
      <c r="I350">
        <f t="shared" si="33"/>
        <v>0.38428938461538459</v>
      </c>
      <c r="J350">
        <v>326</v>
      </c>
      <c r="K350">
        <f>IF($J350&gt;MAX('Match Log'!$A$4:$A$1510),NA(),IFERROR(LOOKUP(2,1/(('Match Log'!$D$4:$D$1510=$K$24)*('Match Log'!$A$4:$A$1510&lt;=$J350)),'Match Log'!$N$4:$N$1510),NA()))</f>
        <v>1219.2284095766402</v>
      </c>
      <c r="L350">
        <f>IF($J350&gt;MAX('Match Log'!$A$4:$A$1510),NA(),IFERROR(LOOKUP(2,1/(('Match Log'!$D$4:$D$1510=$L$24)*('Match Log'!$A$4:$A$1510&lt;=$J350)),'Match Log'!$N$4:$N$1510),NA()))</f>
        <v>1029.5175965335138</v>
      </c>
      <c r="M350">
        <f>IF($J350&gt;MAX('Match Log'!$A$4:$A$1510),NA(),IFERROR(LOOKUP(2,1/(('Match Log'!$D$4:$D$1510=$M$24)*('Match Log'!$A$4:$A$1510&lt;=$J350)),'Match Log'!$N$4:$N$1510),NA()))</f>
        <v>1048.0761030598392</v>
      </c>
      <c r="N350">
        <f>IF($J350&gt;MAX('Match Log'!$A$4:$A$1510),NA(),IFERROR(LOOKUP(2,1/(('Match Log'!$D$4:$D$1510=$N$24)*('Match Log'!$A$4:$A$1510&lt;=$J350)),'Match Log'!$N$4:$N$1510),NA()))</f>
        <v>907.03133644117429</v>
      </c>
      <c r="O350">
        <f>IF($J350&gt;MAX('Match Log'!$A$4:$A$1510),NA(),IFERROR(LOOKUP(2,1/(('Match Log'!$D$4:$D$1510=$O$24)*('Match Log'!$A$4:$A$1510&lt;=$J350)),'Match Log'!$N$4:$N$1510),NA()))</f>
        <v>1251.9358369946654</v>
      </c>
      <c r="P350">
        <f>IF($J350&gt;MAX('Match Log'!$A$4:$A$1510),NA(),IFERROR(LOOKUP(2,1/(('Match Log'!$D$4:$D$1510=$P$24)*('Match Log'!$A$4:$A$1510&lt;=$J350)),'Match Log'!$N$4:$N$1510),NA()))</f>
        <v>1231.9133292156973</v>
      </c>
      <c r="Q350">
        <f>IF($J350&gt;MAX('Match Log'!$A$4:$A$1510),NA(),IFERROR(LOOKUP(2,1/(('Match Log'!$D$4:$D$1510=$Q$24)*('Match Log'!$A$4:$A$1510&lt;=$J350)),'Match Log'!$N$4:$N$1510),NA()))</f>
        <v>1210.5445492849278</v>
      </c>
      <c r="R350">
        <f>IF($J350&gt;MAX('Match Log'!$A$4:$A$1510),NA(),IFERROR(LOOKUP(2,1/(('Match Log'!$D$4:$D$1510=$R$24)*('Match Log'!$A$4:$A$1510&lt;=$J350)),'Match Log'!$N$4:$N$1510),NA()))</f>
        <v>1181.3621088164821</v>
      </c>
      <c r="S350">
        <f>IF($J350&gt;MAX('Match Log'!$A$4:$A$1510),NA(),IFERROR(LOOKUP(2,1/(('Match Log'!$D$4:$D$1510=$S$24)*('Match Log'!$A$4:$A$1510&lt;=$J350)),'Match Log'!$N$4:$N$1510),NA()))</f>
        <v>1217.9015417269482</v>
      </c>
      <c r="T350">
        <f>IF($J350&gt;MAX('Match Log'!$A$4:$A$1510),NA(),IFERROR(LOOKUP(2,1/(('Match Log'!$D$4:$D$1510=$T$24)*('Match Log'!$A$4:$A$1510&lt;=$J350)),'Match Log'!$N$4:$N$1510),NA()))</f>
        <v>862.22294373677494</v>
      </c>
      <c r="U350">
        <f>IF($J350&gt;MAX('Match Log'!$A$4:$A$1510),NA(),IFERROR(LOOKUP(2,1/(('Match Log'!$D$4:$D$1510=$U$24)*('Match Log'!$A$4:$A$1510&lt;=$J350)),'Match Log'!$N$4:$N$1510),NA()))</f>
        <v>972.21010962469381</v>
      </c>
      <c r="V350">
        <f>IF($J350&gt;MAX('Match Log'!$A$4:$A$1510),NA(),IFERROR(LOOKUP(2,1/(('Match Log'!$D$4:$D$1510=$V$24)*('Match Log'!$A$4:$A$1510&lt;=$J350)),'Match Log'!$N$4:$N$1510),NA()))</f>
        <v>1087.5488947064855</v>
      </c>
      <c r="W350">
        <f>IF($J350&gt;MAX('Match Log'!$A$4:$A$1510),NA(),IFERROR(LOOKUP(2,1/(('Match Log'!$D$4:$D$1510=$W$24)*('Match Log'!$A$4:$A$1510&lt;=$J350)),'Match Log'!$N$4:$N$1510),NA()))</f>
        <v>1010.5072402821568</v>
      </c>
      <c r="X350" t="e">
        <f>IF($J350&gt;MAX('Match Log'!$A$4:$A$1510),NA(),IFERROR(LOOKUP(2,1/(('Match Log'!$D$4:$D$1510=$X$24)*('Match Log'!$A$4:$A$1510&lt;=$J350)),'Match Log'!$N$4:$N$1510),NA()))</f>
        <v>#N/A</v>
      </c>
      <c r="Y350">
        <f t="shared" ca="1" si="34"/>
        <v>0.38428938461538459</v>
      </c>
    </row>
    <row r="351" spans="1:25" x14ac:dyDescent="0.2">
      <c r="A351">
        <v>327</v>
      </c>
      <c r="B351">
        <f>IFERROR(INDEX('Match Log'!$B$4:$B$1510,MATCH($A351,'Match Log'!$A$4:$A$1510,0)),"")</f>
        <v>46319</v>
      </c>
      <c r="C351" t="str">
        <f>IFERROR(INDEX('Match Log'!$C$4:$C$1510,MATCH($A351,'Match Log'!$A$4:$A$1510,0)),"")</f>
        <v>Call of Duty</v>
      </c>
      <c r="D351" t="str">
        <f t="array" ref="D351">IFERROR(_xlfn.TEXTJOIN(" + ",TRUE(),IF(('Match Log'!$A$4:$A$1510=$A351)*('Match Log'!$E$4:$E$1510="Win"),'Match Log'!$D$4:$D$1510,"")),IFERROR(LOOKUP(2,1/(('Match Log'!$A$4:$A$1510=$A351)*('Match Log'!$E$4:$E$1510="Win")),'Match Log'!$D$4:$D$1510),""))</f>
        <v>Aaron</v>
      </c>
      <c r="E351">
        <f>IFERROR(INDEX('Match Log'!$F$4:$F$1510,MATCH($A351,'Match Log'!$A$4:$A$1510,0)),"")</f>
        <v>2</v>
      </c>
      <c r="F351">
        <f>IFERROR(SUMIFS('Match Log'!$I$4:$I$1510,'Match Log'!$A$4:$A$1510,$A351,'Match Log'!$E$4:$E$1510,"Win"),"")</f>
        <v>0.35714285714285721</v>
      </c>
      <c r="G351">
        <f t="shared" si="32"/>
        <v>0.28571428571428559</v>
      </c>
      <c r="H351" t="str">
        <f t="array" ref="H351">IFERROR(IF(COUNTIFS('Match Log'!$A$4:$A$1510,$A351,'Match Log'!$E$4:$E$1510,"Win")&gt;1,_xlfn.TEXTJOIN(" + ",TRUE(),IF(('Match Log'!$A$4:$A$1510=$A351)*('Match Log'!$E$4:$E$1510="Loss"),'Match Log'!$D$4:$D$1510,"")),IF($E351=2,LOOKUP(2,1/(('Match Log'!$A$4:$A$1510=$A351)*('Match Log'!$E$4:$E$1510="Loss")),'Match Log'!$D$4:$D$1510),"the field")),"")</f>
        <v>Daniel (Ferret)</v>
      </c>
      <c r="I351">
        <f t="shared" si="33"/>
        <v>0.28538728571428557</v>
      </c>
      <c r="J351">
        <v>327</v>
      </c>
      <c r="K351">
        <f>IF($J351&gt;MAX('Match Log'!$A$4:$A$1510),NA(),IFERROR(LOOKUP(2,1/(('Match Log'!$D$4:$D$1510=$K$24)*('Match Log'!$A$4:$A$1510&lt;=$J351)),'Match Log'!$N$4:$N$1510),NA()))</f>
        <v>1244.2911759451083</v>
      </c>
      <c r="L351">
        <f>IF($J351&gt;MAX('Match Log'!$A$4:$A$1510),NA(),IFERROR(LOOKUP(2,1/(('Match Log'!$D$4:$D$1510=$L$24)*('Match Log'!$A$4:$A$1510&lt;=$J351)),'Match Log'!$N$4:$N$1510),NA()))</f>
        <v>1029.5175965335138</v>
      </c>
      <c r="M351">
        <f>IF($J351&gt;MAX('Match Log'!$A$4:$A$1510),NA(),IFERROR(LOOKUP(2,1/(('Match Log'!$D$4:$D$1510=$M$24)*('Match Log'!$A$4:$A$1510&lt;=$J351)),'Match Log'!$N$4:$N$1510),NA()))</f>
        <v>1048.0761030598392</v>
      </c>
      <c r="N351">
        <f>IF($J351&gt;MAX('Match Log'!$A$4:$A$1510),NA(),IFERROR(LOOKUP(2,1/(('Match Log'!$D$4:$D$1510=$N$24)*('Match Log'!$A$4:$A$1510&lt;=$J351)),'Match Log'!$N$4:$N$1510),NA()))</f>
        <v>907.03133644117429</v>
      </c>
      <c r="O351">
        <f>IF($J351&gt;MAX('Match Log'!$A$4:$A$1510),NA(),IFERROR(LOOKUP(2,1/(('Match Log'!$D$4:$D$1510=$O$24)*('Match Log'!$A$4:$A$1510&lt;=$J351)),'Match Log'!$N$4:$N$1510),NA()))</f>
        <v>1251.9358369946654</v>
      </c>
      <c r="P351">
        <f>IF($J351&gt;MAX('Match Log'!$A$4:$A$1510),NA(),IFERROR(LOOKUP(2,1/(('Match Log'!$D$4:$D$1510=$P$24)*('Match Log'!$A$4:$A$1510&lt;=$J351)),'Match Log'!$N$4:$N$1510),NA()))</f>
        <v>1231.9133292156973</v>
      </c>
      <c r="Q351">
        <f>IF($J351&gt;MAX('Match Log'!$A$4:$A$1510),NA(),IFERROR(LOOKUP(2,1/(('Match Log'!$D$4:$D$1510=$Q$24)*('Match Log'!$A$4:$A$1510&lt;=$J351)),'Match Log'!$N$4:$N$1510),NA()))</f>
        <v>1210.5445492849278</v>
      </c>
      <c r="R351">
        <f>IF($J351&gt;MAX('Match Log'!$A$4:$A$1510),NA(),IFERROR(LOOKUP(2,1/(('Match Log'!$D$4:$D$1510=$R$24)*('Match Log'!$A$4:$A$1510&lt;=$J351)),'Match Log'!$N$4:$N$1510),NA()))</f>
        <v>1156.2993424480139</v>
      </c>
      <c r="S351">
        <f>IF($J351&gt;MAX('Match Log'!$A$4:$A$1510),NA(),IFERROR(LOOKUP(2,1/(('Match Log'!$D$4:$D$1510=$S$24)*('Match Log'!$A$4:$A$1510&lt;=$J351)),'Match Log'!$N$4:$N$1510),NA()))</f>
        <v>1217.9015417269482</v>
      </c>
      <c r="T351">
        <f>IF($J351&gt;MAX('Match Log'!$A$4:$A$1510),NA(),IFERROR(LOOKUP(2,1/(('Match Log'!$D$4:$D$1510=$T$24)*('Match Log'!$A$4:$A$1510&lt;=$J351)),'Match Log'!$N$4:$N$1510),NA()))</f>
        <v>862.22294373677494</v>
      </c>
      <c r="U351">
        <f>IF($J351&gt;MAX('Match Log'!$A$4:$A$1510),NA(),IFERROR(LOOKUP(2,1/(('Match Log'!$D$4:$D$1510=$U$24)*('Match Log'!$A$4:$A$1510&lt;=$J351)),'Match Log'!$N$4:$N$1510),NA()))</f>
        <v>972.21010962469381</v>
      </c>
      <c r="V351">
        <f>IF($J351&gt;MAX('Match Log'!$A$4:$A$1510),NA(),IFERROR(LOOKUP(2,1/(('Match Log'!$D$4:$D$1510=$V$24)*('Match Log'!$A$4:$A$1510&lt;=$J351)),'Match Log'!$N$4:$N$1510),NA()))</f>
        <v>1087.5488947064855</v>
      </c>
      <c r="W351">
        <f>IF($J351&gt;MAX('Match Log'!$A$4:$A$1510),NA(),IFERROR(LOOKUP(2,1/(('Match Log'!$D$4:$D$1510=$W$24)*('Match Log'!$A$4:$A$1510&lt;=$J351)),'Match Log'!$N$4:$N$1510),NA()))</f>
        <v>1010.5072402821568</v>
      </c>
      <c r="X351" t="e">
        <f>IF($J351&gt;MAX('Match Log'!$A$4:$A$1510),NA(),IFERROR(LOOKUP(2,1/(('Match Log'!$D$4:$D$1510=$X$24)*('Match Log'!$A$4:$A$1510&lt;=$J351)),'Match Log'!$N$4:$N$1510),NA()))</f>
        <v>#N/A</v>
      </c>
      <c r="Y351">
        <f t="shared" ca="1" si="34"/>
        <v>0.28538728571428557</v>
      </c>
    </row>
    <row r="352" spans="1:25" x14ac:dyDescent="0.2">
      <c r="A352">
        <v>328</v>
      </c>
      <c r="B352">
        <f>IFERROR(INDEX('Match Log'!$B$4:$B$1510,MATCH($A352,'Match Log'!$A$4:$A$1510,0)),"")</f>
        <v>46320</v>
      </c>
      <c r="C352" t="str">
        <f>IFERROR(INDEX('Match Log'!$C$4:$C$1510,MATCH($A352,'Match Log'!$A$4:$A$1510,0)),"")</f>
        <v>Putt Putt</v>
      </c>
      <c r="D352" t="str">
        <f t="array" ref="D352">IFERROR(_xlfn.TEXTJOIN(" + ",TRUE(),IF(('Match Log'!$A$4:$A$1510=$A352)*('Match Log'!$E$4:$E$1510="Win"),'Match Log'!$D$4:$D$1510,"")),IFERROR(LOOKUP(2,1/(('Match Log'!$A$4:$A$1510=$A352)*('Match Log'!$E$4:$E$1510="Win")),'Match Log'!$D$4:$D$1510),""))</f>
        <v>Oscar</v>
      </c>
      <c r="E352">
        <f>IFERROR(INDEX('Match Log'!$F$4:$F$1510,MATCH($A352,'Match Log'!$A$4:$A$1510,0)),"")</f>
        <v>2</v>
      </c>
      <c r="F352">
        <f>IFERROR(SUMIFS('Match Log'!$I$4:$I$1510,'Match Log'!$A$4:$A$1510,$A352,'Match Log'!$E$4:$E$1510,"Win"),"")</f>
        <v>0.29411764705882354</v>
      </c>
      <c r="G352">
        <f t="shared" si="32"/>
        <v>0.41176470588235292</v>
      </c>
      <c r="H352" t="str">
        <f t="array" ref="H352">IFERROR(IF(COUNTIFS('Match Log'!$A$4:$A$1510,$A352,'Match Log'!$E$4:$E$1510,"Win")&gt;1,_xlfn.TEXTJOIN(" + ",TRUE(),IF(('Match Log'!$A$4:$A$1510=$A352)*('Match Log'!$E$4:$E$1510="Loss"),'Match Log'!$D$4:$D$1510,"")),IF($E352=2,LOOKUP(2,1/(('Match Log'!$A$4:$A$1510=$A352)*('Match Log'!$E$4:$E$1510="Loss")),'Match Log'!$D$4:$D$1510),"the field")),"")</f>
        <v>Shawn</v>
      </c>
      <c r="I352">
        <f t="shared" si="33"/>
        <v>0.41143670588235293</v>
      </c>
      <c r="J352">
        <v>328</v>
      </c>
      <c r="K352">
        <f>IF($J352&gt;MAX('Match Log'!$A$4:$A$1510),NA(),IFERROR(LOOKUP(2,1/(('Match Log'!$D$4:$D$1510=$K$24)*('Match Log'!$A$4:$A$1510&lt;=$J352)),'Match Log'!$N$4:$N$1510),NA()))</f>
        <v>1244.2911759451083</v>
      </c>
      <c r="L352">
        <f>IF($J352&gt;MAX('Match Log'!$A$4:$A$1510),NA(),IFERROR(LOOKUP(2,1/(('Match Log'!$D$4:$D$1510=$L$24)*('Match Log'!$A$4:$A$1510&lt;=$J352)),'Match Log'!$N$4:$N$1510),NA()))</f>
        <v>1029.5175965335138</v>
      </c>
      <c r="M352">
        <f>IF($J352&gt;MAX('Match Log'!$A$4:$A$1510),NA(),IFERROR(LOOKUP(2,1/(('Match Log'!$D$4:$D$1510=$M$24)*('Match Log'!$A$4:$A$1510&lt;=$J352)),'Match Log'!$N$4:$N$1510),NA()))</f>
        <v>1048.0761030598392</v>
      </c>
      <c r="N352">
        <f>IF($J352&gt;MAX('Match Log'!$A$4:$A$1510),NA(),IFERROR(LOOKUP(2,1/(('Match Log'!$D$4:$D$1510=$N$24)*('Match Log'!$A$4:$A$1510&lt;=$J352)),'Match Log'!$N$4:$N$1510),NA()))</f>
        <v>907.03133644117429</v>
      </c>
      <c r="O352">
        <f>IF($J352&gt;MAX('Match Log'!$A$4:$A$1510),NA(),IFERROR(LOOKUP(2,1/(('Match Log'!$D$4:$D$1510=$O$24)*('Match Log'!$A$4:$A$1510&lt;=$J352)),'Match Log'!$N$4:$N$1510),NA()))</f>
        <v>1251.9358369946654</v>
      </c>
      <c r="P352">
        <f>IF($J352&gt;MAX('Match Log'!$A$4:$A$1510),NA(),IFERROR(LOOKUP(2,1/(('Match Log'!$D$4:$D$1510=$P$24)*('Match Log'!$A$4:$A$1510&lt;=$J352)),'Match Log'!$N$4:$N$1510),NA()))</f>
        <v>1199.9180814643371</v>
      </c>
      <c r="Q352">
        <f>IF($J352&gt;MAX('Match Log'!$A$4:$A$1510),NA(),IFERROR(LOOKUP(2,1/(('Match Log'!$D$4:$D$1510=$Q$24)*('Match Log'!$A$4:$A$1510&lt;=$J352)),'Match Log'!$N$4:$N$1510),NA()))</f>
        <v>1210.5445492849278</v>
      </c>
      <c r="R352">
        <f>IF($J352&gt;MAX('Match Log'!$A$4:$A$1510),NA(),IFERROR(LOOKUP(2,1/(('Match Log'!$D$4:$D$1510=$R$24)*('Match Log'!$A$4:$A$1510&lt;=$J352)),'Match Log'!$N$4:$N$1510),NA()))</f>
        <v>1156.2993424480139</v>
      </c>
      <c r="S352">
        <f>IF($J352&gt;MAX('Match Log'!$A$4:$A$1510),NA(),IFERROR(LOOKUP(2,1/(('Match Log'!$D$4:$D$1510=$S$24)*('Match Log'!$A$4:$A$1510&lt;=$J352)),'Match Log'!$N$4:$N$1510),NA()))</f>
        <v>1217.9015417269482</v>
      </c>
      <c r="T352">
        <f>IF($J352&gt;MAX('Match Log'!$A$4:$A$1510),NA(),IFERROR(LOOKUP(2,1/(('Match Log'!$D$4:$D$1510=$T$24)*('Match Log'!$A$4:$A$1510&lt;=$J352)),'Match Log'!$N$4:$N$1510),NA()))</f>
        <v>862.22294373677494</v>
      </c>
      <c r="U352">
        <f>IF($J352&gt;MAX('Match Log'!$A$4:$A$1510),NA(),IFERROR(LOOKUP(2,1/(('Match Log'!$D$4:$D$1510=$U$24)*('Match Log'!$A$4:$A$1510&lt;=$J352)),'Match Log'!$N$4:$N$1510),NA()))</f>
        <v>1004.2053573760541</v>
      </c>
      <c r="V352">
        <f>IF($J352&gt;MAX('Match Log'!$A$4:$A$1510),NA(),IFERROR(LOOKUP(2,1/(('Match Log'!$D$4:$D$1510=$V$24)*('Match Log'!$A$4:$A$1510&lt;=$J352)),'Match Log'!$N$4:$N$1510),NA()))</f>
        <v>1087.5488947064855</v>
      </c>
      <c r="W352">
        <f>IF($J352&gt;MAX('Match Log'!$A$4:$A$1510),NA(),IFERROR(LOOKUP(2,1/(('Match Log'!$D$4:$D$1510=$W$24)*('Match Log'!$A$4:$A$1510&lt;=$J352)),'Match Log'!$N$4:$N$1510),NA()))</f>
        <v>1010.5072402821568</v>
      </c>
      <c r="X352" t="e">
        <f>IF($J352&gt;MAX('Match Log'!$A$4:$A$1510),NA(),IFERROR(LOOKUP(2,1/(('Match Log'!$D$4:$D$1510=$X$24)*('Match Log'!$A$4:$A$1510&lt;=$J352)),'Match Log'!$N$4:$N$1510),NA()))</f>
        <v>#N/A</v>
      </c>
      <c r="Y352">
        <f t="shared" ca="1" si="34"/>
        <v>0.41143670588235293</v>
      </c>
    </row>
    <row r="353" spans="1:25" x14ac:dyDescent="0.2">
      <c r="A353">
        <v>329</v>
      </c>
      <c r="B353">
        <f>IFERROR(INDEX('Match Log'!$B$4:$B$1510,MATCH($A353,'Match Log'!$A$4:$A$1510,0)),"")</f>
        <v>46322</v>
      </c>
      <c r="C353" t="str">
        <f>IFERROR(INDEX('Match Log'!$C$4:$C$1510,MATCH($A353,'Match Log'!$A$4:$A$1510,0)),"")</f>
        <v>Pool</v>
      </c>
      <c r="D353" t="str">
        <f t="array" ref="D353">IFERROR(_xlfn.TEXTJOIN(" + ",TRUE(),IF(('Match Log'!$A$4:$A$1510=$A353)*('Match Log'!$E$4:$E$1510="Win"),'Match Log'!$D$4:$D$1510,"")),IFERROR(LOOKUP(2,1/(('Match Log'!$A$4:$A$1510=$A353)*('Match Log'!$E$4:$E$1510="Win")),'Match Log'!$D$4:$D$1510),""))</f>
        <v>Josh</v>
      </c>
      <c r="E353">
        <f>IFERROR(INDEX('Match Log'!$F$4:$F$1510,MATCH($A353,'Match Log'!$A$4:$A$1510,0)),"")</f>
        <v>2</v>
      </c>
      <c r="F353">
        <f>IFERROR(SUMIFS('Match Log'!$I$4:$I$1510,'Match Log'!$A$4:$A$1510,$A353,'Match Log'!$E$4:$E$1510,"Win"),"")</f>
        <v>0.5714285714285714</v>
      </c>
      <c r="G353">
        <f t="shared" si="32"/>
        <v>-0.14285714285714279</v>
      </c>
      <c r="H353" t="str">
        <f t="array" ref="H353">IFERROR(IF(COUNTIFS('Match Log'!$A$4:$A$1510,$A353,'Match Log'!$E$4:$E$1510,"Win")&gt;1,_xlfn.TEXTJOIN(" + ",TRUE(),IF(('Match Log'!$A$4:$A$1510=$A353)*('Match Log'!$E$4:$E$1510="Loss"),'Match Log'!$D$4:$D$1510,"")),IF($E353=2,LOOKUP(2,1/(('Match Log'!$A$4:$A$1510=$A353)*('Match Log'!$E$4:$E$1510="Loss")),'Match Log'!$D$4:$D$1510),"the field")),"")</f>
        <v>Daniel (Ferret)</v>
      </c>
      <c r="I353">
        <f t="shared" si="33"/>
        <v>-0.14318614285714279</v>
      </c>
      <c r="J353">
        <v>329</v>
      </c>
      <c r="K353">
        <f>IF($J353&gt;MAX('Match Log'!$A$4:$A$1510),NA(),IFERROR(LOOKUP(2,1/(('Match Log'!$D$4:$D$1510=$K$24)*('Match Log'!$A$4:$A$1510&lt;=$J353)),'Match Log'!$N$4:$N$1510),NA()))</f>
        <v>1244.2911759451083</v>
      </c>
      <c r="L353">
        <f>IF($J353&gt;MAX('Match Log'!$A$4:$A$1510),NA(),IFERROR(LOOKUP(2,1/(('Match Log'!$D$4:$D$1510=$L$24)*('Match Log'!$A$4:$A$1510&lt;=$J353)),'Match Log'!$N$4:$N$1510),NA()))</f>
        <v>1029.5175965335138</v>
      </c>
      <c r="M353">
        <f>IF($J353&gt;MAX('Match Log'!$A$4:$A$1510),NA(),IFERROR(LOOKUP(2,1/(('Match Log'!$D$4:$D$1510=$M$24)*('Match Log'!$A$4:$A$1510&lt;=$J353)),'Match Log'!$N$4:$N$1510),NA()))</f>
        <v>1048.0761030598392</v>
      </c>
      <c r="N353">
        <f>IF($J353&gt;MAX('Match Log'!$A$4:$A$1510),NA(),IFERROR(LOOKUP(2,1/(('Match Log'!$D$4:$D$1510=$N$24)*('Match Log'!$A$4:$A$1510&lt;=$J353)),'Match Log'!$N$4:$N$1510),NA()))</f>
        <v>907.03133644117429</v>
      </c>
      <c r="O353">
        <f>IF($J353&gt;MAX('Match Log'!$A$4:$A$1510),NA(),IFERROR(LOOKUP(2,1/(('Match Log'!$D$4:$D$1510=$O$24)*('Match Log'!$A$4:$A$1510&lt;=$J353)),'Match Log'!$N$4:$N$1510),NA()))</f>
        <v>1268.2705745951848</v>
      </c>
      <c r="P353">
        <f>IF($J353&gt;MAX('Match Log'!$A$4:$A$1510),NA(),IFERROR(LOOKUP(2,1/(('Match Log'!$D$4:$D$1510=$P$24)*('Match Log'!$A$4:$A$1510&lt;=$J353)),'Match Log'!$N$4:$N$1510),NA()))</f>
        <v>1199.9180814643371</v>
      </c>
      <c r="Q353">
        <f>IF($J353&gt;MAX('Match Log'!$A$4:$A$1510),NA(),IFERROR(LOOKUP(2,1/(('Match Log'!$D$4:$D$1510=$Q$24)*('Match Log'!$A$4:$A$1510&lt;=$J353)),'Match Log'!$N$4:$N$1510),NA()))</f>
        <v>1210.5445492849278</v>
      </c>
      <c r="R353">
        <f>IF($J353&gt;MAX('Match Log'!$A$4:$A$1510),NA(),IFERROR(LOOKUP(2,1/(('Match Log'!$D$4:$D$1510=$R$24)*('Match Log'!$A$4:$A$1510&lt;=$J353)),'Match Log'!$N$4:$N$1510),NA()))</f>
        <v>1139.9646048474945</v>
      </c>
      <c r="S353">
        <f>IF($J353&gt;MAX('Match Log'!$A$4:$A$1510),NA(),IFERROR(LOOKUP(2,1/(('Match Log'!$D$4:$D$1510=$S$24)*('Match Log'!$A$4:$A$1510&lt;=$J353)),'Match Log'!$N$4:$N$1510),NA()))</f>
        <v>1217.9015417269482</v>
      </c>
      <c r="T353">
        <f>IF($J353&gt;MAX('Match Log'!$A$4:$A$1510),NA(),IFERROR(LOOKUP(2,1/(('Match Log'!$D$4:$D$1510=$T$24)*('Match Log'!$A$4:$A$1510&lt;=$J353)),'Match Log'!$N$4:$N$1510),NA()))</f>
        <v>862.22294373677494</v>
      </c>
      <c r="U353">
        <f>IF($J353&gt;MAX('Match Log'!$A$4:$A$1510),NA(),IFERROR(LOOKUP(2,1/(('Match Log'!$D$4:$D$1510=$U$24)*('Match Log'!$A$4:$A$1510&lt;=$J353)),'Match Log'!$N$4:$N$1510),NA()))</f>
        <v>1004.2053573760541</v>
      </c>
      <c r="V353">
        <f>IF($J353&gt;MAX('Match Log'!$A$4:$A$1510),NA(),IFERROR(LOOKUP(2,1/(('Match Log'!$D$4:$D$1510=$V$24)*('Match Log'!$A$4:$A$1510&lt;=$J353)),'Match Log'!$N$4:$N$1510),NA()))</f>
        <v>1087.5488947064855</v>
      </c>
      <c r="W353">
        <f>IF($J353&gt;MAX('Match Log'!$A$4:$A$1510),NA(),IFERROR(LOOKUP(2,1/(('Match Log'!$D$4:$D$1510=$W$24)*('Match Log'!$A$4:$A$1510&lt;=$J353)),'Match Log'!$N$4:$N$1510),NA()))</f>
        <v>1010.5072402821568</v>
      </c>
      <c r="X353" t="e">
        <f>IF($J353&gt;MAX('Match Log'!$A$4:$A$1510),NA(),IFERROR(LOOKUP(2,1/(('Match Log'!$D$4:$D$1510=$X$24)*('Match Log'!$A$4:$A$1510&lt;=$J353)),'Match Log'!$N$4:$N$1510),NA()))</f>
        <v>#N/A</v>
      </c>
      <c r="Y353">
        <f t="shared" ca="1" si="34"/>
        <v>-0.14318614285714279</v>
      </c>
    </row>
    <row r="354" spans="1:25" x14ac:dyDescent="0.2">
      <c r="A354">
        <v>330</v>
      </c>
      <c r="B354">
        <f>IFERROR(INDEX('Match Log'!$B$4:$B$1510,MATCH($A354,'Match Log'!$A$4:$A$1510,0)),"")</f>
        <v>46322</v>
      </c>
      <c r="C354" t="str">
        <f>IFERROR(INDEX('Match Log'!$C$4:$C$1510,MATCH($A354,'Match Log'!$A$4:$A$1510,0)),"")</f>
        <v>Pool</v>
      </c>
      <c r="D354" t="str">
        <f t="array" ref="D354">IFERROR(_xlfn.TEXTJOIN(" + ",TRUE(),IF(('Match Log'!$A$4:$A$1510=$A354)*('Match Log'!$E$4:$E$1510="Win"),'Match Log'!$D$4:$D$1510,"")),IFERROR(LOOKUP(2,1/(('Match Log'!$A$4:$A$1510=$A354)*('Match Log'!$E$4:$E$1510="Win")),'Match Log'!$D$4:$D$1510),""))</f>
        <v>Daniel (Ferret)</v>
      </c>
      <c r="E354">
        <f>IFERROR(INDEX('Match Log'!$F$4:$F$1510,MATCH($A354,'Match Log'!$A$4:$A$1510,0)),"")</f>
        <v>2</v>
      </c>
      <c r="F354">
        <f>IFERROR(SUMIFS('Match Log'!$I$4:$I$1510,'Match Log'!$A$4:$A$1510,$A354,'Match Log'!$E$4:$E$1510,"Win"),"")</f>
        <v>0.39024390243902446</v>
      </c>
      <c r="G354">
        <f t="shared" si="32"/>
        <v>0.21951219512195108</v>
      </c>
      <c r="H354" t="str">
        <f t="array" ref="H354">IFERROR(IF(COUNTIFS('Match Log'!$A$4:$A$1510,$A354,'Match Log'!$E$4:$E$1510,"Win")&gt;1,_xlfn.TEXTJOIN(" + ",TRUE(),IF(('Match Log'!$A$4:$A$1510=$A354)*('Match Log'!$E$4:$E$1510="Loss"),'Match Log'!$D$4:$D$1510,"")),IF($E354=2,LOOKUP(2,1/(('Match Log'!$A$4:$A$1510=$A354)*('Match Log'!$E$4:$E$1510="Loss")),'Match Log'!$D$4:$D$1510),"the field")),"")</f>
        <v>Josh</v>
      </c>
      <c r="I354">
        <f t="shared" si="33"/>
        <v>0.21918219512195108</v>
      </c>
      <c r="J354">
        <v>330</v>
      </c>
      <c r="K354">
        <f>IF($J354&gt;MAX('Match Log'!$A$4:$A$1510),NA(),IFERROR(LOOKUP(2,1/(('Match Log'!$D$4:$D$1510=$K$24)*('Match Log'!$A$4:$A$1510&lt;=$J354)),'Match Log'!$N$4:$N$1510),NA()))</f>
        <v>1244.2911759451083</v>
      </c>
      <c r="L354">
        <f>IF($J354&gt;MAX('Match Log'!$A$4:$A$1510),NA(),IFERROR(LOOKUP(2,1/(('Match Log'!$D$4:$D$1510=$L$24)*('Match Log'!$A$4:$A$1510&lt;=$J354)),'Match Log'!$N$4:$N$1510),NA()))</f>
        <v>1029.5175965335138</v>
      </c>
      <c r="M354">
        <f>IF($J354&gt;MAX('Match Log'!$A$4:$A$1510),NA(),IFERROR(LOOKUP(2,1/(('Match Log'!$D$4:$D$1510=$M$24)*('Match Log'!$A$4:$A$1510&lt;=$J354)),'Match Log'!$N$4:$N$1510),NA()))</f>
        <v>1048.0761030598392</v>
      </c>
      <c r="N354">
        <f>IF($J354&gt;MAX('Match Log'!$A$4:$A$1510),NA(),IFERROR(LOOKUP(2,1/(('Match Log'!$D$4:$D$1510=$N$24)*('Match Log'!$A$4:$A$1510&lt;=$J354)),'Match Log'!$N$4:$N$1510),NA()))</f>
        <v>907.03133644117429</v>
      </c>
      <c r="O354">
        <f>IF($J354&gt;MAX('Match Log'!$A$4:$A$1510),NA(),IFERROR(LOOKUP(2,1/(('Match Log'!$D$4:$D$1510=$O$24)*('Match Log'!$A$4:$A$1510&lt;=$J354)),'Match Log'!$N$4:$N$1510),NA()))</f>
        <v>1239.2423766352731</v>
      </c>
      <c r="P354">
        <f>IF($J354&gt;MAX('Match Log'!$A$4:$A$1510),NA(),IFERROR(LOOKUP(2,1/(('Match Log'!$D$4:$D$1510=$P$24)*('Match Log'!$A$4:$A$1510&lt;=$J354)),'Match Log'!$N$4:$N$1510),NA()))</f>
        <v>1199.9180814643371</v>
      </c>
      <c r="Q354">
        <f>IF($J354&gt;MAX('Match Log'!$A$4:$A$1510),NA(),IFERROR(LOOKUP(2,1/(('Match Log'!$D$4:$D$1510=$Q$24)*('Match Log'!$A$4:$A$1510&lt;=$J354)),'Match Log'!$N$4:$N$1510),NA()))</f>
        <v>1210.5445492849278</v>
      </c>
      <c r="R354">
        <f>IF($J354&gt;MAX('Match Log'!$A$4:$A$1510),NA(),IFERROR(LOOKUP(2,1/(('Match Log'!$D$4:$D$1510=$R$24)*('Match Log'!$A$4:$A$1510&lt;=$J354)),'Match Log'!$N$4:$N$1510),NA()))</f>
        <v>1168.9928028074062</v>
      </c>
      <c r="S354">
        <f>IF($J354&gt;MAX('Match Log'!$A$4:$A$1510),NA(),IFERROR(LOOKUP(2,1/(('Match Log'!$D$4:$D$1510=$S$24)*('Match Log'!$A$4:$A$1510&lt;=$J354)),'Match Log'!$N$4:$N$1510),NA()))</f>
        <v>1217.9015417269482</v>
      </c>
      <c r="T354">
        <f>IF($J354&gt;MAX('Match Log'!$A$4:$A$1510),NA(),IFERROR(LOOKUP(2,1/(('Match Log'!$D$4:$D$1510=$T$24)*('Match Log'!$A$4:$A$1510&lt;=$J354)),'Match Log'!$N$4:$N$1510),NA()))</f>
        <v>862.22294373677494</v>
      </c>
      <c r="U354">
        <f>IF($J354&gt;MAX('Match Log'!$A$4:$A$1510),NA(),IFERROR(LOOKUP(2,1/(('Match Log'!$D$4:$D$1510=$U$24)*('Match Log'!$A$4:$A$1510&lt;=$J354)),'Match Log'!$N$4:$N$1510),NA()))</f>
        <v>1004.2053573760541</v>
      </c>
      <c r="V354">
        <f>IF($J354&gt;MAX('Match Log'!$A$4:$A$1510),NA(),IFERROR(LOOKUP(2,1/(('Match Log'!$D$4:$D$1510=$V$24)*('Match Log'!$A$4:$A$1510&lt;=$J354)),'Match Log'!$N$4:$N$1510),NA()))</f>
        <v>1087.5488947064855</v>
      </c>
      <c r="W354">
        <f>IF($J354&gt;MAX('Match Log'!$A$4:$A$1510),NA(),IFERROR(LOOKUP(2,1/(('Match Log'!$D$4:$D$1510=$W$24)*('Match Log'!$A$4:$A$1510&lt;=$J354)),'Match Log'!$N$4:$N$1510),NA()))</f>
        <v>1010.5072402821568</v>
      </c>
      <c r="X354" t="e">
        <f>IF($J354&gt;MAX('Match Log'!$A$4:$A$1510),NA(),IFERROR(LOOKUP(2,1/(('Match Log'!$D$4:$D$1510=$X$24)*('Match Log'!$A$4:$A$1510&lt;=$J354)),'Match Log'!$N$4:$N$1510),NA()))</f>
        <v>#N/A</v>
      </c>
      <c r="Y354">
        <f t="shared" ca="1" si="34"/>
        <v>0.21918219512195108</v>
      </c>
    </row>
    <row r="355" spans="1:25" x14ac:dyDescent="0.2">
      <c r="A355">
        <v>331</v>
      </c>
      <c r="B355">
        <f>IFERROR(INDEX('Match Log'!$B$4:$B$1510,MATCH($A355,'Match Log'!$A$4:$A$1510,0)),"")</f>
        <v>46322</v>
      </c>
      <c r="C355" t="str">
        <f>IFERROR(INDEX('Match Log'!$C$4:$C$1510,MATCH($A355,'Match Log'!$A$4:$A$1510,0)),"")</f>
        <v>Table Tennis</v>
      </c>
      <c r="D355" t="str">
        <f t="array" ref="D355">IFERROR(_xlfn.TEXTJOIN(" + ",TRUE(),IF(('Match Log'!$A$4:$A$1510=$A355)*('Match Log'!$E$4:$E$1510="Win"),'Match Log'!$D$4:$D$1510,"")),IFERROR(LOOKUP(2,1/(('Match Log'!$A$4:$A$1510=$A355)*('Match Log'!$E$4:$E$1510="Win")),'Match Log'!$D$4:$D$1510),""))</f>
        <v>Josh</v>
      </c>
      <c r="E355">
        <f>IFERROR(INDEX('Match Log'!$F$4:$F$1510,MATCH($A355,'Match Log'!$A$4:$A$1510,0)),"")</f>
        <v>2</v>
      </c>
      <c r="F355">
        <f>IFERROR(SUMIFS('Match Log'!$I$4:$I$1510,'Match Log'!$A$4:$A$1510,$A355,'Match Log'!$E$4:$E$1510,"Win"),"")</f>
        <v>0.78750000000000009</v>
      </c>
      <c r="G355">
        <f t="shared" si="32"/>
        <v>-0.57500000000000018</v>
      </c>
      <c r="H355" t="str">
        <f t="array" ref="H355">IFERROR(IF(COUNTIFS('Match Log'!$A$4:$A$1510,$A355,'Match Log'!$E$4:$E$1510,"Win")&gt;1,_xlfn.TEXTJOIN(" + ",TRUE(),IF(('Match Log'!$A$4:$A$1510=$A355)*('Match Log'!$E$4:$E$1510="Loss"),'Match Log'!$D$4:$D$1510,"")),IF($E355=2,LOOKUP(2,1/(('Match Log'!$A$4:$A$1510=$A355)*('Match Log'!$E$4:$E$1510="Loss")),'Match Log'!$D$4:$D$1510),"the field")),"")</f>
        <v>Daniel (Ferret)</v>
      </c>
      <c r="I355">
        <f t="shared" si="33"/>
        <v>-0.57533100000000015</v>
      </c>
      <c r="J355">
        <v>331</v>
      </c>
      <c r="K355">
        <f>IF($J355&gt;MAX('Match Log'!$A$4:$A$1510),NA(),IFERROR(LOOKUP(2,1/(('Match Log'!$D$4:$D$1510=$K$24)*('Match Log'!$A$4:$A$1510&lt;=$J355)),'Match Log'!$N$4:$N$1510),NA()))</f>
        <v>1244.2911759451083</v>
      </c>
      <c r="L355">
        <f>IF($J355&gt;MAX('Match Log'!$A$4:$A$1510),NA(),IFERROR(LOOKUP(2,1/(('Match Log'!$D$4:$D$1510=$L$24)*('Match Log'!$A$4:$A$1510&lt;=$J355)),'Match Log'!$N$4:$N$1510),NA()))</f>
        <v>1029.5175965335138</v>
      </c>
      <c r="M355">
        <f>IF($J355&gt;MAX('Match Log'!$A$4:$A$1510),NA(),IFERROR(LOOKUP(2,1/(('Match Log'!$D$4:$D$1510=$M$24)*('Match Log'!$A$4:$A$1510&lt;=$J355)),'Match Log'!$N$4:$N$1510),NA()))</f>
        <v>1048.0761030598392</v>
      </c>
      <c r="N355">
        <f>IF($J355&gt;MAX('Match Log'!$A$4:$A$1510),NA(),IFERROR(LOOKUP(2,1/(('Match Log'!$D$4:$D$1510=$N$24)*('Match Log'!$A$4:$A$1510&lt;=$J355)),'Match Log'!$N$4:$N$1510),NA()))</f>
        <v>907.03133644117429</v>
      </c>
      <c r="O355">
        <f>IF($J355&gt;MAX('Match Log'!$A$4:$A$1510),NA(),IFERROR(LOOKUP(2,1/(('Match Log'!$D$4:$D$1510=$O$24)*('Match Log'!$A$4:$A$1510&lt;=$J355)),'Match Log'!$N$4:$N$1510),NA()))</f>
        <v>1250.2942245636716</v>
      </c>
      <c r="P355">
        <f>IF($J355&gt;MAX('Match Log'!$A$4:$A$1510),NA(),IFERROR(LOOKUP(2,1/(('Match Log'!$D$4:$D$1510=$P$24)*('Match Log'!$A$4:$A$1510&lt;=$J355)),'Match Log'!$N$4:$N$1510),NA()))</f>
        <v>1199.9180814643371</v>
      </c>
      <c r="Q355">
        <f>IF($J355&gt;MAX('Match Log'!$A$4:$A$1510),NA(),IFERROR(LOOKUP(2,1/(('Match Log'!$D$4:$D$1510=$Q$24)*('Match Log'!$A$4:$A$1510&lt;=$J355)),'Match Log'!$N$4:$N$1510),NA()))</f>
        <v>1210.5445492849278</v>
      </c>
      <c r="R355">
        <f>IF($J355&gt;MAX('Match Log'!$A$4:$A$1510),NA(),IFERROR(LOOKUP(2,1/(('Match Log'!$D$4:$D$1510=$R$24)*('Match Log'!$A$4:$A$1510&lt;=$J355)),'Match Log'!$N$4:$N$1510),NA()))</f>
        <v>1157.9409548790077</v>
      </c>
      <c r="S355">
        <f>IF($J355&gt;MAX('Match Log'!$A$4:$A$1510),NA(),IFERROR(LOOKUP(2,1/(('Match Log'!$D$4:$D$1510=$S$24)*('Match Log'!$A$4:$A$1510&lt;=$J355)),'Match Log'!$N$4:$N$1510),NA()))</f>
        <v>1217.9015417269482</v>
      </c>
      <c r="T355">
        <f>IF($J355&gt;MAX('Match Log'!$A$4:$A$1510),NA(),IFERROR(LOOKUP(2,1/(('Match Log'!$D$4:$D$1510=$T$24)*('Match Log'!$A$4:$A$1510&lt;=$J355)),'Match Log'!$N$4:$N$1510),NA()))</f>
        <v>862.22294373677494</v>
      </c>
      <c r="U355">
        <f>IF($J355&gt;MAX('Match Log'!$A$4:$A$1510),NA(),IFERROR(LOOKUP(2,1/(('Match Log'!$D$4:$D$1510=$U$24)*('Match Log'!$A$4:$A$1510&lt;=$J355)),'Match Log'!$N$4:$N$1510),NA()))</f>
        <v>1004.2053573760541</v>
      </c>
      <c r="V355">
        <f>IF($J355&gt;MAX('Match Log'!$A$4:$A$1510),NA(),IFERROR(LOOKUP(2,1/(('Match Log'!$D$4:$D$1510=$V$24)*('Match Log'!$A$4:$A$1510&lt;=$J355)),'Match Log'!$N$4:$N$1510),NA()))</f>
        <v>1087.5488947064855</v>
      </c>
      <c r="W355">
        <f>IF($J355&gt;MAX('Match Log'!$A$4:$A$1510),NA(),IFERROR(LOOKUP(2,1/(('Match Log'!$D$4:$D$1510=$W$24)*('Match Log'!$A$4:$A$1510&lt;=$J355)),'Match Log'!$N$4:$N$1510),NA()))</f>
        <v>1010.5072402821568</v>
      </c>
      <c r="X355" t="e">
        <f>IF($J355&gt;MAX('Match Log'!$A$4:$A$1510),NA(),IFERROR(LOOKUP(2,1/(('Match Log'!$D$4:$D$1510=$X$24)*('Match Log'!$A$4:$A$1510&lt;=$J355)),'Match Log'!$N$4:$N$1510),NA()))</f>
        <v>#N/A</v>
      </c>
      <c r="Y355">
        <f t="shared" ca="1" si="34"/>
        <v>-0.57533100000000015</v>
      </c>
    </row>
    <row r="356" spans="1:25" x14ac:dyDescent="0.2">
      <c r="A356">
        <v>332</v>
      </c>
      <c r="B356">
        <f>IFERROR(INDEX('Match Log'!$B$4:$B$1510,MATCH($A356,'Match Log'!$A$4:$A$1510,0)),"")</f>
        <v>46322</v>
      </c>
      <c r="C356" t="str">
        <f>IFERROR(INDEX('Match Log'!$C$4:$C$1510,MATCH($A356,'Match Log'!$A$4:$A$1510,0)),"")</f>
        <v>Table Tennis</v>
      </c>
      <c r="D356" t="str">
        <f t="array" ref="D356">IFERROR(_xlfn.TEXTJOIN(" + ",TRUE(),IF(('Match Log'!$A$4:$A$1510=$A356)*('Match Log'!$E$4:$E$1510="Win"),'Match Log'!$D$4:$D$1510,"")),IFERROR(LOOKUP(2,1/(('Match Log'!$A$4:$A$1510=$A356)*('Match Log'!$E$4:$E$1510="Win")),'Match Log'!$D$4:$D$1510),""))</f>
        <v>Josh</v>
      </c>
      <c r="E356">
        <f>IFERROR(INDEX('Match Log'!$F$4:$F$1510,MATCH($A356,'Match Log'!$A$4:$A$1510,0)),"")</f>
        <v>2</v>
      </c>
      <c r="F356">
        <f>IFERROR(SUMIFS('Match Log'!$I$4:$I$1510,'Match Log'!$A$4:$A$1510,$A356,'Match Log'!$E$4:$E$1510,"Win"),"")</f>
        <v>0.79831932773109249</v>
      </c>
      <c r="G356">
        <f t="shared" si="32"/>
        <v>-0.59663865546218497</v>
      </c>
      <c r="H356" t="str">
        <f t="array" ref="H356">IFERROR(IF(COUNTIFS('Match Log'!$A$4:$A$1510,$A356,'Match Log'!$E$4:$E$1510,"Win")&gt;1,_xlfn.TEXTJOIN(" + ",TRUE(),IF(('Match Log'!$A$4:$A$1510=$A356)*('Match Log'!$E$4:$E$1510="Loss"),'Match Log'!$D$4:$D$1510,"")),IF($E356=2,LOOKUP(2,1/(('Match Log'!$A$4:$A$1510=$A356)*('Match Log'!$E$4:$E$1510="Loss")),'Match Log'!$D$4:$D$1510),"the field")),"")</f>
        <v>Daniel (Ferret)</v>
      </c>
      <c r="I356">
        <f t="shared" si="33"/>
        <v>-0.59697065546218497</v>
      </c>
      <c r="J356">
        <v>332</v>
      </c>
      <c r="K356">
        <f>IF($J356&gt;MAX('Match Log'!$A$4:$A$1510),NA(),IFERROR(LOOKUP(2,1/(('Match Log'!$D$4:$D$1510=$K$24)*('Match Log'!$A$4:$A$1510&lt;=$J356)),'Match Log'!$N$4:$N$1510),NA()))</f>
        <v>1244.2911759451083</v>
      </c>
      <c r="L356">
        <f>IF($J356&gt;MAX('Match Log'!$A$4:$A$1510),NA(),IFERROR(LOOKUP(2,1/(('Match Log'!$D$4:$D$1510=$L$24)*('Match Log'!$A$4:$A$1510&lt;=$J356)),'Match Log'!$N$4:$N$1510),NA()))</f>
        <v>1029.5175965335138</v>
      </c>
      <c r="M356">
        <f>IF($J356&gt;MAX('Match Log'!$A$4:$A$1510),NA(),IFERROR(LOOKUP(2,1/(('Match Log'!$D$4:$D$1510=$M$24)*('Match Log'!$A$4:$A$1510&lt;=$J356)),'Match Log'!$N$4:$N$1510),NA()))</f>
        <v>1048.0761030598392</v>
      </c>
      <c r="N356">
        <f>IF($J356&gt;MAX('Match Log'!$A$4:$A$1510),NA(),IFERROR(LOOKUP(2,1/(('Match Log'!$D$4:$D$1510=$N$24)*('Match Log'!$A$4:$A$1510&lt;=$J356)),'Match Log'!$N$4:$N$1510),NA()))</f>
        <v>907.03133644117429</v>
      </c>
      <c r="O356">
        <f>IF($J356&gt;MAX('Match Log'!$A$4:$A$1510),NA(),IFERROR(LOOKUP(2,1/(('Match Log'!$D$4:$D$1510=$O$24)*('Match Log'!$A$4:$A$1510&lt;=$J356)),'Match Log'!$N$4:$N$1510),NA()))</f>
        <v>1260.5889638424703</v>
      </c>
      <c r="P356">
        <f>IF($J356&gt;MAX('Match Log'!$A$4:$A$1510),NA(),IFERROR(LOOKUP(2,1/(('Match Log'!$D$4:$D$1510=$P$24)*('Match Log'!$A$4:$A$1510&lt;=$J356)),'Match Log'!$N$4:$N$1510),NA()))</f>
        <v>1199.9180814643371</v>
      </c>
      <c r="Q356">
        <f>IF($J356&gt;MAX('Match Log'!$A$4:$A$1510),NA(),IFERROR(LOOKUP(2,1/(('Match Log'!$D$4:$D$1510=$Q$24)*('Match Log'!$A$4:$A$1510&lt;=$J356)),'Match Log'!$N$4:$N$1510),NA()))</f>
        <v>1210.5445492849278</v>
      </c>
      <c r="R356">
        <f>IF($J356&gt;MAX('Match Log'!$A$4:$A$1510),NA(),IFERROR(LOOKUP(2,1/(('Match Log'!$D$4:$D$1510=$R$24)*('Match Log'!$A$4:$A$1510&lt;=$J356)),'Match Log'!$N$4:$N$1510),NA()))</f>
        <v>1147.646215600209</v>
      </c>
      <c r="S356">
        <f>IF($J356&gt;MAX('Match Log'!$A$4:$A$1510),NA(),IFERROR(LOOKUP(2,1/(('Match Log'!$D$4:$D$1510=$S$24)*('Match Log'!$A$4:$A$1510&lt;=$J356)),'Match Log'!$N$4:$N$1510),NA()))</f>
        <v>1217.9015417269482</v>
      </c>
      <c r="T356">
        <f>IF($J356&gt;MAX('Match Log'!$A$4:$A$1510),NA(),IFERROR(LOOKUP(2,1/(('Match Log'!$D$4:$D$1510=$T$24)*('Match Log'!$A$4:$A$1510&lt;=$J356)),'Match Log'!$N$4:$N$1510),NA()))</f>
        <v>862.22294373677494</v>
      </c>
      <c r="U356">
        <f>IF($J356&gt;MAX('Match Log'!$A$4:$A$1510),NA(),IFERROR(LOOKUP(2,1/(('Match Log'!$D$4:$D$1510=$U$24)*('Match Log'!$A$4:$A$1510&lt;=$J356)),'Match Log'!$N$4:$N$1510),NA()))</f>
        <v>1004.2053573760541</v>
      </c>
      <c r="V356">
        <f>IF($J356&gt;MAX('Match Log'!$A$4:$A$1510),NA(),IFERROR(LOOKUP(2,1/(('Match Log'!$D$4:$D$1510=$V$24)*('Match Log'!$A$4:$A$1510&lt;=$J356)),'Match Log'!$N$4:$N$1510),NA()))</f>
        <v>1087.5488947064855</v>
      </c>
      <c r="W356">
        <f>IF($J356&gt;MAX('Match Log'!$A$4:$A$1510),NA(),IFERROR(LOOKUP(2,1/(('Match Log'!$D$4:$D$1510=$W$24)*('Match Log'!$A$4:$A$1510&lt;=$J356)),'Match Log'!$N$4:$N$1510),NA()))</f>
        <v>1010.5072402821568</v>
      </c>
      <c r="X356" t="e">
        <f>IF($J356&gt;MAX('Match Log'!$A$4:$A$1510),NA(),IFERROR(LOOKUP(2,1/(('Match Log'!$D$4:$D$1510=$X$24)*('Match Log'!$A$4:$A$1510&lt;=$J356)),'Match Log'!$N$4:$N$1510),NA()))</f>
        <v>#N/A</v>
      </c>
      <c r="Y356">
        <f t="shared" ca="1" si="34"/>
        <v>-0.59697065546218497</v>
      </c>
    </row>
    <row r="357" spans="1:25" x14ac:dyDescent="0.2">
      <c r="A357">
        <v>333</v>
      </c>
      <c r="B357">
        <f>IFERROR(INDEX('Match Log'!$B$4:$B$1510,MATCH($A357,'Match Log'!$A$4:$A$1510,0)),"")</f>
        <v>46322</v>
      </c>
      <c r="C357" t="str">
        <f>IFERROR(INDEX('Match Log'!$C$4:$C$1510,MATCH($A357,'Match Log'!$A$4:$A$1510,0)),"")</f>
        <v>Table Tennis</v>
      </c>
      <c r="D357" t="str">
        <f t="array" ref="D357">IFERROR(_xlfn.TEXTJOIN(" + ",TRUE(),IF(('Match Log'!$A$4:$A$1510=$A357)*('Match Log'!$E$4:$E$1510="Win"),'Match Log'!$D$4:$D$1510,"")),IFERROR(LOOKUP(2,1/(('Match Log'!$A$4:$A$1510=$A357)*('Match Log'!$E$4:$E$1510="Win")),'Match Log'!$D$4:$D$1510),""))</f>
        <v>Josh</v>
      </c>
      <c r="E357">
        <f>IFERROR(INDEX('Match Log'!$F$4:$F$1510,MATCH($A357,'Match Log'!$A$4:$A$1510,0)),"")</f>
        <v>2</v>
      </c>
      <c r="F357">
        <f>IFERROR(SUMIFS('Match Log'!$I$4:$I$1510,'Match Log'!$A$4:$A$1510,$A357,'Match Log'!$E$4:$E$1510,"Win"),"")</f>
        <v>0.80808080808080807</v>
      </c>
      <c r="G357">
        <f t="shared" si="32"/>
        <v>-0.61616161616161613</v>
      </c>
      <c r="H357" t="str">
        <f t="array" ref="H357">IFERROR(IF(COUNTIFS('Match Log'!$A$4:$A$1510,$A357,'Match Log'!$E$4:$E$1510,"Win")&gt;1,_xlfn.TEXTJOIN(" + ",TRUE(),IF(('Match Log'!$A$4:$A$1510=$A357)*('Match Log'!$E$4:$E$1510="Loss"),'Match Log'!$D$4:$D$1510,"")),IF($E357=2,LOOKUP(2,1/(('Match Log'!$A$4:$A$1510=$A357)*('Match Log'!$E$4:$E$1510="Loss")),'Match Log'!$D$4:$D$1510),"the field")),"")</f>
        <v>Daniel (Ferret)</v>
      </c>
      <c r="I357">
        <f t="shared" si="33"/>
        <v>-0.61649461616161616</v>
      </c>
      <c r="J357">
        <v>333</v>
      </c>
      <c r="K357">
        <f>IF($J357&gt;MAX('Match Log'!$A$4:$A$1510),NA(),IFERROR(LOOKUP(2,1/(('Match Log'!$D$4:$D$1510=$K$24)*('Match Log'!$A$4:$A$1510&lt;=$J357)),'Match Log'!$N$4:$N$1510),NA()))</f>
        <v>1244.2911759451083</v>
      </c>
      <c r="L357">
        <f>IF($J357&gt;MAX('Match Log'!$A$4:$A$1510),NA(),IFERROR(LOOKUP(2,1/(('Match Log'!$D$4:$D$1510=$L$24)*('Match Log'!$A$4:$A$1510&lt;=$J357)),'Match Log'!$N$4:$N$1510),NA()))</f>
        <v>1029.5175965335138</v>
      </c>
      <c r="M357">
        <f>IF($J357&gt;MAX('Match Log'!$A$4:$A$1510),NA(),IFERROR(LOOKUP(2,1/(('Match Log'!$D$4:$D$1510=$M$24)*('Match Log'!$A$4:$A$1510&lt;=$J357)),'Match Log'!$N$4:$N$1510),NA()))</f>
        <v>1048.0761030598392</v>
      </c>
      <c r="N357">
        <f>IF($J357&gt;MAX('Match Log'!$A$4:$A$1510),NA(),IFERROR(LOOKUP(2,1/(('Match Log'!$D$4:$D$1510=$N$24)*('Match Log'!$A$4:$A$1510&lt;=$J357)),'Match Log'!$N$4:$N$1510),NA()))</f>
        <v>907.03133644117429</v>
      </c>
      <c r="O357">
        <f>IF($J357&gt;MAX('Match Log'!$A$4:$A$1510),NA(),IFERROR(LOOKUP(2,1/(('Match Log'!$D$4:$D$1510=$O$24)*('Match Log'!$A$4:$A$1510&lt;=$J357)),'Match Log'!$N$4:$N$1510),NA()))</f>
        <v>1270.2146711636922</v>
      </c>
      <c r="P357">
        <f>IF($J357&gt;MAX('Match Log'!$A$4:$A$1510),NA(),IFERROR(LOOKUP(2,1/(('Match Log'!$D$4:$D$1510=$P$24)*('Match Log'!$A$4:$A$1510&lt;=$J357)),'Match Log'!$N$4:$N$1510),NA()))</f>
        <v>1199.9180814643371</v>
      </c>
      <c r="Q357">
        <f>IF($J357&gt;MAX('Match Log'!$A$4:$A$1510),NA(),IFERROR(LOOKUP(2,1/(('Match Log'!$D$4:$D$1510=$Q$24)*('Match Log'!$A$4:$A$1510&lt;=$J357)),'Match Log'!$N$4:$N$1510),NA()))</f>
        <v>1210.5445492849278</v>
      </c>
      <c r="R357">
        <f>IF($J357&gt;MAX('Match Log'!$A$4:$A$1510),NA(),IFERROR(LOOKUP(2,1/(('Match Log'!$D$4:$D$1510=$R$24)*('Match Log'!$A$4:$A$1510&lt;=$J357)),'Match Log'!$N$4:$N$1510),NA()))</f>
        <v>1138.0205082789871</v>
      </c>
      <c r="S357">
        <f>IF($J357&gt;MAX('Match Log'!$A$4:$A$1510),NA(),IFERROR(LOOKUP(2,1/(('Match Log'!$D$4:$D$1510=$S$24)*('Match Log'!$A$4:$A$1510&lt;=$J357)),'Match Log'!$N$4:$N$1510),NA()))</f>
        <v>1217.9015417269482</v>
      </c>
      <c r="T357">
        <f>IF($J357&gt;MAX('Match Log'!$A$4:$A$1510),NA(),IFERROR(LOOKUP(2,1/(('Match Log'!$D$4:$D$1510=$T$24)*('Match Log'!$A$4:$A$1510&lt;=$J357)),'Match Log'!$N$4:$N$1510),NA()))</f>
        <v>862.22294373677494</v>
      </c>
      <c r="U357">
        <f>IF($J357&gt;MAX('Match Log'!$A$4:$A$1510),NA(),IFERROR(LOOKUP(2,1/(('Match Log'!$D$4:$D$1510=$U$24)*('Match Log'!$A$4:$A$1510&lt;=$J357)),'Match Log'!$N$4:$N$1510),NA()))</f>
        <v>1004.2053573760541</v>
      </c>
      <c r="V357">
        <f>IF($J357&gt;MAX('Match Log'!$A$4:$A$1510),NA(),IFERROR(LOOKUP(2,1/(('Match Log'!$D$4:$D$1510=$V$24)*('Match Log'!$A$4:$A$1510&lt;=$J357)),'Match Log'!$N$4:$N$1510),NA()))</f>
        <v>1087.5488947064855</v>
      </c>
      <c r="W357">
        <f>IF($J357&gt;MAX('Match Log'!$A$4:$A$1510),NA(),IFERROR(LOOKUP(2,1/(('Match Log'!$D$4:$D$1510=$W$24)*('Match Log'!$A$4:$A$1510&lt;=$J357)),'Match Log'!$N$4:$N$1510),NA()))</f>
        <v>1010.5072402821568</v>
      </c>
      <c r="X357" t="e">
        <f>IF($J357&gt;MAX('Match Log'!$A$4:$A$1510),NA(),IFERROR(LOOKUP(2,1/(('Match Log'!$D$4:$D$1510=$X$24)*('Match Log'!$A$4:$A$1510&lt;=$J357)),'Match Log'!$N$4:$N$1510),NA()))</f>
        <v>#N/A</v>
      </c>
      <c r="Y357">
        <f t="shared" ca="1" si="34"/>
        <v>-0.61649461616161616</v>
      </c>
    </row>
    <row r="358" spans="1:25" x14ac:dyDescent="0.2">
      <c r="A358">
        <v>334</v>
      </c>
      <c r="B358">
        <f>IFERROR(INDEX('Match Log'!$B$4:$B$1510,MATCH($A358,'Match Log'!$A$4:$A$1510,0)),"")</f>
        <v>46322</v>
      </c>
      <c r="C358" t="str">
        <f>IFERROR(INDEX('Match Log'!$C$4:$C$1510,MATCH($A358,'Match Log'!$A$4:$A$1510,0)),"")</f>
        <v>Air Hockey</v>
      </c>
      <c r="D358" t="str">
        <f t="array" ref="D358">IFERROR(_xlfn.TEXTJOIN(" + ",TRUE(),IF(('Match Log'!$A$4:$A$1510=$A358)*('Match Log'!$E$4:$E$1510="Win"),'Match Log'!$D$4:$D$1510,"")),IFERROR(LOOKUP(2,1/(('Match Log'!$A$4:$A$1510=$A358)*('Match Log'!$E$4:$E$1510="Win")),'Match Log'!$D$4:$D$1510),""))</f>
        <v>Josh</v>
      </c>
      <c r="E358">
        <f>IFERROR(INDEX('Match Log'!$F$4:$F$1510,MATCH($A358,'Match Log'!$A$4:$A$1510,0)),"")</f>
        <v>2</v>
      </c>
      <c r="F358">
        <f>IFERROR(SUMIFS('Match Log'!$I$4:$I$1510,'Match Log'!$A$4:$A$1510,$A358,'Match Log'!$E$4:$E$1510,"Win"),"")</f>
        <v>0.6</v>
      </c>
      <c r="G358">
        <f t="shared" si="32"/>
        <v>-0.19999999999999996</v>
      </c>
      <c r="H358" t="str">
        <f t="array" ref="H358">IFERROR(IF(COUNTIFS('Match Log'!$A$4:$A$1510,$A358,'Match Log'!$E$4:$E$1510,"Win")&gt;1,_xlfn.TEXTJOIN(" + ",TRUE(),IF(('Match Log'!$A$4:$A$1510=$A358)*('Match Log'!$E$4:$E$1510="Loss"),'Match Log'!$D$4:$D$1510,"")),IF($E358=2,LOOKUP(2,1/(('Match Log'!$A$4:$A$1510=$A358)*('Match Log'!$E$4:$E$1510="Loss")),'Match Log'!$D$4:$D$1510),"the field")),"")</f>
        <v>Daniel (Ferret)</v>
      </c>
      <c r="I358">
        <f t="shared" si="33"/>
        <v>-0.20033399999999996</v>
      </c>
      <c r="J358">
        <v>334</v>
      </c>
      <c r="K358">
        <f>IF($J358&gt;MAX('Match Log'!$A$4:$A$1510),NA(),IFERROR(LOOKUP(2,1/(('Match Log'!$D$4:$D$1510=$K$24)*('Match Log'!$A$4:$A$1510&lt;=$J358)),'Match Log'!$N$4:$N$1510),NA()))</f>
        <v>1244.2911759451083</v>
      </c>
      <c r="L358">
        <f>IF($J358&gt;MAX('Match Log'!$A$4:$A$1510),NA(),IFERROR(LOOKUP(2,1/(('Match Log'!$D$4:$D$1510=$L$24)*('Match Log'!$A$4:$A$1510&lt;=$J358)),'Match Log'!$N$4:$N$1510),NA()))</f>
        <v>1029.5175965335138</v>
      </c>
      <c r="M358">
        <f>IF($J358&gt;MAX('Match Log'!$A$4:$A$1510),NA(),IFERROR(LOOKUP(2,1/(('Match Log'!$D$4:$D$1510=$M$24)*('Match Log'!$A$4:$A$1510&lt;=$J358)),'Match Log'!$N$4:$N$1510),NA()))</f>
        <v>1048.0761030598392</v>
      </c>
      <c r="N358">
        <f>IF($J358&gt;MAX('Match Log'!$A$4:$A$1510),NA(),IFERROR(LOOKUP(2,1/(('Match Log'!$D$4:$D$1510=$N$24)*('Match Log'!$A$4:$A$1510&lt;=$J358)),'Match Log'!$N$4:$N$1510),NA()))</f>
        <v>907.03133644117429</v>
      </c>
      <c r="O358">
        <f>IF($J358&gt;MAX('Match Log'!$A$4:$A$1510),NA(),IFERROR(LOOKUP(2,1/(('Match Log'!$D$4:$D$1510=$O$24)*('Match Log'!$A$4:$A$1510&lt;=$J358)),'Match Log'!$N$4:$N$1510),NA()))</f>
        <v>1286.8046827609496</v>
      </c>
      <c r="P358">
        <f>IF($J358&gt;MAX('Match Log'!$A$4:$A$1510),NA(),IFERROR(LOOKUP(2,1/(('Match Log'!$D$4:$D$1510=$P$24)*('Match Log'!$A$4:$A$1510&lt;=$J358)),'Match Log'!$N$4:$N$1510),NA()))</f>
        <v>1199.9180814643371</v>
      </c>
      <c r="Q358">
        <f>IF($J358&gt;MAX('Match Log'!$A$4:$A$1510),NA(),IFERROR(LOOKUP(2,1/(('Match Log'!$D$4:$D$1510=$Q$24)*('Match Log'!$A$4:$A$1510&lt;=$J358)),'Match Log'!$N$4:$N$1510),NA()))</f>
        <v>1210.5445492849278</v>
      </c>
      <c r="R358">
        <f>IF($J358&gt;MAX('Match Log'!$A$4:$A$1510),NA(),IFERROR(LOOKUP(2,1/(('Match Log'!$D$4:$D$1510=$R$24)*('Match Log'!$A$4:$A$1510&lt;=$J358)),'Match Log'!$N$4:$N$1510),NA()))</f>
        <v>1121.4304966817297</v>
      </c>
      <c r="S358">
        <f>IF($J358&gt;MAX('Match Log'!$A$4:$A$1510),NA(),IFERROR(LOOKUP(2,1/(('Match Log'!$D$4:$D$1510=$S$24)*('Match Log'!$A$4:$A$1510&lt;=$J358)),'Match Log'!$N$4:$N$1510),NA()))</f>
        <v>1217.9015417269482</v>
      </c>
      <c r="T358">
        <f>IF($J358&gt;MAX('Match Log'!$A$4:$A$1510),NA(),IFERROR(LOOKUP(2,1/(('Match Log'!$D$4:$D$1510=$T$24)*('Match Log'!$A$4:$A$1510&lt;=$J358)),'Match Log'!$N$4:$N$1510),NA()))</f>
        <v>862.22294373677494</v>
      </c>
      <c r="U358">
        <f>IF($J358&gt;MAX('Match Log'!$A$4:$A$1510),NA(),IFERROR(LOOKUP(2,1/(('Match Log'!$D$4:$D$1510=$U$24)*('Match Log'!$A$4:$A$1510&lt;=$J358)),'Match Log'!$N$4:$N$1510),NA()))</f>
        <v>1004.2053573760541</v>
      </c>
      <c r="V358">
        <f>IF($J358&gt;MAX('Match Log'!$A$4:$A$1510),NA(),IFERROR(LOOKUP(2,1/(('Match Log'!$D$4:$D$1510=$V$24)*('Match Log'!$A$4:$A$1510&lt;=$J358)),'Match Log'!$N$4:$N$1510),NA()))</f>
        <v>1087.5488947064855</v>
      </c>
      <c r="W358">
        <f>IF($J358&gt;MAX('Match Log'!$A$4:$A$1510),NA(),IFERROR(LOOKUP(2,1/(('Match Log'!$D$4:$D$1510=$W$24)*('Match Log'!$A$4:$A$1510&lt;=$J358)),'Match Log'!$N$4:$N$1510),NA()))</f>
        <v>1010.5072402821568</v>
      </c>
      <c r="X358" t="e">
        <f>IF($J358&gt;MAX('Match Log'!$A$4:$A$1510),NA(),IFERROR(LOOKUP(2,1/(('Match Log'!$D$4:$D$1510=$X$24)*('Match Log'!$A$4:$A$1510&lt;=$J358)),'Match Log'!$N$4:$N$1510),NA()))</f>
        <v>#N/A</v>
      </c>
      <c r="Y358">
        <f t="shared" ca="1" si="34"/>
        <v>-0.20033399999999996</v>
      </c>
    </row>
    <row r="359" spans="1:25" x14ac:dyDescent="0.2">
      <c r="A359">
        <v>335</v>
      </c>
      <c r="B359">
        <f>IFERROR(INDEX('Match Log'!$B$4:$B$1510,MATCH($A359,'Match Log'!$A$4:$A$1510,0)),"")</f>
        <v>46322</v>
      </c>
      <c r="C359" t="str">
        <f>IFERROR(INDEX('Match Log'!$C$4:$C$1510,MATCH($A359,'Match Log'!$A$4:$A$1510,0)),"")</f>
        <v>Mario Kart</v>
      </c>
      <c r="D359" t="str">
        <f t="array" ref="D359">IFERROR(_xlfn.TEXTJOIN(" + ",TRUE(),IF(('Match Log'!$A$4:$A$1510=$A359)*('Match Log'!$E$4:$E$1510="Win"),'Match Log'!$D$4:$D$1510,"")),IFERROR(LOOKUP(2,1/(('Match Log'!$A$4:$A$1510=$A359)*('Match Log'!$E$4:$E$1510="Win")),'Match Log'!$D$4:$D$1510),""))</f>
        <v>Daniel (Ferret)</v>
      </c>
      <c r="E359">
        <f>IFERROR(INDEX('Match Log'!$F$4:$F$1510,MATCH($A359,'Match Log'!$A$4:$A$1510,0)),"")</f>
        <v>2</v>
      </c>
      <c r="F359">
        <f>IFERROR(SUMIFS('Match Log'!$I$4:$I$1510,'Match Log'!$A$4:$A$1510,$A359,'Match Log'!$E$4:$E$1510,"Win"),"")</f>
        <v>0.36363636363636359</v>
      </c>
      <c r="G359">
        <f t="shared" si="32"/>
        <v>0.27272727272727282</v>
      </c>
      <c r="H359" t="str">
        <f t="array" ref="H359">IFERROR(IF(COUNTIFS('Match Log'!$A$4:$A$1510,$A359,'Match Log'!$E$4:$E$1510,"Win")&gt;1,_xlfn.TEXTJOIN(" + ",TRUE(),IF(('Match Log'!$A$4:$A$1510=$A359)*('Match Log'!$E$4:$E$1510="Loss"),'Match Log'!$D$4:$D$1510,"")),IF($E359=2,LOOKUP(2,1/(('Match Log'!$A$4:$A$1510=$A359)*('Match Log'!$E$4:$E$1510="Loss")),'Match Log'!$D$4:$D$1510),"the field")),"")</f>
        <v>Josh</v>
      </c>
      <c r="I359">
        <f t="shared" si="33"/>
        <v>0.27239227272727284</v>
      </c>
      <c r="J359">
        <v>335</v>
      </c>
      <c r="K359">
        <f>IF($J359&gt;MAX('Match Log'!$A$4:$A$1510),NA(),IFERROR(LOOKUP(2,1/(('Match Log'!$D$4:$D$1510=$K$24)*('Match Log'!$A$4:$A$1510&lt;=$J359)),'Match Log'!$N$4:$N$1510),NA()))</f>
        <v>1244.2911759451083</v>
      </c>
      <c r="L359">
        <f>IF($J359&gt;MAX('Match Log'!$A$4:$A$1510),NA(),IFERROR(LOOKUP(2,1/(('Match Log'!$D$4:$D$1510=$L$24)*('Match Log'!$A$4:$A$1510&lt;=$J359)),'Match Log'!$N$4:$N$1510),NA()))</f>
        <v>1029.5175965335138</v>
      </c>
      <c r="M359">
        <f>IF($J359&gt;MAX('Match Log'!$A$4:$A$1510),NA(),IFERROR(LOOKUP(2,1/(('Match Log'!$D$4:$D$1510=$M$24)*('Match Log'!$A$4:$A$1510&lt;=$J359)),'Match Log'!$N$4:$N$1510),NA()))</f>
        <v>1048.0761030598392</v>
      </c>
      <c r="N359">
        <f>IF($J359&gt;MAX('Match Log'!$A$4:$A$1510),NA(),IFERROR(LOOKUP(2,1/(('Match Log'!$D$4:$D$1510=$N$24)*('Match Log'!$A$4:$A$1510&lt;=$J359)),'Match Log'!$N$4:$N$1510),NA()))</f>
        <v>907.03133644117429</v>
      </c>
      <c r="O359">
        <f>IF($J359&gt;MAX('Match Log'!$A$4:$A$1510),NA(),IFERROR(LOOKUP(2,1/(('Match Log'!$D$4:$D$1510=$O$24)*('Match Log'!$A$4:$A$1510&lt;=$J359)),'Match Log'!$N$4:$N$1510),NA()))</f>
        <v>1258.2685766211582</v>
      </c>
      <c r="P359">
        <f>IF($J359&gt;MAX('Match Log'!$A$4:$A$1510),NA(),IFERROR(LOOKUP(2,1/(('Match Log'!$D$4:$D$1510=$P$24)*('Match Log'!$A$4:$A$1510&lt;=$J359)),'Match Log'!$N$4:$N$1510),NA()))</f>
        <v>1199.9180814643371</v>
      </c>
      <c r="Q359">
        <f>IF($J359&gt;MAX('Match Log'!$A$4:$A$1510),NA(),IFERROR(LOOKUP(2,1/(('Match Log'!$D$4:$D$1510=$Q$24)*('Match Log'!$A$4:$A$1510&lt;=$J359)),'Match Log'!$N$4:$N$1510),NA()))</f>
        <v>1210.5445492849278</v>
      </c>
      <c r="R359">
        <f>IF($J359&gt;MAX('Match Log'!$A$4:$A$1510),NA(),IFERROR(LOOKUP(2,1/(('Match Log'!$D$4:$D$1510=$R$24)*('Match Log'!$A$4:$A$1510&lt;=$J359)),'Match Log'!$N$4:$N$1510),NA()))</f>
        <v>1149.9666028215211</v>
      </c>
      <c r="S359">
        <f>IF($J359&gt;MAX('Match Log'!$A$4:$A$1510),NA(),IFERROR(LOOKUP(2,1/(('Match Log'!$D$4:$D$1510=$S$24)*('Match Log'!$A$4:$A$1510&lt;=$J359)),'Match Log'!$N$4:$N$1510),NA()))</f>
        <v>1217.9015417269482</v>
      </c>
      <c r="T359">
        <f>IF($J359&gt;MAX('Match Log'!$A$4:$A$1510),NA(),IFERROR(LOOKUP(2,1/(('Match Log'!$D$4:$D$1510=$T$24)*('Match Log'!$A$4:$A$1510&lt;=$J359)),'Match Log'!$N$4:$N$1510),NA()))</f>
        <v>862.22294373677494</v>
      </c>
      <c r="U359">
        <f>IF($J359&gt;MAX('Match Log'!$A$4:$A$1510),NA(),IFERROR(LOOKUP(2,1/(('Match Log'!$D$4:$D$1510=$U$24)*('Match Log'!$A$4:$A$1510&lt;=$J359)),'Match Log'!$N$4:$N$1510),NA()))</f>
        <v>1004.2053573760541</v>
      </c>
      <c r="V359">
        <f>IF($J359&gt;MAX('Match Log'!$A$4:$A$1510),NA(),IFERROR(LOOKUP(2,1/(('Match Log'!$D$4:$D$1510=$V$24)*('Match Log'!$A$4:$A$1510&lt;=$J359)),'Match Log'!$N$4:$N$1510),NA()))</f>
        <v>1087.5488947064855</v>
      </c>
      <c r="W359">
        <f>IF($J359&gt;MAX('Match Log'!$A$4:$A$1510),NA(),IFERROR(LOOKUP(2,1/(('Match Log'!$D$4:$D$1510=$W$24)*('Match Log'!$A$4:$A$1510&lt;=$J359)),'Match Log'!$N$4:$N$1510),NA()))</f>
        <v>1010.5072402821568</v>
      </c>
      <c r="X359" t="e">
        <f>IF($J359&gt;MAX('Match Log'!$A$4:$A$1510),NA(),IFERROR(LOOKUP(2,1/(('Match Log'!$D$4:$D$1510=$X$24)*('Match Log'!$A$4:$A$1510&lt;=$J359)),'Match Log'!$N$4:$N$1510),NA()))</f>
        <v>#N/A</v>
      </c>
      <c r="Y359">
        <f t="shared" ca="1" si="34"/>
        <v>0.27239227272727284</v>
      </c>
    </row>
    <row r="360" spans="1:25" x14ac:dyDescent="0.2">
      <c r="A360">
        <v>336</v>
      </c>
      <c r="B360">
        <f>IFERROR(INDEX('Match Log'!$B$4:$B$1510,MATCH($A360,'Match Log'!$A$4:$A$1510,0)),"")</f>
        <v>46322</v>
      </c>
      <c r="C360" t="str">
        <f>IFERROR(INDEX('Match Log'!$C$4:$C$1510,MATCH($A360,'Match Log'!$A$4:$A$1510,0)),"")</f>
        <v>Mario Kart</v>
      </c>
      <c r="D360" t="str">
        <f t="array" ref="D360">IFERROR(_xlfn.TEXTJOIN(" + ",TRUE(),IF(('Match Log'!$A$4:$A$1510=$A360)*('Match Log'!$E$4:$E$1510="Win"),'Match Log'!$D$4:$D$1510,"")),IFERROR(LOOKUP(2,1/(('Match Log'!$A$4:$A$1510=$A360)*('Match Log'!$E$4:$E$1510="Win")),'Match Log'!$D$4:$D$1510),""))</f>
        <v>Josh</v>
      </c>
      <c r="E360">
        <f>IFERROR(INDEX('Match Log'!$F$4:$F$1510,MATCH($A360,'Match Log'!$A$4:$A$1510,0)),"")</f>
        <v>2</v>
      </c>
      <c r="F360">
        <f>IFERROR(SUMIFS('Match Log'!$I$4:$I$1510,'Match Log'!$A$4:$A$1510,$A360,'Match Log'!$E$4:$E$1510,"Win"),"")</f>
        <v>0.58333333333333337</v>
      </c>
      <c r="G360">
        <f t="shared" si="32"/>
        <v>-0.16666666666666674</v>
      </c>
      <c r="H360" t="str">
        <f t="array" ref="H360">IFERROR(IF(COUNTIFS('Match Log'!$A$4:$A$1510,$A360,'Match Log'!$E$4:$E$1510,"Win")&gt;1,_xlfn.TEXTJOIN(" + ",TRUE(),IF(('Match Log'!$A$4:$A$1510=$A360)*('Match Log'!$E$4:$E$1510="Loss"),'Match Log'!$D$4:$D$1510,"")),IF($E360=2,LOOKUP(2,1/(('Match Log'!$A$4:$A$1510=$A360)*('Match Log'!$E$4:$E$1510="Loss")),'Match Log'!$D$4:$D$1510),"the field")),"")</f>
        <v>Daniel (Ferret)</v>
      </c>
      <c r="I360">
        <f t="shared" si="33"/>
        <v>-0.16700266666666674</v>
      </c>
      <c r="J360">
        <v>336</v>
      </c>
      <c r="K360">
        <f>IF($J360&gt;MAX('Match Log'!$A$4:$A$1510),NA(),IFERROR(LOOKUP(2,1/(('Match Log'!$D$4:$D$1510=$K$24)*('Match Log'!$A$4:$A$1510&lt;=$J360)),'Match Log'!$N$4:$N$1510),NA()))</f>
        <v>1244.2911759451083</v>
      </c>
      <c r="L360">
        <f>IF($J360&gt;MAX('Match Log'!$A$4:$A$1510),NA(),IFERROR(LOOKUP(2,1/(('Match Log'!$D$4:$D$1510=$L$24)*('Match Log'!$A$4:$A$1510&lt;=$J360)),'Match Log'!$N$4:$N$1510),NA()))</f>
        <v>1029.5175965335138</v>
      </c>
      <c r="M360">
        <f>IF($J360&gt;MAX('Match Log'!$A$4:$A$1510),NA(),IFERROR(LOOKUP(2,1/(('Match Log'!$D$4:$D$1510=$M$24)*('Match Log'!$A$4:$A$1510&lt;=$J360)),'Match Log'!$N$4:$N$1510),NA()))</f>
        <v>1048.0761030598392</v>
      </c>
      <c r="N360">
        <f>IF($J360&gt;MAX('Match Log'!$A$4:$A$1510),NA(),IFERROR(LOOKUP(2,1/(('Match Log'!$D$4:$D$1510=$N$24)*('Match Log'!$A$4:$A$1510&lt;=$J360)),'Match Log'!$N$4:$N$1510),NA()))</f>
        <v>907.03133644117429</v>
      </c>
      <c r="O360">
        <f>IF($J360&gt;MAX('Match Log'!$A$4:$A$1510),NA(),IFERROR(LOOKUP(2,1/(('Match Log'!$D$4:$D$1510=$O$24)*('Match Log'!$A$4:$A$1510&lt;=$J360)),'Match Log'!$N$4:$N$1510),NA()))</f>
        <v>1276.4744784998472</v>
      </c>
      <c r="P360">
        <f>IF($J360&gt;MAX('Match Log'!$A$4:$A$1510),NA(),IFERROR(LOOKUP(2,1/(('Match Log'!$D$4:$D$1510=$P$24)*('Match Log'!$A$4:$A$1510&lt;=$J360)),'Match Log'!$N$4:$N$1510),NA()))</f>
        <v>1199.9180814643371</v>
      </c>
      <c r="Q360">
        <f>IF($J360&gt;MAX('Match Log'!$A$4:$A$1510),NA(),IFERROR(LOOKUP(2,1/(('Match Log'!$D$4:$D$1510=$Q$24)*('Match Log'!$A$4:$A$1510&lt;=$J360)),'Match Log'!$N$4:$N$1510),NA()))</f>
        <v>1210.5445492849278</v>
      </c>
      <c r="R360">
        <f>IF($J360&gt;MAX('Match Log'!$A$4:$A$1510),NA(),IFERROR(LOOKUP(2,1/(('Match Log'!$D$4:$D$1510=$R$24)*('Match Log'!$A$4:$A$1510&lt;=$J360)),'Match Log'!$N$4:$N$1510),NA()))</f>
        <v>1131.760700942832</v>
      </c>
      <c r="S360">
        <f>IF($J360&gt;MAX('Match Log'!$A$4:$A$1510),NA(),IFERROR(LOOKUP(2,1/(('Match Log'!$D$4:$D$1510=$S$24)*('Match Log'!$A$4:$A$1510&lt;=$J360)),'Match Log'!$N$4:$N$1510),NA()))</f>
        <v>1217.9015417269482</v>
      </c>
      <c r="T360">
        <f>IF($J360&gt;MAX('Match Log'!$A$4:$A$1510),NA(),IFERROR(LOOKUP(2,1/(('Match Log'!$D$4:$D$1510=$T$24)*('Match Log'!$A$4:$A$1510&lt;=$J360)),'Match Log'!$N$4:$N$1510),NA()))</f>
        <v>862.22294373677494</v>
      </c>
      <c r="U360">
        <f>IF($J360&gt;MAX('Match Log'!$A$4:$A$1510),NA(),IFERROR(LOOKUP(2,1/(('Match Log'!$D$4:$D$1510=$U$24)*('Match Log'!$A$4:$A$1510&lt;=$J360)),'Match Log'!$N$4:$N$1510),NA()))</f>
        <v>1004.2053573760541</v>
      </c>
      <c r="V360">
        <f>IF($J360&gt;MAX('Match Log'!$A$4:$A$1510),NA(),IFERROR(LOOKUP(2,1/(('Match Log'!$D$4:$D$1510=$V$24)*('Match Log'!$A$4:$A$1510&lt;=$J360)),'Match Log'!$N$4:$N$1510),NA()))</f>
        <v>1087.5488947064855</v>
      </c>
      <c r="W360">
        <f>IF($J360&gt;MAX('Match Log'!$A$4:$A$1510),NA(),IFERROR(LOOKUP(2,1/(('Match Log'!$D$4:$D$1510=$W$24)*('Match Log'!$A$4:$A$1510&lt;=$J360)),'Match Log'!$N$4:$N$1510),NA()))</f>
        <v>1010.5072402821568</v>
      </c>
      <c r="X360" t="e">
        <f>IF($J360&gt;MAX('Match Log'!$A$4:$A$1510),NA(),IFERROR(LOOKUP(2,1/(('Match Log'!$D$4:$D$1510=$X$24)*('Match Log'!$A$4:$A$1510&lt;=$J360)),'Match Log'!$N$4:$N$1510),NA()))</f>
        <v>#N/A</v>
      </c>
      <c r="Y360">
        <f t="shared" ca="1" si="34"/>
        <v>-0.16700266666666674</v>
      </c>
    </row>
    <row r="361" spans="1:25" x14ac:dyDescent="0.2">
      <c r="A361">
        <v>337</v>
      </c>
      <c r="B361">
        <f>IFERROR(INDEX('Match Log'!$B$4:$B$1510,MATCH($A361,'Match Log'!$A$4:$A$1510,0)),"")</f>
        <v>46322</v>
      </c>
      <c r="C361" t="str">
        <f>IFERROR(INDEX('Match Log'!$C$4:$C$1510,MATCH($A361,'Match Log'!$A$4:$A$1510,0)),"")</f>
        <v>Mario Kart</v>
      </c>
      <c r="D361" t="str">
        <f t="array" ref="D361">IFERROR(_xlfn.TEXTJOIN(" + ",TRUE(),IF(('Match Log'!$A$4:$A$1510=$A361)*('Match Log'!$E$4:$E$1510="Win"),'Match Log'!$D$4:$D$1510,"")),IFERROR(LOOKUP(2,1/(('Match Log'!$A$4:$A$1510=$A361)*('Match Log'!$E$4:$E$1510="Win")),'Match Log'!$D$4:$D$1510),""))</f>
        <v>Josh</v>
      </c>
      <c r="E361">
        <f>IFERROR(INDEX('Match Log'!$F$4:$F$1510,MATCH($A361,'Match Log'!$A$4:$A$1510,0)),"")</f>
        <v>2</v>
      </c>
      <c r="F361">
        <f>IFERROR(SUMIFS('Match Log'!$I$4:$I$1510,'Match Log'!$A$4:$A$1510,$A361,'Match Log'!$E$4:$E$1510,"Win"),"")</f>
        <v>0.61538461538461542</v>
      </c>
      <c r="G361">
        <f t="shared" si="32"/>
        <v>-0.23076923076923084</v>
      </c>
      <c r="H361" t="str">
        <f t="array" ref="H361">IFERROR(IF(COUNTIFS('Match Log'!$A$4:$A$1510,$A361,'Match Log'!$E$4:$E$1510,"Win")&gt;1,_xlfn.TEXTJOIN(" + ",TRUE(),IF(('Match Log'!$A$4:$A$1510=$A361)*('Match Log'!$E$4:$E$1510="Loss"),'Match Log'!$D$4:$D$1510,"")),IF($E361=2,LOOKUP(2,1/(('Match Log'!$A$4:$A$1510=$A361)*('Match Log'!$E$4:$E$1510="Loss")),'Match Log'!$D$4:$D$1510),"the field")),"")</f>
        <v>Daniel (Ferret)</v>
      </c>
      <c r="I361">
        <f t="shared" si="33"/>
        <v>-0.23110623076923084</v>
      </c>
      <c r="J361">
        <v>337</v>
      </c>
      <c r="K361">
        <f>IF($J361&gt;MAX('Match Log'!$A$4:$A$1510),NA(),IFERROR(LOOKUP(2,1/(('Match Log'!$D$4:$D$1510=$K$24)*('Match Log'!$A$4:$A$1510&lt;=$J361)),'Match Log'!$N$4:$N$1510),NA()))</f>
        <v>1244.2911759451083</v>
      </c>
      <c r="L361">
        <f>IF($J361&gt;MAX('Match Log'!$A$4:$A$1510),NA(),IFERROR(LOOKUP(2,1/(('Match Log'!$D$4:$D$1510=$L$24)*('Match Log'!$A$4:$A$1510&lt;=$J361)),'Match Log'!$N$4:$N$1510),NA()))</f>
        <v>1029.5175965335138</v>
      </c>
      <c r="M361">
        <f>IF($J361&gt;MAX('Match Log'!$A$4:$A$1510),NA(),IFERROR(LOOKUP(2,1/(('Match Log'!$D$4:$D$1510=$M$24)*('Match Log'!$A$4:$A$1510&lt;=$J361)),'Match Log'!$N$4:$N$1510),NA()))</f>
        <v>1048.0761030598392</v>
      </c>
      <c r="N361">
        <f>IF($J361&gt;MAX('Match Log'!$A$4:$A$1510),NA(),IFERROR(LOOKUP(2,1/(('Match Log'!$D$4:$D$1510=$N$24)*('Match Log'!$A$4:$A$1510&lt;=$J361)),'Match Log'!$N$4:$N$1510),NA()))</f>
        <v>907.03133644117429</v>
      </c>
      <c r="O361">
        <f>IF($J361&gt;MAX('Match Log'!$A$4:$A$1510),NA(),IFERROR(LOOKUP(2,1/(('Match Log'!$D$4:$D$1510=$O$24)*('Match Log'!$A$4:$A$1510&lt;=$J361)),'Match Log'!$N$4:$N$1510),NA()))</f>
        <v>1292.9970014311298</v>
      </c>
      <c r="P361">
        <f>IF($J361&gt;MAX('Match Log'!$A$4:$A$1510),NA(),IFERROR(LOOKUP(2,1/(('Match Log'!$D$4:$D$1510=$P$24)*('Match Log'!$A$4:$A$1510&lt;=$J361)),'Match Log'!$N$4:$N$1510),NA()))</f>
        <v>1199.9180814643371</v>
      </c>
      <c r="Q361">
        <f>IF($J361&gt;MAX('Match Log'!$A$4:$A$1510),NA(),IFERROR(LOOKUP(2,1/(('Match Log'!$D$4:$D$1510=$Q$24)*('Match Log'!$A$4:$A$1510&lt;=$J361)),'Match Log'!$N$4:$N$1510),NA()))</f>
        <v>1210.5445492849278</v>
      </c>
      <c r="R361">
        <f>IF($J361&gt;MAX('Match Log'!$A$4:$A$1510),NA(),IFERROR(LOOKUP(2,1/(('Match Log'!$D$4:$D$1510=$R$24)*('Match Log'!$A$4:$A$1510&lt;=$J361)),'Match Log'!$N$4:$N$1510),NA()))</f>
        <v>1115.2381780115495</v>
      </c>
      <c r="S361">
        <f>IF($J361&gt;MAX('Match Log'!$A$4:$A$1510),NA(),IFERROR(LOOKUP(2,1/(('Match Log'!$D$4:$D$1510=$S$24)*('Match Log'!$A$4:$A$1510&lt;=$J361)),'Match Log'!$N$4:$N$1510),NA()))</f>
        <v>1217.9015417269482</v>
      </c>
      <c r="T361">
        <f>IF($J361&gt;MAX('Match Log'!$A$4:$A$1510),NA(),IFERROR(LOOKUP(2,1/(('Match Log'!$D$4:$D$1510=$T$24)*('Match Log'!$A$4:$A$1510&lt;=$J361)),'Match Log'!$N$4:$N$1510),NA()))</f>
        <v>862.22294373677494</v>
      </c>
      <c r="U361">
        <f>IF($J361&gt;MAX('Match Log'!$A$4:$A$1510),NA(),IFERROR(LOOKUP(2,1/(('Match Log'!$D$4:$D$1510=$U$24)*('Match Log'!$A$4:$A$1510&lt;=$J361)),'Match Log'!$N$4:$N$1510),NA()))</f>
        <v>1004.2053573760541</v>
      </c>
      <c r="V361">
        <f>IF($J361&gt;MAX('Match Log'!$A$4:$A$1510),NA(),IFERROR(LOOKUP(2,1/(('Match Log'!$D$4:$D$1510=$V$24)*('Match Log'!$A$4:$A$1510&lt;=$J361)),'Match Log'!$N$4:$N$1510),NA()))</f>
        <v>1087.5488947064855</v>
      </c>
      <c r="W361">
        <f>IF($J361&gt;MAX('Match Log'!$A$4:$A$1510),NA(),IFERROR(LOOKUP(2,1/(('Match Log'!$D$4:$D$1510=$W$24)*('Match Log'!$A$4:$A$1510&lt;=$J361)),'Match Log'!$N$4:$N$1510),NA()))</f>
        <v>1010.5072402821568</v>
      </c>
      <c r="X361" t="e">
        <f>IF($J361&gt;MAX('Match Log'!$A$4:$A$1510),NA(),IFERROR(LOOKUP(2,1/(('Match Log'!$D$4:$D$1510=$X$24)*('Match Log'!$A$4:$A$1510&lt;=$J361)),'Match Log'!$N$4:$N$1510),NA()))</f>
        <v>#N/A</v>
      </c>
      <c r="Y361">
        <f t="shared" ca="1" si="34"/>
        <v>-0.23110623076923084</v>
      </c>
    </row>
    <row r="362" spans="1:25" x14ac:dyDescent="0.2">
      <c r="A362">
        <v>338</v>
      </c>
      <c r="B362">
        <f>IFERROR(INDEX('Match Log'!$B$4:$B$1510,MATCH($A362,'Match Log'!$A$4:$A$1510,0)),"")</f>
        <v>46322</v>
      </c>
      <c r="C362" t="str">
        <f>IFERROR(INDEX('Match Log'!$C$4:$C$1510,MATCH($A362,'Match Log'!$A$4:$A$1510,0)),"")</f>
        <v>Mario Kart</v>
      </c>
      <c r="D362" t="str">
        <f t="array" ref="D362">IFERROR(_xlfn.TEXTJOIN(" + ",TRUE(),IF(('Match Log'!$A$4:$A$1510=$A362)*('Match Log'!$E$4:$E$1510="Win"),'Match Log'!$D$4:$D$1510,"")),IFERROR(LOOKUP(2,1/(('Match Log'!$A$4:$A$1510=$A362)*('Match Log'!$E$4:$E$1510="Win")),'Match Log'!$D$4:$D$1510),""))</f>
        <v>Josh</v>
      </c>
      <c r="E362">
        <f>IFERROR(INDEX('Match Log'!$F$4:$F$1510,MATCH($A362,'Match Log'!$A$4:$A$1510,0)),"")</f>
        <v>2</v>
      </c>
      <c r="F362">
        <f>IFERROR(SUMIFS('Match Log'!$I$4:$I$1510,'Match Log'!$A$4:$A$1510,$A362,'Match Log'!$E$4:$E$1510,"Win"),"")</f>
        <v>0.64285714285714279</v>
      </c>
      <c r="G362">
        <f t="shared" si="32"/>
        <v>-0.28571428571428559</v>
      </c>
      <c r="H362" t="str">
        <f t="array" ref="H362">IFERROR(IF(COUNTIFS('Match Log'!$A$4:$A$1510,$A362,'Match Log'!$E$4:$E$1510,"Win")&gt;1,_xlfn.TEXTJOIN(" + ",TRUE(),IF(('Match Log'!$A$4:$A$1510=$A362)*('Match Log'!$E$4:$E$1510="Loss"),'Match Log'!$D$4:$D$1510,"")),IF($E362=2,LOOKUP(2,1/(('Match Log'!$A$4:$A$1510=$A362)*('Match Log'!$E$4:$E$1510="Loss")),'Match Log'!$D$4:$D$1510),"the field")),"")</f>
        <v>Daniel (Ferret)</v>
      </c>
      <c r="I362">
        <f t="shared" si="33"/>
        <v>-0.28605228571428559</v>
      </c>
      <c r="J362">
        <v>338</v>
      </c>
      <c r="K362">
        <f>IF($J362&gt;MAX('Match Log'!$A$4:$A$1510),NA(),IFERROR(LOOKUP(2,1/(('Match Log'!$D$4:$D$1510=$K$24)*('Match Log'!$A$4:$A$1510&lt;=$J362)),'Match Log'!$N$4:$N$1510),NA()))</f>
        <v>1244.2911759451083</v>
      </c>
      <c r="L362">
        <f>IF($J362&gt;MAX('Match Log'!$A$4:$A$1510),NA(),IFERROR(LOOKUP(2,1/(('Match Log'!$D$4:$D$1510=$L$24)*('Match Log'!$A$4:$A$1510&lt;=$J362)),'Match Log'!$N$4:$N$1510),NA()))</f>
        <v>1029.5175965335138</v>
      </c>
      <c r="M362">
        <f>IF($J362&gt;MAX('Match Log'!$A$4:$A$1510),NA(),IFERROR(LOOKUP(2,1/(('Match Log'!$D$4:$D$1510=$M$24)*('Match Log'!$A$4:$A$1510&lt;=$J362)),'Match Log'!$N$4:$N$1510),NA()))</f>
        <v>1048.0761030598392</v>
      </c>
      <c r="N362">
        <f>IF($J362&gt;MAX('Match Log'!$A$4:$A$1510),NA(),IFERROR(LOOKUP(2,1/(('Match Log'!$D$4:$D$1510=$N$24)*('Match Log'!$A$4:$A$1510&lt;=$J362)),'Match Log'!$N$4:$N$1510),NA()))</f>
        <v>907.03133644117429</v>
      </c>
      <c r="O362">
        <f>IF($J362&gt;MAX('Match Log'!$A$4:$A$1510),NA(),IFERROR(LOOKUP(2,1/(('Match Log'!$D$4:$D$1510=$O$24)*('Match Log'!$A$4:$A$1510&lt;=$J362)),'Match Log'!$N$4:$N$1510),NA()))</f>
        <v>1308.0672024788107</v>
      </c>
      <c r="P362">
        <f>IF($J362&gt;MAX('Match Log'!$A$4:$A$1510),NA(),IFERROR(LOOKUP(2,1/(('Match Log'!$D$4:$D$1510=$P$24)*('Match Log'!$A$4:$A$1510&lt;=$J362)),'Match Log'!$N$4:$N$1510),NA()))</f>
        <v>1199.9180814643371</v>
      </c>
      <c r="Q362">
        <f>IF($J362&gt;MAX('Match Log'!$A$4:$A$1510),NA(),IFERROR(LOOKUP(2,1/(('Match Log'!$D$4:$D$1510=$Q$24)*('Match Log'!$A$4:$A$1510&lt;=$J362)),'Match Log'!$N$4:$N$1510),NA()))</f>
        <v>1210.5445492849278</v>
      </c>
      <c r="R362">
        <f>IF($J362&gt;MAX('Match Log'!$A$4:$A$1510),NA(),IFERROR(LOOKUP(2,1/(('Match Log'!$D$4:$D$1510=$R$24)*('Match Log'!$A$4:$A$1510&lt;=$J362)),'Match Log'!$N$4:$N$1510),NA()))</f>
        <v>1100.1679769638686</v>
      </c>
      <c r="S362">
        <f>IF($J362&gt;MAX('Match Log'!$A$4:$A$1510),NA(),IFERROR(LOOKUP(2,1/(('Match Log'!$D$4:$D$1510=$S$24)*('Match Log'!$A$4:$A$1510&lt;=$J362)),'Match Log'!$N$4:$N$1510),NA()))</f>
        <v>1217.9015417269482</v>
      </c>
      <c r="T362">
        <f>IF($J362&gt;MAX('Match Log'!$A$4:$A$1510),NA(),IFERROR(LOOKUP(2,1/(('Match Log'!$D$4:$D$1510=$T$24)*('Match Log'!$A$4:$A$1510&lt;=$J362)),'Match Log'!$N$4:$N$1510),NA()))</f>
        <v>862.22294373677494</v>
      </c>
      <c r="U362">
        <f>IF($J362&gt;MAX('Match Log'!$A$4:$A$1510),NA(),IFERROR(LOOKUP(2,1/(('Match Log'!$D$4:$D$1510=$U$24)*('Match Log'!$A$4:$A$1510&lt;=$J362)),'Match Log'!$N$4:$N$1510),NA()))</f>
        <v>1004.2053573760541</v>
      </c>
      <c r="V362">
        <f>IF($J362&gt;MAX('Match Log'!$A$4:$A$1510),NA(),IFERROR(LOOKUP(2,1/(('Match Log'!$D$4:$D$1510=$V$24)*('Match Log'!$A$4:$A$1510&lt;=$J362)),'Match Log'!$N$4:$N$1510),NA()))</f>
        <v>1087.5488947064855</v>
      </c>
      <c r="W362">
        <f>IF($J362&gt;MAX('Match Log'!$A$4:$A$1510),NA(),IFERROR(LOOKUP(2,1/(('Match Log'!$D$4:$D$1510=$W$24)*('Match Log'!$A$4:$A$1510&lt;=$J362)),'Match Log'!$N$4:$N$1510),NA()))</f>
        <v>1010.5072402821568</v>
      </c>
      <c r="X362" t="e">
        <f>IF($J362&gt;MAX('Match Log'!$A$4:$A$1510),NA(),IFERROR(LOOKUP(2,1/(('Match Log'!$D$4:$D$1510=$X$24)*('Match Log'!$A$4:$A$1510&lt;=$J362)),'Match Log'!$N$4:$N$1510),NA()))</f>
        <v>#N/A</v>
      </c>
      <c r="Y362">
        <f t="shared" ca="1" si="34"/>
        <v>-0.28605228571428559</v>
      </c>
    </row>
    <row r="363" spans="1:25" x14ac:dyDescent="0.2">
      <c r="A363">
        <v>339</v>
      </c>
      <c r="B363">
        <f>IFERROR(INDEX('Match Log'!$B$4:$B$1510,MATCH($A363,'Match Log'!$A$4:$A$1510,0)),"")</f>
        <v>46322</v>
      </c>
      <c r="C363" t="str">
        <f>IFERROR(INDEX('Match Log'!$C$4:$C$1510,MATCH($A363,'Match Log'!$A$4:$A$1510,0)),"")</f>
        <v>Mario Kart</v>
      </c>
      <c r="D363" t="str">
        <f t="array" ref="D363">IFERROR(_xlfn.TEXTJOIN(" + ",TRUE(),IF(('Match Log'!$A$4:$A$1510=$A363)*('Match Log'!$E$4:$E$1510="Win"),'Match Log'!$D$4:$D$1510,"")),IFERROR(LOOKUP(2,1/(('Match Log'!$A$4:$A$1510=$A363)*('Match Log'!$E$4:$E$1510="Win")),'Match Log'!$D$4:$D$1510),""))</f>
        <v>Josh</v>
      </c>
      <c r="E363">
        <f>IFERROR(INDEX('Match Log'!$F$4:$F$1510,MATCH($A363,'Match Log'!$A$4:$A$1510,0)),"")</f>
        <v>2</v>
      </c>
      <c r="F363">
        <f>IFERROR(SUMIFS('Match Log'!$I$4:$I$1510,'Match Log'!$A$4:$A$1510,$A363,'Match Log'!$E$4:$E$1510,"Win"),"")</f>
        <v>0.66666666666666663</v>
      </c>
      <c r="G363">
        <f t="shared" si="32"/>
        <v>-0.33333333333333326</v>
      </c>
      <c r="H363" t="str">
        <f t="array" ref="H363">IFERROR(IF(COUNTIFS('Match Log'!$A$4:$A$1510,$A363,'Match Log'!$E$4:$E$1510,"Win")&gt;1,_xlfn.TEXTJOIN(" + ",TRUE(),IF(('Match Log'!$A$4:$A$1510=$A363)*('Match Log'!$E$4:$E$1510="Loss"),'Match Log'!$D$4:$D$1510,"")),IF($E363=2,LOOKUP(2,1/(('Match Log'!$A$4:$A$1510=$A363)*('Match Log'!$E$4:$E$1510="Loss")),'Match Log'!$D$4:$D$1510),"the field")),"")</f>
        <v>Daniel (Ferret)</v>
      </c>
      <c r="I363">
        <f t="shared" si="33"/>
        <v>-0.33367233333333324</v>
      </c>
      <c r="J363">
        <v>339</v>
      </c>
      <c r="K363">
        <f>IF($J363&gt;MAX('Match Log'!$A$4:$A$1510),NA(),IFERROR(LOOKUP(2,1/(('Match Log'!$D$4:$D$1510=$K$24)*('Match Log'!$A$4:$A$1510&lt;=$J363)),'Match Log'!$N$4:$N$1510),NA()))</f>
        <v>1244.2911759451083</v>
      </c>
      <c r="L363">
        <f>IF($J363&gt;MAX('Match Log'!$A$4:$A$1510),NA(),IFERROR(LOOKUP(2,1/(('Match Log'!$D$4:$D$1510=$L$24)*('Match Log'!$A$4:$A$1510&lt;=$J363)),'Match Log'!$N$4:$N$1510),NA()))</f>
        <v>1029.5175965335138</v>
      </c>
      <c r="M363">
        <f>IF($J363&gt;MAX('Match Log'!$A$4:$A$1510),NA(),IFERROR(LOOKUP(2,1/(('Match Log'!$D$4:$D$1510=$M$24)*('Match Log'!$A$4:$A$1510&lt;=$J363)),'Match Log'!$N$4:$N$1510),NA()))</f>
        <v>1048.0761030598392</v>
      </c>
      <c r="N363">
        <f>IF($J363&gt;MAX('Match Log'!$A$4:$A$1510),NA(),IFERROR(LOOKUP(2,1/(('Match Log'!$D$4:$D$1510=$N$24)*('Match Log'!$A$4:$A$1510&lt;=$J363)),'Match Log'!$N$4:$N$1510),NA()))</f>
        <v>907.03133644117429</v>
      </c>
      <c r="O363">
        <f>IF($J363&gt;MAX('Match Log'!$A$4:$A$1510),NA(),IFERROR(LOOKUP(2,1/(('Match Log'!$D$4:$D$1510=$O$24)*('Match Log'!$A$4:$A$1510&lt;=$J363)),'Match Log'!$N$4:$N$1510),NA()))</f>
        <v>1321.8826454815126</v>
      </c>
      <c r="P363">
        <f>IF($J363&gt;MAX('Match Log'!$A$4:$A$1510),NA(),IFERROR(LOOKUP(2,1/(('Match Log'!$D$4:$D$1510=$P$24)*('Match Log'!$A$4:$A$1510&lt;=$J363)),'Match Log'!$N$4:$N$1510),NA()))</f>
        <v>1199.9180814643371</v>
      </c>
      <c r="Q363">
        <f>IF($J363&gt;MAX('Match Log'!$A$4:$A$1510),NA(),IFERROR(LOOKUP(2,1/(('Match Log'!$D$4:$D$1510=$Q$24)*('Match Log'!$A$4:$A$1510&lt;=$J363)),'Match Log'!$N$4:$N$1510),NA()))</f>
        <v>1210.5445492849278</v>
      </c>
      <c r="R363">
        <f>IF($J363&gt;MAX('Match Log'!$A$4:$A$1510),NA(),IFERROR(LOOKUP(2,1/(('Match Log'!$D$4:$D$1510=$R$24)*('Match Log'!$A$4:$A$1510&lt;=$J363)),'Match Log'!$N$4:$N$1510),NA()))</f>
        <v>1086.3525339611667</v>
      </c>
      <c r="S363">
        <f>IF($J363&gt;MAX('Match Log'!$A$4:$A$1510),NA(),IFERROR(LOOKUP(2,1/(('Match Log'!$D$4:$D$1510=$S$24)*('Match Log'!$A$4:$A$1510&lt;=$J363)),'Match Log'!$N$4:$N$1510),NA()))</f>
        <v>1217.9015417269482</v>
      </c>
      <c r="T363">
        <f>IF($J363&gt;MAX('Match Log'!$A$4:$A$1510),NA(),IFERROR(LOOKUP(2,1/(('Match Log'!$D$4:$D$1510=$T$24)*('Match Log'!$A$4:$A$1510&lt;=$J363)),'Match Log'!$N$4:$N$1510),NA()))</f>
        <v>862.22294373677494</v>
      </c>
      <c r="U363">
        <f>IF($J363&gt;MAX('Match Log'!$A$4:$A$1510),NA(),IFERROR(LOOKUP(2,1/(('Match Log'!$D$4:$D$1510=$U$24)*('Match Log'!$A$4:$A$1510&lt;=$J363)),'Match Log'!$N$4:$N$1510),NA()))</f>
        <v>1004.2053573760541</v>
      </c>
      <c r="V363">
        <f>IF($J363&gt;MAX('Match Log'!$A$4:$A$1510),NA(),IFERROR(LOOKUP(2,1/(('Match Log'!$D$4:$D$1510=$V$24)*('Match Log'!$A$4:$A$1510&lt;=$J363)),'Match Log'!$N$4:$N$1510),NA()))</f>
        <v>1087.5488947064855</v>
      </c>
      <c r="W363">
        <f>IF($J363&gt;MAX('Match Log'!$A$4:$A$1510),NA(),IFERROR(LOOKUP(2,1/(('Match Log'!$D$4:$D$1510=$W$24)*('Match Log'!$A$4:$A$1510&lt;=$J363)),'Match Log'!$N$4:$N$1510),NA()))</f>
        <v>1010.5072402821568</v>
      </c>
      <c r="X363" t="e">
        <f>IF($J363&gt;MAX('Match Log'!$A$4:$A$1510),NA(),IFERROR(LOOKUP(2,1/(('Match Log'!$D$4:$D$1510=$X$24)*('Match Log'!$A$4:$A$1510&lt;=$J363)),'Match Log'!$N$4:$N$1510),NA()))</f>
        <v>#N/A</v>
      </c>
      <c r="Y363">
        <f t="shared" ca="1" si="34"/>
        <v>-0.33367233333333324</v>
      </c>
    </row>
    <row r="364" spans="1:25" x14ac:dyDescent="0.2">
      <c r="A364">
        <v>340</v>
      </c>
      <c r="B364">
        <f>IFERROR(INDEX('Match Log'!$B$4:$B$1510,MATCH($A364,'Match Log'!$A$4:$A$1510,0)),"")</f>
        <v>46322</v>
      </c>
      <c r="C364" t="str">
        <f>IFERROR(INDEX('Match Log'!$C$4:$C$1510,MATCH($A364,'Match Log'!$A$4:$A$1510,0)),"")</f>
        <v>Mario Kart</v>
      </c>
      <c r="D364" t="str">
        <f t="array" ref="D364">IFERROR(_xlfn.TEXTJOIN(" + ",TRUE(),IF(('Match Log'!$A$4:$A$1510=$A364)*('Match Log'!$E$4:$E$1510="Win"),'Match Log'!$D$4:$D$1510,"")),IFERROR(LOOKUP(2,1/(('Match Log'!$A$4:$A$1510=$A364)*('Match Log'!$E$4:$E$1510="Win")),'Match Log'!$D$4:$D$1510),""))</f>
        <v>Daniel (Ferret)</v>
      </c>
      <c r="E364">
        <f>IFERROR(INDEX('Match Log'!$F$4:$F$1510,MATCH($A364,'Match Log'!$A$4:$A$1510,0)),"")</f>
        <v>2</v>
      </c>
      <c r="F364">
        <f>IFERROR(SUMIFS('Match Log'!$I$4:$I$1510,'Match Log'!$A$4:$A$1510,$A364,'Match Log'!$E$4:$E$1510,"Win"),"")</f>
        <v>0.3125</v>
      </c>
      <c r="G364">
        <f t="shared" si="32"/>
        <v>0.375</v>
      </c>
      <c r="H364" t="str">
        <f t="array" ref="H364">IFERROR(IF(COUNTIFS('Match Log'!$A$4:$A$1510,$A364,'Match Log'!$E$4:$E$1510,"Win")&gt;1,_xlfn.TEXTJOIN(" + ",TRUE(),IF(('Match Log'!$A$4:$A$1510=$A364)*('Match Log'!$E$4:$E$1510="Loss"),'Match Log'!$D$4:$D$1510,"")),IF($E364=2,LOOKUP(2,1/(('Match Log'!$A$4:$A$1510=$A364)*('Match Log'!$E$4:$E$1510="Loss")),'Match Log'!$D$4:$D$1510),"the field")),"")</f>
        <v>Josh</v>
      </c>
      <c r="I364">
        <f t="shared" si="33"/>
        <v>0.37465999999999999</v>
      </c>
      <c r="J364">
        <v>340</v>
      </c>
      <c r="K364">
        <f>IF($J364&gt;MAX('Match Log'!$A$4:$A$1510),NA(),IFERROR(LOOKUP(2,1/(('Match Log'!$D$4:$D$1510=$K$24)*('Match Log'!$A$4:$A$1510&lt;=$J364)),'Match Log'!$N$4:$N$1510),NA()))</f>
        <v>1244.2911759451083</v>
      </c>
      <c r="L364">
        <f>IF($J364&gt;MAX('Match Log'!$A$4:$A$1510),NA(),IFERROR(LOOKUP(2,1/(('Match Log'!$D$4:$D$1510=$L$24)*('Match Log'!$A$4:$A$1510&lt;=$J364)),'Match Log'!$N$4:$N$1510),NA()))</f>
        <v>1029.5175965335138</v>
      </c>
      <c r="M364">
        <f>IF($J364&gt;MAX('Match Log'!$A$4:$A$1510),NA(),IFERROR(LOOKUP(2,1/(('Match Log'!$D$4:$D$1510=$M$24)*('Match Log'!$A$4:$A$1510&lt;=$J364)),'Match Log'!$N$4:$N$1510),NA()))</f>
        <v>1048.0761030598392</v>
      </c>
      <c r="N364">
        <f>IF($J364&gt;MAX('Match Log'!$A$4:$A$1510),NA(),IFERROR(LOOKUP(2,1/(('Match Log'!$D$4:$D$1510=$N$24)*('Match Log'!$A$4:$A$1510&lt;=$J364)),'Match Log'!$N$4:$N$1510),NA()))</f>
        <v>907.03133644117429</v>
      </c>
      <c r="O364">
        <f>IF($J364&gt;MAX('Match Log'!$A$4:$A$1510),NA(),IFERROR(LOOKUP(2,1/(('Match Log'!$D$4:$D$1510=$O$24)*('Match Log'!$A$4:$A$1510&lt;=$J364)),'Match Log'!$N$4:$N$1510),NA()))</f>
        <v>1290.6105721337794</v>
      </c>
      <c r="P364">
        <f>IF($J364&gt;MAX('Match Log'!$A$4:$A$1510),NA(),IFERROR(LOOKUP(2,1/(('Match Log'!$D$4:$D$1510=$P$24)*('Match Log'!$A$4:$A$1510&lt;=$J364)),'Match Log'!$N$4:$N$1510),NA()))</f>
        <v>1199.9180814643371</v>
      </c>
      <c r="Q364">
        <f>IF($J364&gt;MAX('Match Log'!$A$4:$A$1510),NA(),IFERROR(LOOKUP(2,1/(('Match Log'!$D$4:$D$1510=$Q$24)*('Match Log'!$A$4:$A$1510&lt;=$J364)),'Match Log'!$N$4:$N$1510),NA()))</f>
        <v>1210.5445492849278</v>
      </c>
      <c r="R364">
        <f>IF($J364&gt;MAX('Match Log'!$A$4:$A$1510),NA(),IFERROR(LOOKUP(2,1/(('Match Log'!$D$4:$D$1510=$R$24)*('Match Log'!$A$4:$A$1510&lt;=$J364)),'Match Log'!$N$4:$N$1510),NA()))</f>
        <v>1117.6246073088998</v>
      </c>
      <c r="S364">
        <f>IF($J364&gt;MAX('Match Log'!$A$4:$A$1510),NA(),IFERROR(LOOKUP(2,1/(('Match Log'!$D$4:$D$1510=$S$24)*('Match Log'!$A$4:$A$1510&lt;=$J364)),'Match Log'!$N$4:$N$1510),NA()))</f>
        <v>1217.9015417269482</v>
      </c>
      <c r="T364">
        <f>IF($J364&gt;MAX('Match Log'!$A$4:$A$1510),NA(),IFERROR(LOOKUP(2,1/(('Match Log'!$D$4:$D$1510=$T$24)*('Match Log'!$A$4:$A$1510&lt;=$J364)),'Match Log'!$N$4:$N$1510),NA()))</f>
        <v>862.22294373677494</v>
      </c>
      <c r="U364">
        <f>IF($J364&gt;MAX('Match Log'!$A$4:$A$1510),NA(),IFERROR(LOOKUP(2,1/(('Match Log'!$D$4:$D$1510=$U$24)*('Match Log'!$A$4:$A$1510&lt;=$J364)),'Match Log'!$N$4:$N$1510),NA()))</f>
        <v>1004.2053573760541</v>
      </c>
      <c r="V364">
        <f>IF($J364&gt;MAX('Match Log'!$A$4:$A$1510),NA(),IFERROR(LOOKUP(2,1/(('Match Log'!$D$4:$D$1510=$V$24)*('Match Log'!$A$4:$A$1510&lt;=$J364)),'Match Log'!$N$4:$N$1510),NA()))</f>
        <v>1087.5488947064855</v>
      </c>
      <c r="W364">
        <f>IF($J364&gt;MAX('Match Log'!$A$4:$A$1510),NA(),IFERROR(LOOKUP(2,1/(('Match Log'!$D$4:$D$1510=$W$24)*('Match Log'!$A$4:$A$1510&lt;=$J364)),'Match Log'!$N$4:$N$1510),NA()))</f>
        <v>1010.5072402821568</v>
      </c>
      <c r="X364" t="e">
        <f>IF($J364&gt;MAX('Match Log'!$A$4:$A$1510),NA(),IFERROR(LOOKUP(2,1/(('Match Log'!$D$4:$D$1510=$X$24)*('Match Log'!$A$4:$A$1510&lt;=$J364)),'Match Log'!$N$4:$N$1510),NA()))</f>
        <v>#N/A</v>
      </c>
      <c r="Y364">
        <f t="shared" ca="1" si="34"/>
        <v>0.37465999999999999</v>
      </c>
    </row>
    <row r="365" spans="1:25" x14ac:dyDescent="0.2">
      <c r="A365">
        <v>341</v>
      </c>
      <c r="B365">
        <f>IFERROR(INDEX('Match Log'!$B$4:$B$1510,MATCH($A365,'Match Log'!$A$4:$A$1510,0)),"")</f>
        <v>46322</v>
      </c>
      <c r="C365" t="str">
        <f>IFERROR(INDEX('Match Log'!$C$4:$C$1510,MATCH($A365,'Match Log'!$A$4:$A$1510,0)),"")</f>
        <v>Mario Kart</v>
      </c>
      <c r="D365" t="str">
        <f t="array" ref="D365">IFERROR(_xlfn.TEXTJOIN(" + ",TRUE(),IF(('Match Log'!$A$4:$A$1510=$A365)*('Match Log'!$E$4:$E$1510="Win"),'Match Log'!$D$4:$D$1510,"")),IFERROR(LOOKUP(2,1/(('Match Log'!$A$4:$A$1510=$A365)*('Match Log'!$E$4:$E$1510="Win")),'Match Log'!$D$4:$D$1510),""))</f>
        <v>Josh</v>
      </c>
      <c r="E365">
        <f>IFERROR(INDEX('Match Log'!$F$4:$F$1510,MATCH($A365,'Match Log'!$A$4:$A$1510,0)),"")</f>
        <v>2</v>
      </c>
      <c r="F365">
        <f>IFERROR(SUMIFS('Match Log'!$I$4:$I$1510,'Match Log'!$A$4:$A$1510,$A365,'Match Log'!$E$4:$E$1510,"Win"),"")</f>
        <v>0.64705882352941169</v>
      </c>
      <c r="G365">
        <f t="shared" si="32"/>
        <v>-0.29411764705882337</v>
      </c>
      <c r="H365" t="str">
        <f t="array" ref="H365">IFERROR(IF(COUNTIFS('Match Log'!$A$4:$A$1510,$A365,'Match Log'!$E$4:$E$1510,"Win")&gt;1,_xlfn.TEXTJOIN(" + ",TRUE(),IF(('Match Log'!$A$4:$A$1510=$A365)*('Match Log'!$E$4:$E$1510="Loss"),'Match Log'!$D$4:$D$1510,"")),IF($E365=2,LOOKUP(2,1/(('Match Log'!$A$4:$A$1510=$A365)*('Match Log'!$E$4:$E$1510="Loss")),'Match Log'!$D$4:$D$1510),"the field")),"")</f>
        <v>Daniel (Ferret)</v>
      </c>
      <c r="I365">
        <f t="shared" si="33"/>
        <v>-0.29445864705882335</v>
      </c>
      <c r="J365">
        <v>341</v>
      </c>
      <c r="K365">
        <f>IF($J365&gt;MAX('Match Log'!$A$4:$A$1510),NA(),IFERROR(LOOKUP(2,1/(('Match Log'!$D$4:$D$1510=$K$24)*('Match Log'!$A$4:$A$1510&lt;=$J365)),'Match Log'!$N$4:$N$1510),NA()))</f>
        <v>1244.2911759451083</v>
      </c>
      <c r="L365">
        <f>IF($J365&gt;MAX('Match Log'!$A$4:$A$1510),NA(),IFERROR(LOOKUP(2,1/(('Match Log'!$D$4:$D$1510=$L$24)*('Match Log'!$A$4:$A$1510&lt;=$J365)),'Match Log'!$N$4:$N$1510),NA()))</f>
        <v>1029.5175965335138</v>
      </c>
      <c r="M365">
        <f>IF($J365&gt;MAX('Match Log'!$A$4:$A$1510),NA(),IFERROR(LOOKUP(2,1/(('Match Log'!$D$4:$D$1510=$M$24)*('Match Log'!$A$4:$A$1510&lt;=$J365)),'Match Log'!$N$4:$N$1510),NA()))</f>
        <v>1048.0761030598392</v>
      </c>
      <c r="N365">
        <f>IF($J365&gt;MAX('Match Log'!$A$4:$A$1510),NA(),IFERROR(LOOKUP(2,1/(('Match Log'!$D$4:$D$1510=$N$24)*('Match Log'!$A$4:$A$1510&lt;=$J365)),'Match Log'!$N$4:$N$1510),NA()))</f>
        <v>907.03133644117429</v>
      </c>
      <c r="O365">
        <f>IF($J365&gt;MAX('Match Log'!$A$4:$A$1510),NA(),IFERROR(LOOKUP(2,1/(('Match Log'!$D$4:$D$1510=$O$24)*('Match Log'!$A$4:$A$1510&lt;=$J365)),'Match Log'!$N$4:$N$1510),NA()))</f>
        <v>1305.8195831172361</v>
      </c>
      <c r="P365">
        <f>IF($J365&gt;MAX('Match Log'!$A$4:$A$1510),NA(),IFERROR(LOOKUP(2,1/(('Match Log'!$D$4:$D$1510=$P$24)*('Match Log'!$A$4:$A$1510&lt;=$J365)),'Match Log'!$N$4:$N$1510),NA()))</f>
        <v>1199.9180814643371</v>
      </c>
      <c r="Q365">
        <f>IF($J365&gt;MAX('Match Log'!$A$4:$A$1510),NA(),IFERROR(LOOKUP(2,1/(('Match Log'!$D$4:$D$1510=$Q$24)*('Match Log'!$A$4:$A$1510&lt;=$J365)),'Match Log'!$N$4:$N$1510),NA()))</f>
        <v>1210.5445492849278</v>
      </c>
      <c r="R365">
        <f>IF($J365&gt;MAX('Match Log'!$A$4:$A$1510),NA(),IFERROR(LOOKUP(2,1/(('Match Log'!$D$4:$D$1510=$R$24)*('Match Log'!$A$4:$A$1510&lt;=$J365)),'Match Log'!$N$4:$N$1510),NA()))</f>
        <v>1102.4155963254432</v>
      </c>
      <c r="S365">
        <f>IF($J365&gt;MAX('Match Log'!$A$4:$A$1510),NA(),IFERROR(LOOKUP(2,1/(('Match Log'!$D$4:$D$1510=$S$24)*('Match Log'!$A$4:$A$1510&lt;=$J365)),'Match Log'!$N$4:$N$1510),NA()))</f>
        <v>1217.9015417269482</v>
      </c>
      <c r="T365">
        <f>IF($J365&gt;MAX('Match Log'!$A$4:$A$1510),NA(),IFERROR(LOOKUP(2,1/(('Match Log'!$D$4:$D$1510=$T$24)*('Match Log'!$A$4:$A$1510&lt;=$J365)),'Match Log'!$N$4:$N$1510),NA()))</f>
        <v>862.22294373677494</v>
      </c>
      <c r="U365">
        <f>IF($J365&gt;MAX('Match Log'!$A$4:$A$1510),NA(),IFERROR(LOOKUP(2,1/(('Match Log'!$D$4:$D$1510=$U$24)*('Match Log'!$A$4:$A$1510&lt;=$J365)),'Match Log'!$N$4:$N$1510),NA()))</f>
        <v>1004.2053573760541</v>
      </c>
      <c r="V365">
        <f>IF($J365&gt;MAX('Match Log'!$A$4:$A$1510),NA(),IFERROR(LOOKUP(2,1/(('Match Log'!$D$4:$D$1510=$V$24)*('Match Log'!$A$4:$A$1510&lt;=$J365)),'Match Log'!$N$4:$N$1510),NA()))</f>
        <v>1087.5488947064855</v>
      </c>
      <c r="W365">
        <f>IF($J365&gt;MAX('Match Log'!$A$4:$A$1510),NA(),IFERROR(LOOKUP(2,1/(('Match Log'!$D$4:$D$1510=$W$24)*('Match Log'!$A$4:$A$1510&lt;=$J365)),'Match Log'!$N$4:$N$1510),NA()))</f>
        <v>1010.5072402821568</v>
      </c>
      <c r="X365" t="e">
        <f>IF($J365&gt;MAX('Match Log'!$A$4:$A$1510),NA(),IFERROR(LOOKUP(2,1/(('Match Log'!$D$4:$D$1510=$X$24)*('Match Log'!$A$4:$A$1510&lt;=$J365)),'Match Log'!$N$4:$N$1510),NA()))</f>
        <v>#N/A</v>
      </c>
      <c r="Y365">
        <f t="shared" ca="1" si="34"/>
        <v>-0.29445864705882335</v>
      </c>
    </row>
    <row r="366" spans="1:25" x14ac:dyDescent="0.2">
      <c r="A366">
        <v>342</v>
      </c>
      <c r="B366">
        <f>IFERROR(INDEX('Match Log'!$B$4:$B$1510,MATCH($A366,'Match Log'!$A$4:$A$1510,0)),"")</f>
        <v>46323</v>
      </c>
      <c r="C366" t="str">
        <f>IFERROR(INDEX('Match Log'!$C$4:$C$1510,MATCH($A366,'Match Log'!$A$4:$A$1510,0)),"")</f>
        <v>Darts</v>
      </c>
      <c r="D366" t="str">
        <f t="array" ref="D366">IFERROR(_xlfn.TEXTJOIN(" + ",TRUE(),IF(('Match Log'!$A$4:$A$1510=$A366)*('Match Log'!$E$4:$E$1510="Win"),'Match Log'!$D$4:$D$1510,"")),IFERROR(LOOKUP(2,1/(('Match Log'!$A$4:$A$1510=$A366)*('Match Log'!$E$4:$E$1510="Win")),'Match Log'!$D$4:$D$1510),""))</f>
        <v>Shawn</v>
      </c>
      <c r="E366">
        <f>IFERROR(INDEX('Match Log'!$F$4:$F$1510,MATCH($A366,'Match Log'!$A$4:$A$1510,0)),"")</f>
        <v>2</v>
      </c>
      <c r="F366">
        <f>IFERROR(SUMIFS('Match Log'!$I$4:$I$1510,'Match Log'!$A$4:$A$1510,$A366,'Match Log'!$E$4:$E$1510,"Win"),"")</f>
        <v>0.40909090909090912</v>
      </c>
      <c r="G366">
        <f t="shared" si="32"/>
        <v>0.18181818181818177</v>
      </c>
      <c r="H366" t="str">
        <f t="array" ref="H366">IFERROR(IF(COUNTIFS('Match Log'!$A$4:$A$1510,$A366,'Match Log'!$E$4:$E$1510,"Win")&gt;1,_xlfn.TEXTJOIN(" + ",TRUE(),IF(('Match Log'!$A$4:$A$1510=$A366)*('Match Log'!$E$4:$E$1510="Loss"),'Match Log'!$D$4:$D$1510,"")),IF($E366=2,LOOKUP(2,1/(('Match Log'!$A$4:$A$1510=$A366)*('Match Log'!$E$4:$E$1510="Loss")),'Match Log'!$D$4:$D$1510),"the field")),"")</f>
        <v>Oscar</v>
      </c>
      <c r="I366">
        <f t="shared" si="33"/>
        <v>0.18147618181818176</v>
      </c>
      <c r="J366">
        <v>342</v>
      </c>
      <c r="K366">
        <f>IF($J366&gt;MAX('Match Log'!$A$4:$A$1510),NA(),IFERROR(LOOKUP(2,1/(('Match Log'!$D$4:$D$1510=$K$24)*('Match Log'!$A$4:$A$1510&lt;=$J366)),'Match Log'!$N$4:$N$1510),NA()))</f>
        <v>1244.2911759451083</v>
      </c>
      <c r="L366">
        <f>IF($J366&gt;MAX('Match Log'!$A$4:$A$1510),NA(),IFERROR(LOOKUP(2,1/(('Match Log'!$D$4:$D$1510=$L$24)*('Match Log'!$A$4:$A$1510&lt;=$J366)),'Match Log'!$N$4:$N$1510),NA()))</f>
        <v>1029.5175965335138</v>
      </c>
      <c r="M366">
        <f>IF($J366&gt;MAX('Match Log'!$A$4:$A$1510),NA(),IFERROR(LOOKUP(2,1/(('Match Log'!$D$4:$D$1510=$M$24)*('Match Log'!$A$4:$A$1510&lt;=$J366)),'Match Log'!$N$4:$N$1510),NA()))</f>
        <v>1048.0761030598392</v>
      </c>
      <c r="N366">
        <f>IF($J366&gt;MAX('Match Log'!$A$4:$A$1510),NA(),IFERROR(LOOKUP(2,1/(('Match Log'!$D$4:$D$1510=$N$24)*('Match Log'!$A$4:$A$1510&lt;=$J366)),'Match Log'!$N$4:$N$1510),NA()))</f>
        <v>907.03133644117429</v>
      </c>
      <c r="O366">
        <f>IF($J366&gt;MAX('Match Log'!$A$4:$A$1510),NA(),IFERROR(LOOKUP(2,1/(('Match Log'!$D$4:$D$1510=$O$24)*('Match Log'!$A$4:$A$1510&lt;=$J366)),'Match Log'!$N$4:$N$1510),NA()))</f>
        <v>1305.8195831172361</v>
      </c>
      <c r="P366">
        <f>IF($J366&gt;MAX('Match Log'!$A$4:$A$1510),NA(),IFERROR(LOOKUP(2,1/(('Match Log'!$D$4:$D$1510=$P$24)*('Match Log'!$A$4:$A$1510&lt;=$J366)),'Match Log'!$N$4:$N$1510),NA()))</f>
        <v>1221.3254299222551</v>
      </c>
      <c r="Q366">
        <f>IF($J366&gt;MAX('Match Log'!$A$4:$A$1510),NA(),IFERROR(LOOKUP(2,1/(('Match Log'!$D$4:$D$1510=$Q$24)*('Match Log'!$A$4:$A$1510&lt;=$J366)),'Match Log'!$N$4:$N$1510),NA()))</f>
        <v>1210.5445492849278</v>
      </c>
      <c r="R366">
        <f>IF($J366&gt;MAX('Match Log'!$A$4:$A$1510),NA(),IFERROR(LOOKUP(2,1/(('Match Log'!$D$4:$D$1510=$R$24)*('Match Log'!$A$4:$A$1510&lt;=$J366)),'Match Log'!$N$4:$N$1510),NA()))</f>
        <v>1102.4155963254432</v>
      </c>
      <c r="S366">
        <f>IF($J366&gt;MAX('Match Log'!$A$4:$A$1510),NA(),IFERROR(LOOKUP(2,1/(('Match Log'!$D$4:$D$1510=$S$24)*('Match Log'!$A$4:$A$1510&lt;=$J366)),'Match Log'!$N$4:$N$1510),NA()))</f>
        <v>1217.9015417269482</v>
      </c>
      <c r="T366">
        <f>IF($J366&gt;MAX('Match Log'!$A$4:$A$1510),NA(),IFERROR(LOOKUP(2,1/(('Match Log'!$D$4:$D$1510=$T$24)*('Match Log'!$A$4:$A$1510&lt;=$J366)),'Match Log'!$N$4:$N$1510),NA()))</f>
        <v>862.22294373677494</v>
      </c>
      <c r="U366">
        <f>IF($J366&gt;MAX('Match Log'!$A$4:$A$1510),NA(),IFERROR(LOOKUP(2,1/(('Match Log'!$D$4:$D$1510=$U$24)*('Match Log'!$A$4:$A$1510&lt;=$J366)),'Match Log'!$N$4:$N$1510),NA()))</f>
        <v>982.79800891813613</v>
      </c>
      <c r="V366">
        <f>IF($J366&gt;MAX('Match Log'!$A$4:$A$1510),NA(),IFERROR(LOOKUP(2,1/(('Match Log'!$D$4:$D$1510=$V$24)*('Match Log'!$A$4:$A$1510&lt;=$J366)),'Match Log'!$N$4:$N$1510),NA()))</f>
        <v>1087.5488947064855</v>
      </c>
      <c r="W366">
        <f>IF($J366&gt;MAX('Match Log'!$A$4:$A$1510),NA(),IFERROR(LOOKUP(2,1/(('Match Log'!$D$4:$D$1510=$W$24)*('Match Log'!$A$4:$A$1510&lt;=$J366)),'Match Log'!$N$4:$N$1510),NA()))</f>
        <v>1010.5072402821568</v>
      </c>
      <c r="X366" t="e">
        <f>IF($J366&gt;MAX('Match Log'!$A$4:$A$1510),NA(),IFERROR(LOOKUP(2,1/(('Match Log'!$D$4:$D$1510=$X$24)*('Match Log'!$A$4:$A$1510&lt;=$J366)),'Match Log'!$N$4:$N$1510),NA()))</f>
        <v>#N/A</v>
      </c>
      <c r="Y366">
        <f t="shared" ca="1" si="34"/>
        <v>0.18147618181818176</v>
      </c>
    </row>
    <row r="367" spans="1:25" x14ac:dyDescent="0.2">
      <c r="A367">
        <v>343</v>
      </c>
      <c r="B367">
        <f>IFERROR(INDEX('Match Log'!$B$4:$B$1510,MATCH($A367,'Match Log'!$A$4:$A$1510,0)),"")</f>
        <v>46323</v>
      </c>
      <c r="C367" t="str">
        <f>IFERROR(INDEX('Match Log'!$C$4:$C$1510,MATCH($A367,'Match Log'!$A$4:$A$1510,0)),"")</f>
        <v>Darts</v>
      </c>
      <c r="D367" t="str">
        <f t="array" ref="D367">IFERROR(_xlfn.TEXTJOIN(" + ",TRUE(),IF(('Match Log'!$A$4:$A$1510=$A367)*('Match Log'!$E$4:$E$1510="Win"),'Match Log'!$D$4:$D$1510,"")),IFERROR(LOOKUP(2,1/(('Match Log'!$A$4:$A$1510=$A367)*('Match Log'!$E$4:$E$1510="Win")),'Match Log'!$D$4:$D$1510),""))</f>
        <v>Simon</v>
      </c>
      <c r="E367">
        <f>IFERROR(INDEX('Match Log'!$F$4:$F$1510,MATCH($A367,'Match Log'!$A$4:$A$1510,0)),"")</f>
        <v>2</v>
      </c>
      <c r="F367">
        <f>IFERROR(SUMIFS('Match Log'!$I$4:$I$1510,'Match Log'!$A$4:$A$1510,$A367,'Match Log'!$E$4:$E$1510,"Win"),"")</f>
        <v>0.45454545454545447</v>
      </c>
      <c r="G367">
        <f t="shared" si="32"/>
        <v>9.090909090909105E-2</v>
      </c>
      <c r="H367" t="str">
        <f t="array" ref="H367">IFERROR(IF(COUNTIFS('Match Log'!$A$4:$A$1510,$A367,'Match Log'!$E$4:$E$1510,"Win")&gt;1,_xlfn.TEXTJOIN(" + ",TRUE(),IF(('Match Log'!$A$4:$A$1510=$A367)*('Match Log'!$E$4:$E$1510="Loss"),'Match Log'!$D$4:$D$1510,"")),IF($E367=2,LOOKUP(2,1/(('Match Log'!$A$4:$A$1510=$A367)*('Match Log'!$E$4:$E$1510="Loss")),'Match Log'!$D$4:$D$1510),"the field")),"")</f>
        <v>Oscar</v>
      </c>
      <c r="I367">
        <f t="shared" si="33"/>
        <v>9.0566090909091054E-2</v>
      </c>
      <c r="J367">
        <v>343</v>
      </c>
      <c r="K367">
        <f>IF($J367&gt;MAX('Match Log'!$A$4:$A$1510),NA(),IFERROR(LOOKUP(2,1/(('Match Log'!$D$4:$D$1510=$K$24)*('Match Log'!$A$4:$A$1510&lt;=$J367)),'Match Log'!$N$4:$N$1510),NA()))</f>
        <v>1244.2911759451083</v>
      </c>
      <c r="L367">
        <f>IF($J367&gt;MAX('Match Log'!$A$4:$A$1510),NA(),IFERROR(LOOKUP(2,1/(('Match Log'!$D$4:$D$1510=$L$24)*('Match Log'!$A$4:$A$1510&lt;=$J367)),'Match Log'!$N$4:$N$1510),NA()))</f>
        <v>1029.5175965335138</v>
      </c>
      <c r="M367">
        <f>IF($J367&gt;MAX('Match Log'!$A$4:$A$1510),NA(),IFERROR(LOOKUP(2,1/(('Match Log'!$D$4:$D$1510=$M$24)*('Match Log'!$A$4:$A$1510&lt;=$J367)),'Match Log'!$N$4:$N$1510),NA()))</f>
        <v>1048.0761030598392</v>
      </c>
      <c r="N367">
        <f>IF($J367&gt;MAX('Match Log'!$A$4:$A$1510),NA(),IFERROR(LOOKUP(2,1/(('Match Log'!$D$4:$D$1510=$N$24)*('Match Log'!$A$4:$A$1510&lt;=$J367)),'Match Log'!$N$4:$N$1510),NA()))</f>
        <v>907.03133644117429</v>
      </c>
      <c r="O367">
        <f>IF($J367&gt;MAX('Match Log'!$A$4:$A$1510),NA(),IFERROR(LOOKUP(2,1/(('Match Log'!$D$4:$D$1510=$O$24)*('Match Log'!$A$4:$A$1510&lt;=$J367)),'Match Log'!$N$4:$N$1510),NA()))</f>
        <v>1305.8195831172361</v>
      </c>
      <c r="P367">
        <f>IF($J367&gt;MAX('Match Log'!$A$4:$A$1510),NA(),IFERROR(LOOKUP(2,1/(('Match Log'!$D$4:$D$1510=$P$24)*('Match Log'!$A$4:$A$1510&lt;=$J367)),'Match Log'!$N$4:$N$1510),NA()))</f>
        <v>1221.3254299222551</v>
      </c>
      <c r="Q367">
        <f>IF($J367&gt;MAX('Match Log'!$A$4:$A$1510),NA(),IFERROR(LOOKUP(2,1/(('Match Log'!$D$4:$D$1510=$Q$24)*('Match Log'!$A$4:$A$1510&lt;=$J367)),'Match Log'!$N$4:$N$1510),NA()))</f>
        <v>1228.90947981773</v>
      </c>
      <c r="R367">
        <f>IF($J367&gt;MAX('Match Log'!$A$4:$A$1510),NA(),IFERROR(LOOKUP(2,1/(('Match Log'!$D$4:$D$1510=$R$24)*('Match Log'!$A$4:$A$1510&lt;=$J367)),'Match Log'!$N$4:$N$1510),NA()))</f>
        <v>1102.4155963254432</v>
      </c>
      <c r="S367">
        <f>IF($J367&gt;MAX('Match Log'!$A$4:$A$1510),NA(),IFERROR(LOOKUP(2,1/(('Match Log'!$D$4:$D$1510=$S$24)*('Match Log'!$A$4:$A$1510&lt;=$J367)),'Match Log'!$N$4:$N$1510),NA()))</f>
        <v>1217.9015417269482</v>
      </c>
      <c r="T367">
        <f>IF($J367&gt;MAX('Match Log'!$A$4:$A$1510),NA(),IFERROR(LOOKUP(2,1/(('Match Log'!$D$4:$D$1510=$T$24)*('Match Log'!$A$4:$A$1510&lt;=$J367)),'Match Log'!$N$4:$N$1510),NA()))</f>
        <v>862.22294373677494</v>
      </c>
      <c r="U367">
        <f>IF($J367&gt;MAX('Match Log'!$A$4:$A$1510),NA(),IFERROR(LOOKUP(2,1/(('Match Log'!$D$4:$D$1510=$U$24)*('Match Log'!$A$4:$A$1510&lt;=$J367)),'Match Log'!$N$4:$N$1510),NA()))</f>
        <v>964.43307838533394</v>
      </c>
      <c r="V367">
        <f>IF($J367&gt;MAX('Match Log'!$A$4:$A$1510),NA(),IFERROR(LOOKUP(2,1/(('Match Log'!$D$4:$D$1510=$V$24)*('Match Log'!$A$4:$A$1510&lt;=$J367)),'Match Log'!$N$4:$N$1510),NA()))</f>
        <v>1087.5488947064855</v>
      </c>
      <c r="W367">
        <f>IF($J367&gt;MAX('Match Log'!$A$4:$A$1510),NA(),IFERROR(LOOKUP(2,1/(('Match Log'!$D$4:$D$1510=$W$24)*('Match Log'!$A$4:$A$1510&lt;=$J367)),'Match Log'!$N$4:$N$1510),NA()))</f>
        <v>1010.5072402821568</v>
      </c>
      <c r="X367" t="e">
        <f>IF($J367&gt;MAX('Match Log'!$A$4:$A$1510),NA(),IFERROR(LOOKUP(2,1/(('Match Log'!$D$4:$D$1510=$X$24)*('Match Log'!$A$4:$A$1510&lt;=$J367)),'Match Log'!$N$4:$N$1510),NA()))</f>
        <v>#N/A</v>
      </c>
      <c r="Y367">
        <f t="shared" ca="1" si="34"/>
        <v>9.0566090909091054E-2</v>
      </c>
    </row>
    <row r="368" spans="1:25" x14ac:dyDescent="0.2">
      <c r="A368">
        <v>344</v>
      </c>
      <c r="B368">
        <f>IFERROR(INDEX('Match Log'!$B$4:$B$1510,MATCH($A368,'Match Log'!$A$4:$A$1510,0)),"")</f>
        <v>46323</v>
      </c>
      <c r="C368" t="str">
        <f>IFERROR(INDEX('Match Log'!$C$4:$C$1510,MATCH($A368,'Match Log'!$A$4:$A$1510,0)),"")</f>
        <v>Darts</v>
      </c>
      <c r="D368" t="str">
        <f t="array" ref="D368">IFERROR(_xlfn.TEXTJOIN(" + ",TRUE(),IF(('Match Log'!$A$4:$A$1510=$A368)*('Match Log'!$E$4:$E$1510="Win"),'Match Log'!$D$4:$D$1510,"")),IFERROR(LOOKUP(2,1/(('Match Log'!$A$4:$A$1510=$A368)*('Match Log'!$E$4:$E$1510="Win")),'Match Log'!$D$4:$D$1510),""))</f>
        <v>Oscar</v>
      </c>
      <c r="E368">
        <f>IFERROR(INDEX('Match Log'!$F$4:$F$1510,MATCH($A368,'Match Log'!$A$4:$A$1510,0)),"")</f>
        <v>2</v>
      </c>
      <c r="F368">
        <f>IFERROR(SUMIFS('Match Log'!$I$4:$I$1510,'Match Log'!$A$4:$A$1510,$A368,'Match Log'!$E$4:$E$1510,"Win"),"")</f>
        <v>0.47619047619047616</v>
      </c>
      <c r="G368">
        <f t="shared" si="32"/>
        <v>4.7619047619047672E-2</v>
      </c>
      <c r="H368" t="str">
        <f t="array" ref="H368">IFERROR(IF(COUNTIFS('Match Log'!$A$4:$A$1510,$A368,'Match Log'!$E$4:$E$1510,"Win")&gt;1,_xlfn.TEXTJOIN(" + ",TRUE(),IF(('Match Log'!$A$4:$A$1510=$A368)*('Match Log'!$E$4:$E$1510="Loss"),'Match Log'!$D$4:$D$1510,"")),IF($E368=2,LOOKUP(2,1/(('Match Log'!$A$4:$A$1510=$A368)*('Match Log'!$E$4:$E$1510="Loss")),'Match Log'!$D$4:$D$1510),"the field")),"")</f>
        <v>Simon</v>
      </c>
      <c r="I368">
        <f t="shared" si="33"/>
        <v>4.7275047619047675E-2</v>
      </c>
      <c r="J368">
        <v>344</v>
      </c>
      <c r="K368">
        <f>IF($J368&gt;MAX('Match Log'!$A$4:$A$1510),NA(),IFERROR(LOOKUP(2,1/(('Match Log'!$D$4:$D$1510=$K$24)*('Match Log'!$A$4:$A$1510&lt;=$J368)),'Match Log'!$N$4:$N$1510),NA()))</f>
        <v>1244.2911759451083</v>
      </c>
      <c r="L368">
        <f>IF($J368&gt;MAX('Match Log'!$A$4:$A$1510),NA(),IFERROR(LOOKUP(2,1/(('Match Log'!$D$4:$D$1510=$L$24)*('Match Log'!$A$4:$A$1510&lt;=$J368)),'Match Log'!$N$4:$N$1510),NA()))</f>
        <v>1029.5175965335138</v>
      </c>
      <c r="M368">
        <f>IF($J368&gt;MAX('Match Log'!$A$4:$A$1510),NA(),IFERROR(LOOKUP(2,1/(('Match Log'!$D$4:$D$1510=$M$24)*('Match Log'!$A$4:$A$1510&lt;=$J368)),'Match Log'!$N$4:$N$1510),NA()))</f>
        <v>1048.0761030598392</v>
      </c>
      <c r="N368">
        <f>IF($J368&gt;MAX('Match Log'!$A$4:$A$1510),NA(),IFERROR(LOOKUP(2,1/(('Match Log'!$D$4:$D$1510=$N$24)*('Match Log'!$A$4:$A$1510&lt;=$J368)),'Match Log'!$N$4:$N$1510),NA()))</f>
        <v>907.03133644117429</v>
      </c>
      <c r="O368">
        <f>IF($J368&gt;MAX('Match Log'!$A$4:$A$1510),NA(),IFERROR(LOOKUP(2,1/(('Match Log'!$D$4:$D$1510=$O$24)*('Match Log'!$A$4:$A$1510&lt;=$J368)),'Match Log'!$N$4:$N$1510),NA()))</f>
        <v>1305.8195831172361</v>
      </c>
      <c r="P368">
        <f>IF($J368&gt;MAX('Match Log'!$A$4:$A$1510),NA(),IFERROR(LOOKUP(2,1/(('Match Log'!$D$4:$D$1510=$P$24)*('Match Log'!$A$4:$A$1510&lt;=$J368)),'Match Log'!$N$4:$N$1510),NA()))</f>
        <v>1221.3254299222551</v>
      </c>
      <c r="Q368">
        <f>IF($J368&gt;MAX('Match Log'!$A$4:$A$1510),NA(),IFERROR(LOOKUP(2,1/(('Match Log'!$D$4:$D$1510=$Q$24)*('Match Log'!$A$4:$A$1510&lt;=$J368)),'Match Log'!$N$4:$N$1510),NA()))</f>
        <v>1201.3275444492906</v>
      </c>
      <c r="R368">
        <f>IF($J368&gt;MAX('Match Log'!$A$4:$A$1510),NA(),IFERROR(LOOKUP(2,1/(('Match Log'!$D$4:$D$1510=$R$24)*('Match Log'!$A$4:$A$1510&lt;=$J368)),'Match Log'!$N$4:$N$1510),NA()))</f>
        <v>1102.4155963254432</v>
      </c>
      <c r="S368">
        <f>IF($J368&gt;MAX('Match Log'!$A$4:$A$1510),NA(),IFERROR(LOOKUP(2,1/(('Match Log'!$D$4:$D$1510=$S$24)*('Match Log'!$A$4:$A$1510&lt;=$J368)),'Match Log'!$N$4:$N$1510),NA()))</f>
        <v>1217.9015417269482</v>
      </c>
      <c r="T368">
        <f>IF($J368&gt;MAX('Match Log'!$A$4:$A$1510),NA(),IFERROR(LOOKUP(2,1/(('Match Log'!$D$4:$D$1510=$T$24)*('Match Log'!$A$4:$A$1510&lt;=$J368)),'Match Log'!$N$4:$N$1510),NA()))</f>
        <v>862.22294373677494</v>
      </c>
      <c r="U368">
        <f>IF($J368&gt;MAX('Match Log'!$A$4:$A$1510),NA(),IFERROR(LOOKUP(2,1/(('Match Log'!$D$4:$D$1510=$U$24)*('Match Log'!$A$4:$A$1510&lt;=$J368)),'Match Log'!$N$4:$N$1510),NA()))</f>
        <v>992.01501375377336</v>
      </c>
      <c r="V368">
        <f>IF($J368&gt;MAX('Match Log'!$A$4:$A$1510),NA(),IFERROR(LOOKUP(2,1/(('Match Log'!$D$4:$D$1510=$V$24)*('Match Log'!$A$4:$A$1510&lt;=$J368)),'Match Log'!$N$4:$N$1510),NA()))</f>
        <v>1087.5488947064855</v>
      </c>
      <c r="W368">
        <f>IF($J368&gt;MAX('Match Log'!$A$4:$A$1510),NA(),IFERROR(LOOKUP(2,1/(('Match Log'!$D$4:$D$1510=$W$24)*('Match Log'!$A$4:$A$1510&lt;=$J368)),'Match Log'!$N$4:$N$1510),NA()))</f>
        <v>1010.5072402821568</v>
      </c>
      <c r="X368" t="e">
        <f>IF($J368&gt;MAX('Match Log'!$A$4:$A$1510),NA(),IFERROR(LOOKUP(2,1/(('Match Log'!$D$4:$D$1510=$X$24)*('Match Log'!$A$4:$A$1510&lt;=$J368)),'Match Log'!$N$4:$N$1510),NA()))</f>
        <v>#N/A</v>
      </c>
      <c r="Y368">
        <f t="shared" ca="1" si="34"/>
        <v>4.7275047619047675E-2</v>
      </c>
    </row>
    <row r="369" spans="1:25" x14ac:dyDescent="0.2">
      <c r="A369">
        <v>345</v>
      </c>
      <c r="B369">
        <f>IFERROR(INDEX('Match Log'!$B$4:$B$1510,MATCH($A369,'Match Log'!$A$4:$A$1510,0)),"")</f>
        <v>46323</v>
      </c>
      <c r="C369" t="str">
        <f>IFERROR(INDEX('Match Log'!$C$4:$C$1510,MATCH($A369,'Match Log'!$A$4:$A$1510,0)),"")</f>
        <v>Darts</v>
      </c>
      <c r="D369" t="str">
        <f t="array" ref="D369">IFERROR(_xlfn.TEXTJOIN(" + ",TRUE(),IF(('Match Log'!$A$4:$A$1510=$A369)*('Match Log'!$E$4:$E$1510="Win"),'Match Log'!$D$4:$D$1510,"")),IFERROR(LOOKUP(2,1/(('Match Log'!$A$4:$A$1510=$A369)*('Match Log'!$E$4:$E$1510="Win")),'Match Log'!$D$4:$D$1510),""))</f>
        <v>Oscar</v>
      </c>
      <c r="E369">
        <f>IFERROR(INDEX('Match Log'!$F$4:$F$1510,MATCH($A369,'Match Log'!$A$4:$A$1510,0)),"")</f>
        <v>2</v>
      </c>
      <c r="F369">
        <f>IFERROR(SUMIFS('Match Log'!$I$4:$I$1510,'Match Log'!$A$4:$A$1510,$A369,'Match Log'!$E$4:$E$1510,"Win"),"")</f>
        <v>0.53398058252427194</v>
      </c>
      <c r="G369">
        <f t="shared" si="32"/>
        <v>-6.7961165048543881E-2</v>
      </c>
      <c r="H369" t="str">
        <f t="array" ref="H369">IFERROR(IF(COUNTIFS('Match Log'!$A$4:$A$1510,$A369,'Match Log'!$E$4:$E$1510,"Win")&gt;1,_xlfn.TEXTJOIN(" + ",TRUE(),IF(('Match Log'!$A$4:$A$1510=$A369)*('Match Log'!$E$4:$E$1510="Loss"),'Match Log'!$D$4:$D$1510,"")),IF($E369=2,LOOKUP(2,1/(('Match Log'!$A$4:$A$1510=$A369)*('Match Log'!$E$4:$E$1510="Loss")),'Match Log'!$D$4:$D$1510),"the field")),"")</f>
        <v>Simon</v>
      </c>
      <c r="I369">
        <f t="shared" si="33"/>
        <v>-6.8306165048543879E-2</v>
      </c>
      <c r="J369">
        <v>345</v>
      </c>
      <c r="K369">
        <f>IF($J369&gt;MAX('Match Log'!$A$4:$A$1510),NA(),IFERROR(LOOKUP(2,1/(('Match Log'!$D$4:$D$1510=$K$24)*('Match Log'!$A$4:$A$1510&lt;=$J369)),'Match Log'!$N$4:$N$1510),NA()))</f>
        <v>1244.2911759451083</v>
      </c>
      <c r="L369">
        <f>IF($J369&gt;MAX('Match Log'!$A$4:$A$1510),NA(),IFERROR(LOOKUP(2,1/(('Match Log'!$D$4:$D$1510=$L$24)*('Match Log'!$A$4:$A$1510&lt;=$J369)),'Match Log'!$N$4:$N$1510),NA()))</f>
        <v>1029.5175965335138</v>
      </c>
      <c r="M369">
        <f>IF($J369&gt;MAX('Match Log'!$A$4:$A$1510),NA(),IFERROR(LOOKUP(2,1/(('Match Log'!$D$4:$D$1510=$M$24)*('Match Log'!$A$4:$A$1510&lt;=$J369)),'Match Log'!$N$4:$N$1510),NA()))</f>
        <v>1048.0761030598392</v>
      </c>
      <c r="N369">
        <f>IF($J369&gt;MAX('Match Log'!$A$4:$A$1510),NA(),IFERROR(LOOKUP(2,1/(('Match Log'!$D$4:$D$1510=$N$24)*('Match Log'!$A$4:$A$1510&lt;=$J369)),'Match Log'!$N$4:$N$1510),NA()))</f>
        <v>907.03133644117429</v>
      </c>
      <c r="O369">
        <f>IF($J369&gt;MAX('Match Log'!$A$4:$A$1510),NA(),IFERROR(LOOKUP(2,1/(('Match Log'!$D$4:$D$1510=$O$24)*('Match Log'!$A$4:$A$1510&lt;=$J369)),'Match Log'!$N$4:$N$1510),NA()))</f>
        <v>1305.8195831172361</v>
      </c>
      <c r="P369">
        <f>IF($J369&gt;MAX('Match Log'!$A$4:$A$1510),NA(),IFERROR(LOOKUP(2,1/(('Match Log'!$D$4:$D$1510=$P$24)*('Match Log'!$A$4:$A$1510&lt;=$J369)),'Match Log'!$N$4:$N$1510),NA()))</f>
        <v>1221.3254299222551</v>
      </c>
      <c r="Q369">
        <f>IF($J369&gt;MAX('Match Log'!$A$4:$A$1510),NA(),IFERROR(LOOKUP(2,1/(('Match Log'!$D$4:$D$1510=$Q$24)*('Match Log'!$A$4:$A$1510&lt;=$J369)),'Match Log'!$N$4:$N$1510),NA()))</f>
        <v>1176.4960512957946</v>
      </c>
      <c r="R369">
        <f>IF($J369&gt;MAX('Match Log'!$A$4:$A$1510),NA(),IFERROR(LOOKUP(2,1/(('Match Log'!$D$4:$D$1510=$R$24)*('Match Log'!$A$4:$A$1510&lt;=$J369)),'Match Log'!$N$4:$N$1510),NA()))</f>
        <v>1102.4155963254432</v>
      </c>
      <c r="S369">
        <f>IF($J369&gt;MAX('Match Log'!$A$4:$A$1510),NA(),IFERROR(LOOKUP(2,1/(('Match Log'!$D$4:$D$1510=$S$24)*('Match Log'!$A$4:$A$1510&lt;=$J369)),'Match Log'!$N$4:$N$1510),NA()))</f>
        <v>1217.9015417269482</v>
      </c>
      <c r="T369">
        <f>IF($J369&gt;MAX('Match Log'!$A$4:$A$1510),NA(),IFERROR(LOOKUP(2,1/(('Match Log'!$D$4:$D$1510=$T$24)*('Match Log'!$A$4:$A$1510&lt;=$J369)),'Match Log'!$N$4:$N$1510),NA()))</f>
        <v>862.22294373677494</v>
      </c>
      <c r="U369">
        <f>IF($J369&gt;MAX('Match Log'!$A$4:$A$1510),NA(),IFERROR(LOOKUP(2,1/(('Match Log'!$D$4:$D$1510=$U$24)*('Match Log'!$A$4:$A$1510&lt;=$J369)),'Match Log'!$N$4:$N$1510),NA()))</f>
        <v>1016.8465069072693</v>
      </c>
      <c r="V369">
        <f>IF($J369&gt;MAX('Match Log'!$A$4:$A$1510),NA(),IFERROR(LOOKUP(2,1/(('Match Log'!$D$4:$D$1510=$V$24)*('Match Log'!$A$4:$A$1510&lt;=$J369)),'Match Log'!$N$4:$N$1510),NA()))</f>
        <v>1087.5488947064855</v>
      </c>
      <c r="W369">
        <f>IF($J369&gt;MAX('Match Log'!$A$4:$A$1510),NA(),IFERROR(LOOKUP(2,1/(('Match Log'!$D$4:$D$1510=$W$24)*('Match Log'!$A$4:$A$1510&lt;=$J369)),'Match Log'!$N$4:$N$1510),NA()))</f>
        <v>1010.5072402821568</v>
      </c>
      <c r="X369" t="e">
        <f>IF($J369&gt;MAX('Match Log'!$A$4:$A$1510),NA(),IFERROR(LOOKUP(2,1/(('Match Log'!$D$4:$D$1510=$X$24)*('Match Log'!$A$4:$A$1510&lt;=$J369)),'Match Log'!$N$4:$N$1510),NA()))</f>
        <v>#N/A</v>
      </c>
      <c r="Y369">
        <f t="shared" ca="1" si="34"/>
        <v>-6.8306165048543879E-2</v>
      </c>
    </row>
    <row r="370" spans="1:25" x14ac:dyDescent="0.2">
      <c r="A370">
        <v>346</v>
      </c>
      <c r="B370">
        <f>IFERROR(INDEX('Match Log'!$B$4:$B$1510,MATCH($A370,'Match Log'!$A$4:$A$1510,0)),"")</f>
        <v>46325</v>
      </c>
      <c r="C370" t="str">
        <f>IFERROR(INDEX('Match Log'!$C$4:$C$1510,MATCH($A370,'Match Log'!$A$4:$A$1510,0)),"")</f>
        <v>Mario Golf</v>
      </c>
      <c r="D370" t="str">
        <f t="array" ref="D370">IFERROR(_xlfn.TEXTJOIN(" + ",TRUE(),IF(('Match Log'!$A$4:$A$1510=$A370)*('Match Log'!$E$4:$E$1510="Win"),'Match Log'!$D$4:$D$1510,"")),IFERROR(LOOKUP(2,1/(('Match Log'!$A$4:$A$1510=$A370)*('Match Log'!$E$4:$E$1510="Win")),'Match Log'!$D$4:$D$1510),""))</f>
        <v>Daniel (Ferret)</v>
      </c>
      <c r="E370">
        <f>IFERROR(INDEX('Match Log'!$F$4:$F$1510,MATCH($A370,'Match Log'!$A$4:$A$1510,0)),"")</f>
        <v>2</v>
      </c>
      <c r="F370">
        <f>IFERROR(SUMIFS('Match Log'!$I$4:$I$1510,'Match Log'!$A$4:$A$1510,$A370,'Match Log'!$E$4:$E$1510,"Win"),"")</f>
        <v>0.55746140651801024</v>
      </c>
      <c r="G370">
        <f t="shared" si="32"/>
        <v>-0.11492281303602048</v>
      </c>
      <c r="H370" t="str">
        <f t="array" ref="H370">IFERROR(IF(COUNTIFS('Match Log'!$A$4:$A$1510,$A370,'Match Log'!$E$4:$E$1510,"Win")&gt;1,_xlfn.TEXTJOIN(" + ",TRUE(),IF(('Match Log'!$A$4:$A$1510=$A370)*('Match Log'!$E$4:$E$1510="Loss"),'Match Log'!$D$4:$D$1510,"")),IF($E370=2,LOOKUP(2,1/(('Match Log'!$A$4:$A$1510=$A370)*('Match Log'!$E$4:$E$1510="Loss")),'Match Log'!$D$4:$D$1510),"the field")),"")</f>
        <v>Shawn</v>
      </c>
      <c r="I370">
        <f t="shared" si="33"/>
        <v>-0.11526881303602048</v>
      </c>
      <c r="J370">
        <v>346</v>
      </c>
      <c r="K370">
        <f>IF($J370&gt;MAX('Match Log'!$A$4:$A$1510),NA(),IFERROR(LOOKUP(2,1/(('Match Log'!$D$4:$D$1510=$K$24)*('Match Log'!$A$4:$A$1510&lt;=$J370)),'Match Log'!$N$4:$N$1510),NA()))</f>
        <v>1244.2911759451083</v>
      </c>
      <c r="L370">
        <f>IF($J370&gt;MAX('Match Log'!$A$4:$A$1510),NA(),IFERROR(LOOKUP(2,1/(('Match Log'!$D$4:$D$1510=$L$24)*('Match Log'!$A$4:$A$1510&lt;=$J370)),'Match Log'!$N$4:$N$1510),NA()))</f>
        <v>1029.5175965335138</v>
      </c>
      <c r="M370">
        <f>IF($J370&gt;MAX('Match Log'!$A$4:$A$1510),NA(),IFERROR(LOOKUP(2,1/(('Match Log'!$D$4:$D$1510=$M$24)*('Match Log'!$A$4:$A$1510&lt;=$J370)),'Match Log'!$N$4:$N$1510),NA()))</f>
        <v>1048.0761030598392</v>
      </c>
      <c r="N370">
        <f>IF($J370&gt;MAX('Match Log'!$A$4:$A$1510),NA(),IFERROR(LOOKUP(2,1/(('Match Log'!$D$4:$D$1510=$N$24)*('Match Log'!$A$4:$A$1510&lt;=$J370)),'Match Log'!$N$4:$N$1510),NA()))</f>
        <v>907.03133644117429</v>
      </c>
      <c r="O370">
        <f>IF($J370&gt;MAX('Match Log'!$A$4:$A$1510),NA(),IFERROR(LOOKUP(2,1/(('Match Log'!$D$4:$D$1510=$O$24)*('Match Log'!$A$4:$A$1510&lt;=$J370)),'Match Log'!$N$4:$N$1510),NA()))</f>
        <v>1305.8195831172361</v>
      </c>
      <c r="P370">
        <f>IF($J370&gt;MAX('Match Log'!$A$4:$A$1510),NA(),IFERROR(LOOKUP(2,1/(('Match Log'!$D$4:$D$1510=$P$24)*('Match Log'!$A$4:$A$1510&lt;=$J370)),'Match Log'!$N$4:$N$1510),NA()))</f>
        <v>1204.1838551704134</v>
      </c>
      <c r="Q370">
        <f>IF($J370&gt;MAX('Match Log'!$A$4:$A$1510),NA(),IFERROR(LOOKUP(2,1/(('Match Log'!$D$4:$D$1510=$Q$24)*('Match Log'!$A$4:$A$1510&lt;=$J370)),'Match Log'!$N$4:$N$1510),NA()))</f>
        <v>1176.4960512957946</v>
      </c>
      <c r="R370">
        <f>IF($J370&gt;MAX('Match Log'!$A$4:$A$1510),NA(),IFERROR(LOOKUP(2,1/(('Match Log'!$D$4:$D$1510=$R$24)*('Match Log'!$A$4:$A$1510&lt;=$J370)),'Match Log'!$N$4:$N$1510),NA()))</f>
        <v>1119.5571710772849</v>
      </c>
      <c r="S370">
        <f>IF($J370&gt;MAX('Match Log'!$A$4:$A$1510),NA(),IFERROR(LOOKUP(2,1/(('Match Log'!$D$4:$D$1510=$S$24)*('Match Log'!$A$4:$A$1510&lt;=$J370)),'Match Log'!$N$4:$N$1510),NA()))</f>
        <v>1217.9015417269482</v>
      </c>
      <c r="T370">
        <f>IF($J370&gt;MAX('Match Log'!$A$4:$A$1510),NA(),IFERROR(LOOKUP(2,1/(('Match Log'!$D$4:$D$1510=$T$24)*('Match Log'!$A$4:$A$1510&lt;=$J370)),'Match Log'!$N$4:$N$1510),NA()))</f>
        <v>862.22294373677494</v>
      </c>
      <c r="U370">
        <f>IF($J370&gt;MAX('Match Log'!$A$4:$A$1510),NA(),IFERROR(LOOKUP(2,1/(('Match Log'!$D$4:$D$1510=$U$24)*('Match Log'!$A$4:$A$1510&lt;=$J370)),'Match Log'!$N$4:$N$1510),NA()))</f>
        <v>1016.8465069072693</v>
      </c>
      <c r="V370">
        <f>IF($J370&gt;MAX('Match Log'!$A$4:$A$1510),NA(),IFERROR(LOOKUP(2,1/(('Match Log'!$D$4:$D$1510=$V$24)*('Match Log'!$A$4:$A$1510&lt;=$J370)),'Match Log'!$N$4:$N$1510),NA()))</f>
        <v>1087.5488947064855</v>
      </c>
      <c r="W370">
        <f>IF($J370&gt;MAX('Match Log'!$A$4:$A$1510),NA(),IFERROR(LOOKUP(2,1/(('Match Log'!$D$4:$D$1510=$W$24)*('Match Log'!$A$4:$A$1510&lt;=$J370)),'Match Log'!$N$4:$N$1510),NA()))</f>
        <v>1010.5072402821568</v>
      </c>
      <c r="X370" t="e">
        <f>IF($J370&gt;MAX('Match Log'!$A$4:$A$1510),NA(),IFERROR(LOOKUP(2,1/(('Match Log'!$D$4:$D$1510=$X$24)*('Match Log'!$A$4:$A$1510&lt;=$J370)),'Match Log'!$N$4:$N$1510),NA()))</f>
        <v>#N/A</v>
      </c>
      <c r="Y370">
        <f t="shared" ca="1" si="34"/>
        <v>-0.11526881303602048</v>
      </c>
    </row>
    <row r="371" spans="1:25" x14ac:dyDescent="0.2">
      <c r="A371">
        <v>347</v>
      </c>
      <c r="B371">
        <f>IFERROR(INDEX('Match Log'!$B$4:$B$1510,MATCH($A371,'Match Log'!$A$4:$A$1510,0)),"")</f>
        <v>46325</v>
      </c>
      <c r="C371" t="str">
        <f>IFERROR(INDEX('Match Log'!$C$4:$C$1510,MATCH($A371,'Match Log'!$A$4:$A$1510,0)),"")</f>
        <v>Mario Golf</v>
      </c>
      <c r="D371" t="str">
        <f t="array" ref="D371">IFERROR(_xlfn.TEXTJOIN(" + ",TRUE(),IF(('Match Log'!$A$4:$A$1510=$A371)*('Match Log'!$E$4:$E$1510="Win"),'Match Log'!$D$4:$D$1510,"")),IFERROR(LOOKUP(2,1/(('Match Log'!$A$4:$A$1510=$A371)*('Match Log'!$E$4:$E$1510="Win")),'Match Log'!$D$4:$D$1510),""))</f>
        <v>Daniel (Ferret)</v>
      </c>
      <c r="E371">
        <f>IFERROR(INDEX('Match Log'!$F$4:$F$1510,MATCH($A371,'Match Log'!$A$4:$A$1510,0)),"")</f>
        <v>2</v>
      </c>
      <c r="F371">
        <f>IFERROR(SUMIFS('Match Log'!$I$4:$I$1510,'Match Log'!$A$4:$A$1510,$A371,'Match Log'!$E$4:$E$1510,"Win"),"")</f>
        <v>0.56596794081381008</v>
      </c>
      <c r="G371">
        <f t="shared" si="32"/>
        <v>-0.13193588162762016</v>
      </c>
      <c r="H371" t="str">
        <f t="array" ref="H371">IFERROR(IF(COUNTIFS('Match Log'!$A$4:$A$1510,$A371,'Match Log'!$E$4:$E$1510,"Win")&gt;1,_xlfn.TEXTJOIN(" + ",TRUE(),IF(('Match Log'!$A$4:$A$1510=$A371)*('Match Log'!$E$4:$E$1510="Loss"),'Match Log'!$D$4:$D$1510,"")),IF($E371=2,LOOKUP(2,1/(('Match Log'!$A$4:$A$1510=$A371)*('Match Log'!$E$4:$E$1510="Loss")),'Match Log'!$D$4:$D$1510),"the field")),"")</f>
        <v>Shawn</v>
      </c>
      <c r="I371">
        <f t="shared" si="33"/>
        <v>-0.13228288162762014</v>
      </c>
      <c r="J371">
        <v>347</v>
      </c>
      <c r="K371">
        <f>IF($J371&gt;MAX('Match Log'!$A$4:$A$1510),NA(),IFERROR(LOOKUP(2,1/(('Match Log'!$D$4:$D$1510=$K$24)*('Match Log'!$A$4:$A$1510&lt;=$J371)),'Match Log'!$N$4:$N$1510),NA()))</f>
        <v>1244.2911759451083</v>
      </c>
      <c r="L371">
        <f>IF($J371&gt;MAX('Match Log'!$A$4:$A$1510),NA(),IFERROR(LOOKUP(2,1/(('Match Log'!$D$4:$D$1510=$L$24)*('Match Log'!$A$4:$A$1510&lt;=$J371)),'Match Log'!$N$4:$N$1510),NA()))</f>
        <v>1029.5175965335138</v>
      </c>
      <c r="M371">
        <f>IF($J371&gt;MAX('Match Log'!$A$4:$A$1510),NA(),IFERROR(LOOKUP(2,1/(('Match Log'!$D$4:$D$1510=$M$24)*('Match Log'!$A$4:$A$1510&lt;=$J371)),'Match Log'!$N$4:$N$1510),NA()))</f>
        <v>1048.0761030598392</v>
      </c>
      <c r="N371">
        <f>IF($J371&gt;MAX('Match Log'!$A$4:$A$1510),NA(),IFERROR(LOOKUP(2,1/(('Match Log'!$D$4:$D$1510=$N$24)*('Match Log'!$A$4:$A$1510&lt;=$J371)),'Match Log'!$N$4:$N$1510),NA()))</f>
        <v>907.03133644117429</v>
      </c>
      <c r="O371">
        <f>IF($J371&gt;MAX('Match Log'!$A$4:$A$1510),NA(),IFERROR(LOOKUP(2,1/(('Match Log'!$D$4:$D$1510=$O$24)*('Match Log'!$A$4:$A$1510&lt;=$J371)),'Match Log'!$N$4:$N$1510),NA()))</f>
        <v>1305.8195831172361</v>
      </c>
      <c r="P371">
        <f>IF($J371&gt;MAX('Match Log'!$A$4:$A$1510),NA(),IFERROR(LOOKUP(2,1/(('Match Log'!$D$4:$D$1510=$P$24)*('Match Log'!$A$4:$A$1510&lt;=$J371)),'Match Log'!$N$4:$N$1510),NA()))</f>
        <v>1188.1317714580357</v>
      </c>
      <c r="Q371">
        <f>IF($J371&gt;MAX('Match Log'!$A$4:$A$1510),NA(),IFERROR(LOOKUP(2,1/(('Match Log'!$D$4:$D$1510=$Q$24)*('Match Log'!$A$4:$A$1510&lt;=$J371)),'Match Log'!$N$4:$N$1510),NA()))</f>
        <v>1176.4960512957946</v>
      </c>
      <c r="R371">
        <f>IF($J371&gt;MAX('Match Log'!$A$4:$A$1510),NA(),IFERROR(LOOKUP(2,1/(('Match Log'!$D$4:$D$1510=$R$24)*('Match Log'!$A$4:$A$1510&lt;=$J371)),'Match Log'!$N$4:$N$1510),NA()))</f>
        <v>1135.6092547896626</v>
      </c>
      <c r="S371">
        <f>IF($J371&gt;MAX('Match Log'!$A$4:$A$1510),NA(),IFERROR(LOOKUP(2,1/(('Match Log'!$D$4:$D$1510=$S$24)*('Match Log'!$A$4:$A$1510&lt;=$J371)),'Match Log'!$N$4:$N$1510),NA()))</f>
        <v>1217.9015417269482</v>
      </c>
      <c r="T371">
        <f>IF($J371&gt;MAX('Match Log'!$A$4:$A$1510),NA(),IFERROR(LOOKUP(2,1/(('Match Log'!$D$4:$D$1510=$T$24)*('Match Log'!$A$4:$A$1510&lt;=$J371)),'Match Log'!$N$4:$N$1510),NA()))</f>
        <v>862.22294373677494</v>
      </c>
      <c r="U371">
        <f>IF($J371&gt;MAX('Match Log'!$A$4:$A$1510),NA(),IFERROR(LOOKUP(2,1/(('Match Log'!$D$4:$D$1510=$U$24)*('Match Log'!$A$4:$A$1510&lt;=$J371)),'Match Log'!$N$4:$N$1510),NA()))</f>
        <v>1016.8465069072693</v>
      </c>
      <c r="V371">
        <f>IF($J371&gt;MAX('Match Log'!$A$4:$A$1510),NA(),IFERROR(LOOKUP(2,1/(('Match Log'!$D$4:$D$1510=$V$24)*('Match Log'!$A$4:$A$1510&lt;=$J371)),'Match Log'!$N$4:$N$1510),NA()))</f>
        <v>1087.5488947064855</v>
      </c>
      <c r="W371">
        <f>IF($J371&gt;MAX('Match Log'!$A$4:$A$1510),NA(),IFERROR(LOOKUP(2,1/(('Match Log'!$D$4:$D$1510=$W$24)*('Match Log'!$A$4:$A$1510&lt;=$J371)),'Match Log'!$N$4:$N$1510),NA()))</f>
        <v>1010.5072402821568</v>
      </c>
      <c r="X371" t="e">
        <f>IF($J371&gt;MAX('Match Log'!$A$4:$A$1510),NA(),IFERROR(LOOKUP(2,1/(('Match Log'!$D$4:$D$1510=$X$24)*('Match Log'!$A$4:$A$1510&lt;=$J371)),'Match Log'!$N$4:$N$1510),NA()))</f>
        <v>#N/A</v>
      </c>
      <c r="Y371">
        <f t="shared" ca="1" si="34"/>
        <v>-0.13228288162762014</v>
      </c>
    </row>
    <row r="372" spans="1:25" x14ac:dyDescent="0.2">
      <c r="A372">
        <v>348</v>
      </c>
      <c r="B372">
        <f>IFERROR(INDEX('Match Log'!$B$4:$B$1510,MATCH($A372,'Match Log'!$A$4:$A$1510,0)),"")</f>
        <v>46325</v>
      </c>
      <c r="C372" t="str">
        <f>IFERROR(INDEX('Match Log'!$C$4:$C$1510,MATCH($A372,'Match Log'!$A$4:$A$1510,0)),"")</f>
        <v>Mario Golf</v>
      </c>
      <c r="D372" t="str">
        <f t="array" ref="D372">IFERROR(_xlfn.TEXTJOIN(" + ",TRUE(),IF(('Match Log'!$A$4:$A$1510=$A372)*('Match Log'!$E$4:$E$1510="Win"),'Match Log'!$D$4:$D$1510,"")),IFERROR(LOOKUP(2,1/(('Match Log'!$A$4:$A$1510=$A372)*('Match Log'!$E$4:$E$1510="Win")),'Match Log'!$D$4:$D$1510),""))</f>
        <v>Daniel (Ferret)</v>
      </c>
      <c r="E372">
        <f>IFERROR(INDEX('Match Log'!$F$4:$F$1510,MATCH($A372,'Match Log'!$A$4:$A$1510,0)),"")</f>
        <v>2</v>
      </c>
      <c r="F372">
        <f>IFERROR(SUMIFS('Match Log'!$I$4:$I$1510,'Match Log'!$A$4:$A$1510,$A372,'Match Log'!$E$4:$E$1510,"Win"),"")</f>
        <v>0.57413249211356465</v>
      </c>
      <c r="G372">
        <f t="shared" si="32"/>
        <v>-0.1482649842271293</v>
      </c>
      <c r="H372" t="str">
        <f t="array" ref="H372">IFERROR(IF(COUNTIFS('Match Log'!$A$4:$A$1510,$A372,'Match Log'!$E$4:$E$1510,"Win")&gt;1,_xlfn.TEXTJOIN(" + ",TRUE(),IF(('Match Log'!$A$4:$A$1510=$A372)*('Match Log'!$E$4:$E$1510="Loss"),'Match Log'!$D$4:$D$1510,"")),IF($E372=2,LOOKUP(2,1/(('Match Log'!$A$4:$A$1510=$A372)*('Match Log'!$E$4:$E$1510="Loss")),'Match Log'!$D$4:$D$1510),"the field")),"")</f>
        <v>Shawn</v>
      </c>
      <c r="I372">
        <f t="shared" si="33"/>
        <v>-0.14861298422712929</v>
      </c>
      <c r="J372">
        <v>348</v>
      </c>
      <c r="K372">
        <f>IF($J372&gt;MAX('Match Log'!$A$4:$A$1510),NA(),IFERROR(LOOKUP(2,1/(('Match Log'!$D$4:$D$1510=$K$24)*('Match Log'!$A$4:$A$1510&lt;=$J372)),'Match Log'!$N$4:$N$1510),NA()))</f>
        <v>1244.2911759451083</v>
      </c>
      <c r="L372">
        <f>IF($J372&gt;MAX('Match Log'!$A$4:$A$1510),NA(),IFERROR(LOOKUP(2,1/(('Match Log'!$D$4:$D$1510=$L$24)*('Match Log'!$A$4:$A$1510&lt;=$J372)),'Match Log'!$N$4:$N$1510),NA()))</f>
        <v>1029.5175965335138</v>
      </c>
      <c r="M372">
        <f>IF($J372&gt;MAX('Match Log'!$A$4:$A$1510),NA(),IFERROR(LOOKUP(2,1/(('Match Log'!$D$4:$D$1510=$M$24)*('Match Log'!$A$4:$A$1510&lt;=$J372)),'Match Log'!$N$4:$N$1510),NA()))</f>
        <v>1048.0761030598392</v>
      </c>
      <c r="N372">
        <f>IF($J372&gt;MAX('Match Log'!$A$4:$A$1510),NA(),IFERROR(LOOKUP(2,1/(('Match Log'!$D$4:$D$1510=$N$24)*('Match Log'!$A$4:$A$1510&lt;=$J372)),'Match Log'!$N$4:$N$1510),NA()))</f>
        <v>907.03133644117429</v>
      </c>
      <c r="O372">
        <f>IF($J372&gt;MAX('Match Log'!$A$4:$A$1510),NA(),IFERROR(LOOKUP(2,1/(('Match Log'!$D$4:$D$1510=$O$24)*('Match Log'!$A$4:$A$1510&lt;=$J372)),'Match Log'!$N$4:$N$1510),NA()))</f>
        <v>1305.8195831172361</v>
      </c>
      <c r="P372">
        <f>IF($J372&gt;MAX('Match Log'!$A$4:$A$1510),NA(),IFERROR(LOOKUP(2,1/(('Match Log'!$D$4:$D$1510=$P$24)*('Match Log'!$A$4:$A$1510&lt;=$J372)),'Match Log'!$N$4:$N$1510),NA()))</f>
        <v>1173.0494290637935</v>
      </c>
      <c r="Q372">
        <f>IF($J372&gt;MAX('Match Log'!$A$4:$A$1510),NA(),IFERROR(LOOKUP(2,1/(('Match Log'!$D$4:$D$1510=$Q$24)*('Match Log'!$A$4:$A$1510&lt;=$J372)),'Match Log'!$N$4:$N$1510),NA()))</f>
        <v>1176.4960512957946</v>
      </c>
      <c r="R372">
        <f>IF($J372&gt;MAX('Match Log'!$A$4:$A$1510),NA(),IFERROR(LOOKUP(2,1/(('Match Log'!$D$4:$D$1510=$R$24)*('Match Log'!$A$4:$A$1510&lt;=$J372)),'Match Log'!$N$4:$N$1510),NA()))</f>
        <v>1150.6915971839048</v>
      </c>
      <c r="S372">
        <f>IF($J372&gt;MAX('Match Log'!$A$4:$A$1510),NA(),IFERROR(LOOKUP(2,1/(('Match Log'!$D$4:$D$1510=$S$24)*('Match Log'!$A$4:$A$1510&lt;=$J372)),'Match Log'!$N$4:$N$1510),NA()))</f>
        <v>1217.9015417269482</v>
      </c>
      <c r="T372">
        <f>IF($J372&gt;MAX('Match Log'!$A$4:$A$1510),NA(),IFERROR(LOOKUP(2,1/(('Match Log'!$D$4:$D$1510=$T$24)*('Match Log'!$A$4:$A$1510&lt;=$J372)),'Match Log'!$N$4:$N$1510),NA()))</f>
        <v>862.22294373677494</v>
      </c>
      <c r="U372">
        <f>IF($J372&gt;MAX('Match Log'!$A$4:$A$1510),NA(),IFERROR(LOOKUP(2,1/(('Match Log'!$D$4:$D$1510=$U$24)*('Match Log'!$A$4:$A$1510&lt;=$J372)),'Match Log'!$N$4:$N$1510),NA()))</f>
        <v>1016.8465069072693</v>
      </c>
      <c r="V372">
        <f>IF($J372&gt;MAX('Match Log'!$A$4:$A$1510),NA(),IFERROR(LOOKUP(2,1/(('Match Log'!$D$4:$D$1510=$V$24)*('Match Log'!$A$4:$A$1510&lt;=$J372)),'Match Log'!$N$4:$N$1510),NA()))</f>
        <v>1087.5488947064855</v>
      </c>
      <c r="W372">
        <f>IF($J372&gt;MAX('Match Log'!$A$4:$A$1510),NA(),IFERROR(LOOKUP(2,1/(('Match Log'!$D$4:$D$1510=$W$24)*('Match Log'!$A$4:$A$1510&lt;=$J372)),'Match Log'!$N$4:$N$1510),NA()))</f>
        <v>1010.5072402821568</v>
      </c>
      <c r="X372" t="e">
        <f>IF($J372&gt;MAX('Match Log'!$A$4:$A$1510),NA(),IFERROR(LOOKUP(2,1/(('Match Log'!$D$4:$D$1510=$X$24)*('Match Log'!$A$4:$A$1510&lt;=$J372)),'Match Log'!$N$4:$N$1510),NA()))</f>
        <v>#N/A</v>
      </c>
      <c r="Y372">
        <f t="shared" ca="1" si="34"/>
        <v>-0.14861298422712929</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1244.2911759451083</v>
      </c>
      <c r="C2">
        <f>IFERROR(SUMPRODUCT(INDEX('Head-to-Head'!$B$22:$O$35,1,0),$D$2:$Q$2)/SUM(INDEX('Head-to-Head'!$B$22:$O$35,1,0)),"")</f>
        <v>1134.4280478584974</v>
      </c>
      <c r="D2">
        <f>$B$2</f>
        <v>1244.2911759451083</v>
      </c>
      <c r="E2">
        <f>$B$3</f>
        <v>1029.5175965335138</v>
      </c>
      <c r="F2">
        <f>$B$4</f>
        <v>1048.0761030598392</v>
      </c>
      <c r="G2">
        <f>$B$5</f>
        <v>907.03133644117429</v>
      </c>
      <c r="H2">
        <f>$B$6</f>
        <v>1305.8195831172361</v>
      </c>
      <c r="I2">
        <f>$B$7</f>
        <v>1173.0494290637935</v>
      </c>
      <c r="J2">
        <f>$B$8</f>
        <v>1176.4960512957946</v>
      </c>
      <c r="K2">
        <f>$B$9</f>
        <v>1150.6915971839048</v>
      </c>
      <c r="L2">
        <f>$B$10</f>
        <v>1217.9015417269482</v>
      </c>
      <c r="M2">
        <f>$B$11</f>
        <v>862.22294373677494</v>
      </c>
      <c r="N2">
        <f>$B$12</f>
        <v>1016.8465069072693</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1102.5617350947855</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1146.2715652098545</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1171.8789592287735</v>
      </c>
    </row>
    <row r="6" spans="1:17" ht="15" customHeight="1" x14ac:dyDescent="0.2">
      <c r="A6" t="s">
        <v>19</v>
      </c>
      <c r="B6">
        <f>IF(COUNTIF('Match Log'!$D$4:$D$1510,$A6)=0,'Guide &amp; Settings'!$C$41,IFERROR(LOOKUP(2,1/('Match Log'!$D$4:$D$1510=$A6),'Match Log'!$N$4:$N$1510),'Guide &amp; Settings'!$C$41))</f>
        <v>1305.8195831172361</v>
      </c>
      <c r="C6">
        <f>IFERROR(SUMPRODUCT(INDEX('Head-to-Head'!$B$22:$O$35,5,0),$D$2:$Q$2)/SUM(INDEX('Head-to-Head'!$B$22:$O$35,5,0)),"")</f>
        <v>1127.1568566150286</v>
      </c>
    </row>
    <row r="7" spans="1:17" ht="15" customHeight="1" x14ac:dyDescent="0.2">
      <c r="A7" t="s">
        <v>20</v>
      </c>
      <c r="B7">
        <f>IF(COUNTIF('Match Log'!$D$4:$D$1510,$A7)=0,'Guide &amp; Settings'!$C$41,IFERROR(LOOKUP(2,1/('Match Log'!$D$4:$D$1510=$A7),'Match Log'!$N$4:$N$1510),'Guide &amp; Settings'!$C$41))</f>
        <v>1173.0494290637935</v>
      </c>
      <c r="C7">
        <f>IFERROR(SUMPRODUCT(INDEX('Head-to-Head'!$B$22:$O$35,6,0),$D$2:$Q$2)/SUM(INDEX('Head-to-Head'!$B$22:$O$35,6,0)),"")</f>
        <v>1150.3456079746441</v>
      </c>
    </row>
    <row r="8" spans="1:17" ht="15" customHeight="1" x14ac:dyDescent="0.2">
      <c r="A8" t="s">
        <v>21</v>
      </c>
      <c r="B8">
        <f>IF(COUNTIF('Match Log'!$D$4:$D$1510,$A8)=0,'Guide &amp; Settings'!$C$41,IFERROR(LOOKUP(2,1/('Match Log'!$D$4:$D$1510=$A8),'Match Log'!$N$4:$N$1510),'Guide &amp; Settings'!$C$41))</f>
        <v>1176.4960512957946</v>
      </c>
      <c r="C8">
        <f>IFERROR(SUMPRODUCT(INDEX('Head-to-Head'!$B$22:$O$35,7,0),$D$2:$Q$2)/SUM(INDEX('Head-to-Head'!$B$22:$O$35,7,0)),"")</f>
        <v>1093.3760939026447</v>
      </c>
    </row>
    <row r="9" spans="1:17" ht="15" customHeight="1" x14ac:dyDescent="0.2">
      <c r="A9" t="s">
        <v>22</v>
      </c>
      <c r="B9">
        <f>IF(COUNTIF('Match Log'!$D$4:$D$1510,$A9)=0,'Guide &amp; Settings'!$C$41,IFERROR(LOOKUP(2,1/('Match Log'!$D$4:$D$1510=$A9),'Match Log'!$N$4:$N$1510),'Guide &amp; Settings'!$C$41))</f>
        <v>1150.6915971839048</v>
      </c>
      <c r="C9">
        <f>IFERROR(SUMPRODUCT(INDEX('Head-to-Head'!$B$22:$O$35,8,0),$D$2:$Q$2)/SUM(INDEX('Head-to-Head'!$B$22:$O$35,8,0)),"")</f>
        <v>1179.0629759580163</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1134.6311578846237</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1143.0188534100253</v>
      </c>
    </row>
    <row r="12" spans="1:17" ht="15" customHeight="1" x14ac:dyDescent="0.2">
      <c r="A12" t="s">
        <v>25</v>
      </c>
      <c r="B12">
        <f>IF(COUNTIF('Match Log'!$D$4:$D$1510,$A12)=0,'Guide &amp; Settings'!$C$41,IFERROR(LOOKUP(2,1/('Match Log'!$D$4:$D$1510=$A12),'Match Log'!$N$4:$N$1510),'Guide &amp; Settings'!$C$41))</f>
        <v>1016.8465069072693</v>
      </c>
      <c r="C12">
        <f>IFERROR(SUMPRODUCT(INDEX('Head-to-Head'!$B$22:$O$35,11,0),$D$2:$Q$2)/SUM(INDEX('Head-to-Head'!$B$22:$O$35,11,0)),"")</f>
        <v>1159.0985927625284</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1064.2869798362001</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1111.0628839164388</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2026-10-30T22:42:07Z</dcterms:modified>
  <dc:language>en-US</dc:language>
</cp:coreProperties>
</file>