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91E482A5-36F7-4740-BE68-633C0497D945}"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45" i="13"/>
  <c r="E346" i="13"/>
  <c r="E347" i="13"/>
  <c r="E348" i="13"/>
  <c r="E349" i="13"/>
  <c r="H349" i="13" s="1" a="1"/>
  <c r="H349" i="13" s="1"/>
  <c r="E350" i="13"/>
  <c r="H350" i="13" s="1" a="1"/>
  <c r="H350" i="13" s="1"/>
  <c r="E351" i="13"/>
  <c r="H351" i="13" s="1" a="1"/>
  <c r="H351" i="13" s="1"/>
  <c r="E352" i="13"/>
  <c r="H352" i="13" s="1" a="1"/>
  <c r="H352" i="13" s="1"/>
  <c r="E353" i="13"/>
  <c r="H353" i="13" s="1" a="1"/>
  <c r="H353" i="13" s="1"/>
  <c r="E354" i="13"/>
  <c r="H354" i="13" s="1" a="1"/>
  <c r="H354" i="13" s="1"/>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D354" i="13" a="1"/>
  <c r="D354" i="13" s="1"/>
  <c r="G354" i="13" s="1"/>
  <c r="I354" i="13" s="1"/>
  <c r="X353" i="13"/>
  <c r="W353" i="13"/>
  <c r="V353" i="13"/>
  <c r="U353" i="13"/>
  <c r="T353" i="13"/>
  <c r="S353" i="13"/>
  <c r="R353" i="13"/>
  <c r="Q353" i="13"/>
  <c r="P353" i="13"/>
  <c r="O353" i="13"/>
  <c r="N353" i="13"/>
  <c r="M353" i="13"/>
  <c r="L353" i="13"/>
  <c r="K353" i="13"/>
  <c r="D353" i="13" a="1"/>
  <c r="D353" i="13" s="1"/>
  <c r="G353" i="13" s="1"/>
  <c r="I353" i="13" s="1"/>
  <c r="X352" i="13"/>
  <c r="W352" i="13"/>
  <c r="V352" i="13"/>
  <c r="U352" i="13"/>
  <c r="T352" i="13"/>
  <c r="S352" i="13"/>
  <c r="R352" i="13"/>
  <c r="Q352" i="13"/>
  <c r="P352" i="13"/>
  <c r="O352" i="13"/>
  <c r="N352" i="13"/>
  <c r="M352" i="13"/>
  <c r="L352" i="13"/>
  <c r="K352" i="13"/>
  <c r="D352" i="13" a="1"/>
  <c r="D352" i="13" s="1"/>
  <c r="G352" i="13" s="1"/>
  <c r="I352" i="13" s="1"/>
  <c r="X351" i="13"/>
  <c r="W351" i="13"/>
  <c r="V351" i="13"/>
  <c r="U351" i="13"/>
  <c r="T351" i="13"/>
  <c r="S351" i="13"/>
  <c r="R351" i="13"/>
  <c r="Q351" i="13"/>
  <c r="P351" i="13"/>
  <c r="O351" i="13"/>
  <c r="N351" i="13"/>
  <c r="M351" i="13"/>
  <c r="L351" i="13"/>
  <c r="K351" i="13"/>
  <c r="D351" i="13" a="1"/>
  <c r="D351" i="13" s="1"/>
  <c r="G351" i="13" s="1"/>
  <c r="I351" i="13" s="1"/>
  <c r="X350" i="13"/>
  <c r="W350" i="13"/>
  <c r="V350" i="13"/>
  <c r="U350" i="13"/>
  <c r="T350" i="13"/>
  <c r="S350" i="13"/>
  <c r="R350" i="13"/>
  <c r="Q350" i="13"/>
  <c r="P350" i="13"/>
  <c r="O350" i="13"/>
  <c r="N350" i="13"/>
  <c r="M350" i="13"/>
  <c r="L350" i="13"/>
  <c r="K350" i="13"/>
  <c r="D350" i="13" a="1"/>
  <c r="D350" i="13" s="1"/>
  <c r="G350" i="13" s="1"/>
  <c r="I350" i="13" s="1"/>
  <c r="X349" i="13"/>
  <c r="W349" i="13"/>
  <c r="V349" i="13"/>
  <c r="U349" i="13"/>
  <c r="T349" i="13"/>
  <c r="S349" i="13"/>
  <c r="R349" i="13"/>
  <c r="Q349" i="13"/>
  <c r="P349" i="13"/>
  <c r="O349" i="13"/>
  <c r="N349" i="13"/>
  <c r="M349" i="13"/>
  <c r="L349" i="13"/>
  <c r="K349" i="13"/>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T758" i="10"/>
  <c r="R758" i="10"/>
  <c r="G758" i="10"/>
  <c r="F758" i="10"/>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S750" i="10" s="1"/>
  <c r="I750" i="10" s="1"/>
  <c r="K750" i="10" s="1"/>
  <c r="G748" i="10"/>
  <c r="F748" i="10"/>
  <c r="U747" i="10"/>
  <c r="T747" i="10"/>
  <c r="R747" i="10"/>
  <c r="G747" i="10"/>
  <c r="F747" i="10"/>
  <c r="T746" i="10"/>
  <c r="R746" i="10"/>
  <c r="G746" i="10"/>
  <c r="F746" i="10"/>
  <c r="T745" i="10"/>
  <c r="R745" i="10"/>
  <c r="S747" i="10" s="1"/>
  <c r="I747" i="10" s="1"/>
  <c r="K747" i="10" s="1"/>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S736" i="10" s="1"/>
  <c r="I736" i="10" s="1"/>
  <c r="K736" i="10" s="1"/>
  <c r="G734" i="10"/>
  <c r="F734" i="10"/>
  <c r="T733" i="10"/>
  <c r="R733" i="10"/>
  <c r="G733" i="10"/>
  <c r="F733" i="10"/>
  <c r="T732" i="10"/>
  <c r="R732" i="10"/>
  <c r="G732" i="10"/>
  <c r="F732" i="10"/>
  <c r="T731" i="10"/>
  <c r="R731" i="10"/>
  <c r="G731" i="10"/>
  <c r="F731" i="10"/>
  <c r="L731" i="10" s="1"/>
  <c r="T730" i="10"/>
  <c r="R730" i="10"/>
  <c r="S733" i="10" s="1"/>
  <c r="I733" i="10" s="1"/>
  <c r="K733" i="10" s="1"/>
  <c r="G730" i="10"/>
  <c r="F730" i="10"/>
  <c r="T729" i="10"/>
  <c r="R729" i="10"/>
  <c r="G729" i="10"/>
  <c r="F729" i="10"/>
  <c r="T728" i="10"/>
  <c r="R728" i="10"/>
  <c r="G728" i="10"/>
  <c r="F728" i="10"/>
  <c r="T727" i="10"/>
  <c r="R727" i="10"/>
  <c r="S729" i="10" s="1"/>
  <c r="I729" i="10" s="1"/>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O758" i="10" l="1"/>
  <c r="Q55" i="1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F332" i="13"/>
  <c r="G332" i="13" s="1"/>
  <c r="I332" i="13" s="1"/>
  <c r="Y332" i="13" s="1"/>
  <c r="L729" i="10"/>
  <c r="L728" i="10"/>
  <c r="S728" i="10"/>
  <c r="I728" i="10" s="1"/>
  <c r="K728" i="10" s="1"/>
  <c r="S727" i="10"/>
  <c r="I727" i="10" s="1"/>
  <c r="K727" i="10" s="1"/>
  <c r="O726" i="10"/>
  <c r="L726" i="10"/>
  <c r="S725" i="10"/>
  <c r="I725" i="10" s="1"/>
  <c r="S726" i="10"/>
  <c r="I726" i="10" s="1"/>
  <c r="K726" i="10" s="1"/>
  <c r="O725" i="10"/>
  <c r="K725" i="10"/>
  <c r="F331" i="13"/>
  <c r="E331" i="13"/>
  <c r="H331" i="13" s="1" a="1"/>
  <c r="H331" i="13" s="1"/>
  <c r="L725" i="10"/>
  <c r="O724" i="10"/>
  <c r="L724" i="10"/>
  <c r="S723" i="10"/>
  <c r="I723" i="10" s="1"/>
  <c r="S724" i="10"/>
  <c r="I724" i="10" s="1"/>
  <c r="K724" i="10" s="1"/>
  <c r="O723" i="10"/>
  <c r="K723" i="10"/>
  <c r="F330" i="13"/>
  <c r="E330" i="13"/>
  <c r="H330" i="13" s="1" a="1"/>
  <c r="H330" i="13" s="1"/>
  <c r="L723" i="10"/>
  <c r="O722" i="10"/>
  <c r="L722" i="10"/>
  <c r="S721" i="10"/>
  <c r="I721" i="10" s="1"/>
  <c r="K721" i="10" s="1"/>
  <c r="S722" i="10"/>
  <c r="I722" i="10" s="1"/>
  <c r="K722" i="10" s="1"/>
  <c r="O721" i="10"/>
  <c r="F329" i="13"/>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F326" i="13"/>
  <c r="G326" i="13" s="1"/>
  <c r="I326" i="13" s="1"/>
  <c r="Y326" i="13" s="1"/>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H197" i="13" s="1" a="1"/>
  <c r="H197" i="13" s="1"/>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358" i="13"/>
  <c r="Y437" i="13"/>
  <c r="Y421" i="13"/>
  <c r="Y405" i="13"/>
  <c r="Y389" i="13"/>
  <c r="Y373" i="13"/>
  <c r="Y444" i="13"/>
  <c r="Y428" i="13"/>
  <c r="Y412" i="13"/>
  <c r="Y396" i="13"/>
  <c r="Y380" i="13"/>
  <c r="Y364" i="13"/>
  <c r="Y348"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67" i="13"/>
  <c r="Y355" i="13"/>
  <c r="Y360" i="13"/>
  <c r="Y346" i="13"/>
  <c r="Y369" i="13"/>
  <c r="Y357" i="13"/>
  <c r="Y376" i="13"/>
  <c r="Y351" i="13"/>
  <c r="Y353"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72" i="13"/>
  <c r="Y391" i="13"/>
  <c r="Y407" i="13"/>
  <c r="Y423" i="13"/>
  <c r="Y366" i="13"/>
  <c r="Y354" i="13"/>
  <c r="Y395" i="13"/>
  <c r="Y411" i="13"/>
  <c r="Y427" i="13"/>
  <c r="Y349" i="13"/>
  <c r="Y439" i="13"/>
  <c r="Y352" i="13"/>
  <c r="Y363" i="13"/>
  <c r="Y384" i="13"/>
  <c r="Y377" i="13"/>
  <c r="Y400" i="13"/>
  <c r="Y416" i="13"/>
  <c r="Y432" i="13"/>
  <c r="Y443" i="13"/>
  <c r="Y38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438" i="13"/>
  <c r="R37" i="11" l="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G330" i="13"/>
  <c r="I330" i="13" s="1"/>
  <c r="Y330" i="13" s="1"/>
  <c r="G329" i="13"/>
  <c r="I329" i="13" s="1"/>
  <c r="Y329"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c r="C10" i="3"/>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Y758" i="10" l="1"/>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Y754" i="10" l="1"/>
  <c r="Z754" i="10" s="1"/>
  <c r="Y753" i="10"/>
  <c r="L118" i="7"/>
  <c r="E33" i="9" s="1"/>
  <c r="AA718" i="10"/>
  <c r="AB718" i="10" s="1"/>
  <c r="J110" i="7" s="1"/>
  <c r="AA717" i="10"/>
  <c r="AB717" i="10" s="1"/>
  <c r="U758" i="10"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Z758" i="10" l="1"/>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AA758" i="10" l="1"/>
  <c r="AB758" i="10" s="1"/>
  <c r="I110" i="7" s="1"/>
  <c r="AA757" i="10"/>
  <c r="AB757" i="10" s="1"/>
  <c r="F110" i="7"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110" i="7" l="1"/>
  <c r="B14" i="3" s="1"/>
  <c r="H9" i="5"/>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D14" i="3" l="1"/>
  <c r="C14" i="3"/>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AA753" i="10" l="1"/>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Y756" i="10" l="1"/>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AA755" i="10" l="1"/>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Y721" i="10" l="1"/>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Y746" i="10"/>
  <c r="Z746" i="10" s="1"/>
  <c r="Y745" i="10"/>
  <c r="Z745" i="10" s="1"/>
  <c r="AA745" i="10" s="1"/>
  <c r="AB745" i="10" s="1"/>
  <c r="U748" i="10" s="1"/>
  <c r="Z594" i="10"/>
  <c r="W73" i="10"/>
  <c r="X73" i="10" s="1"/>
  <c r="W74" i="10"/>
  <c r="X74" i="10" s="1"/>
  <c r="W75" i="10"/>
  <c r="X75" i="10" s="1"/>
  <c r="W76" i="10"/>
  <c r="V85" i="10"/>
  <c r="V83" i="10"/>
  <c r="AA747" i="10" l="1"/>
  <c r="AB747" i="10" s="1"/>
  <c r="U749" i="10" s="1"/>
  <c r="AA746" i="10"/>
  <c r="AB746" i="10" s="1"/>
  <c r="U750" i="10" s="1"/>
  <c r="AA594" i="10"/>
  <c r="AB594" i="10" s="1"/>
  <c r="AA593" i="10"/>
  <c r="AB593" i="10" s="1"/>
  <c r="U595" i="10" s="1"/>
  <c r="J74" i="10"/>
  <c r="M74" i="10" s="1"/>
  <c r="N74" i="10" s="1"/>
  <c r="J73" i="10"/>
  <c r="M73" i="10" s="1"/>
  <c r="N73" i="10" s="1"/>
  <c r="Y748" i="10" l="1"/>
  <c r="Z748" i="10" s="1"/>
  <c r="AA748" i="10" s="1"/>
  <c r="AB748" i="10" s="1"/>
  <c r="U751" i="10" s="1"/>
  <c r="Y750" i="10"/>
  <c r="Z750" i="10" s="1"/>
  <c r="AA750" i="10" s="1"/>
  <c r="AB750" i="10" s="1"/>
  <c r="U752" i="10" s="1"/>
  <c r="Y749" i="10"/>
  <c r="Z749" i="10" s="1"/>
  <c r="AA749" i="10" s="1"/>
  <c r="AB749" i="10" s="1"/>
  <c r="N124" i="7" s="1"/>
  <c r="Y596" i="10"/>
  <c r="Y595" i="10"/>
  <c r="Z595" i="10" s="1"/>
  <c r="U596" i="10"/>
  <c r="R57" i="13"/>
  <c r="R56" i="13"/>
  <c r="H78" i="10"/>
  <c r="M56" i="13"/>
  <c r="H76" i="10"/>
  <c r="Y752" i="10" l="1"/>
  <c r="Z752" i="10" s="1"/>
  <c r="Y751" i="10"/>
  <c r="Z751" i="10" s="1"/>
  <c r="Z596" i="10"/>
  <c r="AA596" i="10" s="1"/>
  <c r="AB596" i="10" s="1"/>
  <c r="I117" i="7" s="1"/>
  <c r="V76" i="10"/>
  <c r="X76" i="10" s="1"/>
  <c r="Q76" i="10"/>
  <c r="V78" i="10"/>
  <c r="X78" i="10" s="1"/>
  <c r="Q78" i="10"/>
  <c r="AA752" i="10" l="1"/>
  <c r="AB752" i="10" s="1"/>
  <c r="I124" i="7" s="1"/>
  <c r="AA751" i="10"/>
  <c r="AB751" i="10" s="1"/>
  <c r="G124" i="7" s="1"/>
  <c r="P124" i="7" s="1"/>
  <c r="B28" i="3" s="1"/>
  <c r="AA595" i="10"/>
  <c r="AB595" i="10" s="1"/>
  <c r="G117" i="7" s="1"/>
  <c r="P117" i="7" s="1"/>
  <c r="B21" i="3" s="1"/>
  <c r="C21" i="3" s="1"/>
  <c r="J78" i="10"/>
  <c r="M78" i="10" s="1"/>
  <c r="N78" i="10" s="1"/>
  <c r="J75" i="10"/>
  <c r="M75" i="10" s="1"/>
  <c r="N75" i="10" s="1"/>
  <c r="J76" i="10"/>
  <c r="M76" i="10" s="1"/>
  <c r="N76" i="10" s="1"/>
  <c r="D28" i="3" l="1"/>
  <c r="C28" i="3"/>
  <c r="D21" i="3"/>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44" i="13" s="1"/>
  <c r="L342" i="13" l="1"/>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44" i="13" s="1"/>
  <c r="J241" i="10"/>
  <c r="M241" i="10" s="1"/>
  <c r="N241" i="10" s="1"/>
  <c r="J240" i="10"/>
  <c r="M240" i="10" s="1"/>
  <c r="N240" i="10" s="1"/>
  <c r="W279" i="10"/>
  <c r="X279" i="10" s="1"/>
  <c r="W278" i="10"/>
  <c r="T342" i="13" l="1"/>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344" i="13" s="1"/>
  <c r="V247" i="13"/>
  <c r="V248" i="13"/>
  <c r="R232" i="13"/>
  <c r="H488" i="10"/>
  <c r="V232" i="13"/>
  <c r="V234" i="13"/>
  <c r="V236" i="13"/>
  <c r="V233" i="13"/>
  <c r="V235" i="13"/>
  <c r="V342" i="13" l="1"/>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43" i="13" l="1"/>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Q344" i="13"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Q342" i="13" l="1"/>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H726" i="10" s="1"/>
  <c r="J679" i="10"/>
  <c r="M679" i="10" s="1"/>
  <c r="N679" i="10" s="1"/>
  <c r="W679" i="10"/>
  <c r="X679" i="10" s="1"/>
  <c r="P310" i="13"/>
  <c r="V726" i="10" l="1"/>
  <c r="M329" i="13"/>
  <c r="M330" i="13"/>
  <c r="F91" i="7"/>
  <c r="S91" i="7" s="1"/>
  <c r="W13" i="13"/>
  <c r="AI13"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U340" i="13"/>
  <c r="U341" i="13"/>
  <c r="U338" i="13"/>
  <c r="U339" i="13"/>
  <c r="U337" i="13"/>
  <c r="U335" i="13"/>
  <c r="U336" i="13"/>
  <c r="U333" i="13"/>
  <c r="U334" i="13"/>
  <c r="P328" i="13"/>
  <c r="H725" i="10"/>
  <c r="U331" i="13"/>
  <c r="U332" i="13"/>
  <c r="P329" i="13"/>
  <c r="P330" i="13"/>
  <c r="U329" i="13"/>
  <c r="U330" i="13"/>
  <c r="U328" i="13"/>
  <c r="J711" i="10" l="1"/>
  <c r="M711" i="10" s="1"/>
  <c r="J712" i="10"/>
  <c r="M712" i="10" s="1"/>
  <c r="N712" i="10" s="1"/>
  <c r="H728" i="10" s="1"/>
  <c r="V728" i="10" s="1"/>
  <c r="W754" i="10"/>
  <c r="X754" i="10" s="1"/>
  <c r="W753" i="10"/>
  <c r="P726" i="10"/>
  <c r="Q726" i="10" s="1"/>
  <c r="V725" i="10"/>
  <c r="P725" i="10"/>
  <c r="Q725" i="10" s="1"/>
  <c r="K331" i="13"/>
  <c r="K329" i="13"/>
  <c r="K330" i="13"/>
  <c r="K327" i="13"/>
  <c r="K328" i="13"/>
  <c r="K325" i="13"/>
  <c r="K326" i="13"/>
  <c r="N711" i="10"/>
  <c r="H713" i="10" s="1"/>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33" i="13"/>
  <c r="S334" i="13"/>
  <c r="B10" i="14"/>
  <c r="S327" i="13"/>
  <c r="S332" i="13"/>
  <c r="AL15" i="13"/>
  <c r="J15" i="13" s="1"/>
  <c r="S330" i="13"/>
  <c r="S331" i="13"/>
  <c r="S328" i="13"/>
  <c r="S329" i="13"/>
  <c r="S343" i="13" l="1"/>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B2" i="14"/>
  <c r="K333" i="13"/>
  <c r="K343" i="13" l="1"/>
  <c r="K344" i="13"/>
  <c r="AL7" i="13"/>
  <c r="J7" i="13" s="1"/>
  <c r="R333" i="13"/>
  <c r="H736" i="10"/>
  <c r="V736" i="10" s="1"/>
  <c r="J731" i="10"/>
  <c r="M731" i="10" s="1"/>
  <c r="N731" i="10" s="1"/>
  <c r="J730" i="10"/>
  <c r="M730" i="10" s="1"/>
  <c r="N730" i="10" s="1"/>
  <c r="P333" i="13"/>
  <c r="H734" i="10"/>
  <c r="B7" i="13"/>
  <c r="D2" i="14"/>
  <c r="H735" i="10" l="1"/>
  <c r="V735" i="10" s="1"/>
  <c r="M333" i="13"/>
  <c r="P735" i="10"/>
  <c r="P734" i="10"/>
  <c r="Q734" i="10" s="1"/>
  <c r="V734" i="10"/>
  <c r="W734" i="10" s="1"/>
  <c r="X734" i="10" s="1"/>
  <c r="P736" i="10"/>
  <c r="Q736" i="10" s="1"/>
  <c r="S7" i="13"/>
  <c r="W736" i="10" l="1"/>
  <c r="X736" i="10" s="1"/>
  <c r="J736" i="10" s="1"/>
  <c r="M736" i="10" s="1"/>
  <c r="N736" i="10" s="1"/>
  <c r="H738" i="10" s="1"/>
  <c r="V738" i="10" s="1"/>
  <c r="W735" i="10"/>
  <c r="X735" i="10" s="1"/>
  <c r="Q735" i="10"/>
  <c r="R334" i="13"/>
  <c r="F94" i="7"/>
  <c r="S94" i="7" s="1"/>
  <c r="W7" i="13"/>
  <c r="AI7" i="13"/>
  <c r="J734" i="10" l="1"/>
  <c r="M734" i="10" s="1"/>
  <c r="N734" i="10" s="1"/>
  <c r="H737" i="10" s="1"/>
  <c r="J735" i="10"/>
  <c r="M735" i="10" s="1"/>
  <c r="N735" i="10" s="1"/>
  <c r="P334" i="13"/>
  <c r="M343" i="13" l="1"/>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748" i="10"/>
  <c r="X748" i="10" s="1"/>
  <c r="J748" i="10" s="1"/>
  <c r="M748" i="10" s="1"/>
  <c r="W343" i="13" l="1"/>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AL14" i="13" s="1"/>
  <c r="J14" i="13" s="1"/>
  <c r="J757" i="10"/>
  <c r="M757" i="10" s="1"/>
  <c r="N757" i="10" s="1"/>
  <c r="AL11" i="13" s="1"/>
  <c r="J11" i="13" s="1"/>
  <c r="B9" i="14"/>
  <c r="R344" i="13"/>
  <c r="N751" i="10"/>
  <c r="P341" i="13"/>
  <c r="O344" i="13" l="1"/>
  <c r="B6" i="14"/>
  <c r="K2" i="14"/>
  <c r="B14" i="13"/>
  <c r="S14" i="13" s="1"/>
  <c r="H753" i="10"/>
  <c r="B11" i="13" l="1"/>
  <c r="S11" i="13" s="1"/>
  <c r="H2" i="14"/>
  <c r="V753" i="10"/>
  <c r="X753" i="10" s="1"/>
  <c r="J753" i="10" s="1"/>
  <c r="M753" i="10" s="1"/>
  <c r="N753" i="10" s="1"/>
  <c r="Q753" i="10"/>
  <c r="J754" i="10"/>
  <c r="M754" i="10" s="1"/>
  <c r="N754" i="10" s="1"/>
  <c r="H756" i="10" s="1"/>
  <c r="AI14" i="13"/>
  <c r="W14" i="13"/>
  <c r="F93" i="7"/>
  <c r="S93" i="7" s="1"/>
  <c r="AI11" i="13" l="1"/>
  <c r="W11" i="13"/>
  <c r="B24" i="5" s="1"/>
  <c r="F90" i="7"/>
  <c r="S90" i="7" s="1"/>
  <c r="P342" i="13"/>
  <c r="H755" i="10"/>
  <c r="V756" i="10"/>
  <c r="U342" i="13"/>
  <c r="P756" i="10" l="1"/>
  <c r="Q756" i="10" s="1"/>
  <c r="P755" i="10"/>
  <c r="Q755" i="10" s="1"/>
  <c r="V755" i="10"/>
  <c r="W756" i="10" s="1"/>
  <c r="X756" i="10" s="1"/>
  <c r="W755" i="10"/>
  <c r="X755" i="10" s="1"/>
  <c r="J755" i="10" l="1"/>
  <c r="M755" i="10" s="1"/>
  <c r="J756" i="10"/>
  <c r="M756" i="10" s="1"/>
  <c r="N756" i="10" s="1"/>
  <c r="U344" i="13"/>
  <c r="AL17" i="13"/>
  <c r="J17" i="13" s="1"/>
  <c r="B19" i="8"/>
  <c r="B12" i="14" l="1"/>
  <c r="U343" i="13"/>
  <c r="H18" i="8"/>
  <c r="B18" i="8"/>
  <c r="H19" i="8"/>
  <c r="N755" i="10"/>
  <c r="P344" i="13"/>
  <c r="AL12" i="13"/>
  <c r="J12" i="13" s="1"/>
  <c r="B7" i="14"/>
  <c r="P343" i="13"/>
  <c r="B17" i="8"/>
  <c r="H17" i="8"/>
  <c r="N2" i="14" l="1"/>
  <c r="B17" i="13"/>
  <c r="S17" i="13" s="1"/>
  <c r="E18" i="8"/>
  <c r="C18" i="8"/>
  <c r="F18" i="8"/>
  <c r="D18" i="8"/>
  <c r="D19" i="8"/>
  <c r="F19" i="8"/>
  <c r="E19" i="8"/>
  <c r="C19" i="8"/>
  <c r="K17" i="13"/>
  <c r="K19" i="13"/>
  <c r="K7" i="13"/>
  <c r="K16" i="13"/>
  <c r="K11" i="13"/>
  <c r="K18" i="13"/>
  <c r="K15" i="13"/>
  <c r="K12" i="13"/>
  <c r="K8" i="13"/>
  <c r="K13" i="13"/>
  <c r="K20" i="13"/>
  <c r="K9" i="13"/>
  <c r="K10" i="13"/>
  <c r="K14" i="13"/>
  <c r="I2" i="14"/>
  <c r="B12" i="13"/>
  <c r="D17" i="8"/>
  <c r="C17" i="8"/>
  <c r="F17" i="8" s="1"/>
  <c r="E17" i="8"/>
  <c r="F92" i="7" l="1"/>
  <c r="S92" i="7" s="1"/>
  <c r="W17" i="13"/>
  <c r="AI17" i="13"/>
  <c r="C13" i="14"/>
  <c r="C18" i="13" s="1"/>
  <c r="AA18" i="13" s="1"/>
  <c r="C7" i="14"/>
  <c r="C12" i="13" s="1"/>
  <c r="AA12" i="13" s="1"/>
  <c r="C12" i="14"/>
  <c r="C17" i="13" s="1"/>
  <c r="AA17" i="13" s="1"/>
  <c r="C10" i="14"/>
  <c r="C15" i="13" s="1"/>
  <c r="AA15" i="13" s="1"/>
  <c r="C11" i="14"/>
  <c r="C16" i="13" s="1"/>
  <c r="AA16" i="13" s="1"/>
  <c r="C8" i="14"/>
  <c r="C13" i="13" s="1"/>
  <c r="AA13" i="13" s="1"/>
  <c r="C4" i="14"/>
  <c r="C9" i="13" s="1"/>
  <c r="AA9" i="13" s="1"/>
  <c r="C15" i="14"/>
  <c r="C20" i="13" s="1"/>
  <c r="AA20" i="13" s="1"/>
  <c r="C9" i="14"/>
  <c r="C14" i="13" s="1"/>
  <c r="AA14" i="13" s="1"/>
  <c r="C5" i="14"/>
  <c r="C10" i="13" s="1"/>
  <c r="AA10" i="13" s="1"/>
  <c r="C2" i="14"/>
  <c r="C7" i="13" s="1"/>
  <c r="AA7" i="13" s="1"/>
  <c r="C3" i="14"/>
  <c r="C8" i="13" s="1"/>
  <c r="AA8" i="13" s="1"/>
  <c r="C14" i="14"/>
  <c r="C19" i="13" s="1"/>
  <c r="AA19" i="13" s="1"/>
  <c r="C6" i="14"/>
  <c r="C11" i="13" s="1"/>
  <c r="E9" i="13"/>
  <c r="E13" i="13"/>
  <c r="E20" i="13"/>
  <c r="D8" i="13"/>
  <c r="D13" i="13"/>
  <c r="D12" i="13"/>
  <c r="E11" i="13"/>
  <c r="E15" i="13"/>
  <c r="E12" i="13"/>
  <c r="D7" i="13"/>
  <c r="D18" i="13"/>
  <c r="D14" i="13"/>
  <c r="D16" i="13"/>
  <c r="D20" i="13"/>
  <c r="E18" i="13"/>
  <c r="D15" i="13"/>
  <c r="D17" i="13"/>
  <c r="E17" i="13"/>
  <c r="E19" i="13"/>
  <c r="D11" i="13"/>
  <c r="E16" i="13"/>
  <c r="D9" i="13"/>
  <c r="E14" i="13"/>
  <c r="D19" i="13"/>
  <c r="E8" i="13"/>
  <c r="E10" i="13"/>
  <c r="E7" i="13"/>
  <c r="D10" i="13"/>
  <c r="S12" i="13"/>
  <c r="B12" i="5" l="1"/>
  <c r="AA11" i="13"/>
  <c r="B28" i="5" s="1"/>
  <c r="F95" i="7"/>
  <c r="S95" i="7" s="1"/>
  <c r="C4" i="7" s="1"/>
  <c r="AI12" i="13"/>
  <c r="W12" i="13"/>
  <c r="A5" i="3" l="1"/>
  <c r="B28" i="8" s="1"/>
  <c r="A6" i="3"/>
  <c r="B15" i="4"/>
  <c r="L19" i="13"/>
  <c r="B12" i="4"/>
  <c r="B7" i="4"/>
  <c r="B6" i="4"/>
  <c r="L11" i="13"/>
  <c r="L17" i="13"/>
  <c r="L13" i="13"/>
  <c r="B13" i="4"/>
  <c r="B18" i="4"/>
  <c r="B10" i="4"/>
  <c r="B16" i="4"/>
  <c r="B8" i="4"/>
  <c r="L15" i="13"/>
  <c r="L9" i="13"/>
  <c r="B9" i="4"/>
  <c r="L7" i="13"/>
  <c r="L18" i="13"/>
  <c r="L20" i="13"/>
  <c r="B5" i="4"/>
  <c r="L8" i="13"/>
  <c r="B11" i="4"/>
  <c r="B17" i="4"/>
  <c r="L12" i="13"/>
  <c r="L16" i="13"/>
  <c r="L10" i="13"/>
  <c r="L14" i="13"/>
  <c r="B14" i="4"/>
  <c r="I15" i="4" l="1"/>
  <c r="H15" i="4"/>
  <c r="D15" i="4"/>
  <c r="M15" i="4"/>
  <c r="E15" i="4"/>
  <c r="J15" i="4"/>
  <c r="O15" i="4"/>
  <c r="U15" i="4"/>
  <c r="V15" i="4"/>
  <c r="S15" i="4"/>
  <c r="C15" i="4"/>
  <c r="X15" i="4"/>
  <c r="Q15" i="4"/>
  <c r="R15" i="4"/>
  <c r="T15" i="4"/>
  <c r="P15" i="4"/>
  <c r="K15" i="4"/>
  <c r="V12" i="4"/>
  <c r="H12" i="4"/>
  <c r="I12" i="4"/>
  <c r="C12" i="4"/>
  <c r="P12" i="4"/>
  <c r="K12" i="4"/>
  <c r="M12" i="4"/>
  <c r="U12" i="4"/>
  <c r="X12" i="4"/>
  <c r="J12" i="4"/>
  <c r="T12" i="4"/>
  <c r="D12" i="4"/>
  <c r="AD9" i="13" s="1"/>
  <c r="Q12" i="4"/>
  <c r="O12" i="4"/>
  <c r="R12" i="4"/>
  <c r="S12" i="4"/>
  <c r="E12" i="4"/>
  <c r="S7" i="4"/>
  <c r="O7" i="4"/>
  <c r="C7" i="4"/>
  <c r="C19" i="9" s="1"/>
  <c r="D7" i="4"/>
  <c r="E7" i="4"/>
  <c r="V7" i="4"/>
  <c r="X7" i="4"/>
  <c r="P7" i="4"/>
  <c r="Q7" i="4"/>
  <c r="R7" i="4"/>
  <c r="I7" i="4"/>
  <c r="T7" i="4"/>
  <c r="H7" i="4"/>
  <c r="B19" i="9"/>
  <c r="J7" i="4"/>
  <c r="M7" i="4"/>
  <c r="U7" i="4"/>
  <c r="K7" i="4"/>
  <c r="I6" i="4"/>
  <c r="M6" i="4"/>
  <c r="J6" i="4"/>
  <c r="D6" i="4"/>
  <c r="P6" i="4"/>
  <c r="R6" i="4"/>
  <c r="S6" i="4"/>
  <c r="K6" i="4"/>
  <c r="Q6" i="4"/>
  <c r="U6" i="4"/>
  <c r="C6" i="4"/>
  <c r="C18" i="9" s="1"/>
  <c r="X6" i="4"/>
  <c r="O6" i="4"/>
  <c r="B18" i="9"/>
  <c r="E6" i="4"/>
  <c r="T6" i="4"/>
  <c r="H6" i="4"/>
  <c r="V6" i="4"/>
  <c r="U13" i="4"/>
  <c r="T13" i="4"/>
  <c r="K13" i="4"/>
  <c r="E13" i="4"/>
  <c r="S13" i="4"/>
  <c r="Q13" i="4"/>
  <c r="V13" i="4"/>
  <c r="H13" i="4"/>
  <c r="O13" i="4"/>
  <c r="I13" i="4"/>
  <c r="X13" i="4"/>
  <c r="C13" i="4"/>
  <c r="D13" i="4"/>
  <c r="AD20" i="13" s="1"/>
  <c r="AF20" i="13" s="1"/>
  <c r="W13" i="4" s="1"/>
  <c r="P13" i="4"/>
  <c r="J13" i="4"/>
  <c r="R13" i="4"/>
  <c r="M13" i="4"/>
  <c r="P18" i="4"/>
  <c r="O18" i="4"/>
  <c r="R18" i="4"/>
  <c r="C18" i="4"/>
  <c r="H18" i="4"/>
  <c r="J18" i="4"/>
  <c r="U18" i="4"/>
  <c r="E18" i="4"/>
  <c r="V18" i="4"/>
  <c r="Q18" i="4"/>
  <c r="S18" i="4"/>
  <c r="I18" i="4"/>
  <c r="M18" i="4"/>
  <c r="K18" i="4"/>
  <c r="T18" i="4"/>
  <c r="X18" i="4"/>
  <c r="D18" i="4"/>
  <c r="H10" i="4"/>
  <c r="D10" i="4"/>
  <c r="V10" i="4"/>
  <c r="E10" i="4"/>
  <c r="K10" i="4"/>
  <c r="C10" i="4"/>
  <c r="R10" i="4"/>
  <c r="P10" i="4"/>
  <c r="T10" i="4"/>
  <c r="I10" i="4"/>
  <c r="Q10" i="4"/>
  <c r="M10" i="4"/>
  <c r="U10" i="4"/>
  <c r="S10" i="4"/>
  <c r="X10" i="4"/>
  <c r="O10" i="4"/>
  <c r="J10" i="4"/>
  <c r="R16" i="4"/>
  <c r="V16" i="4"/>
  <c r="O16" i="4"/>
  <c r="D16" i="4"/>
  <c r="M16" i="4"/>
  <c r="H16" i="4"/>
  <c r="K16" i="4"/>
  <c r="T16" i="4"/>
  <c r="C16" i="4"/>
  <c r="P16" i="4"/>
  <c r="U16" i="4"/>
  <c r="J16" i="4"/>
  <c r="E16" i="4"/>
  <c r="I16" i="4"/>
  <c r="S16" i="4"/>
  <c r="X16" i="4"/>
  <c r="Q16" i="4"/>
  <c r="M8" i="4"/>
  <c r="H8" i="4"/>
  <c r="P8" i="4"/>
  <c r="K8" i="4"/>
  <c r="C8" i="4"/>
  <c r="I8" i="4"/>
  <c r="U8" i="4"/>
  <c r="V8" i="4"/>
  <c r="T8" i="4"/>
  <c r="D8" i="4"/>
  <c r="X8" i="4"/>
  <c r="S8" i="4"/>
  <c r="J8" i="4"/>
  <c r="Q8" i="4"/>
  <c r="O8" i="4"/>
  <c r="E8" i="4"/>
  <c r="R8" i="4"/>
  <c r="Q9" i="4"/>
  <c r="T9" i="4"/>
  <c r="K9" i="4"/>
  <c r="R9" i="4"/>
  <c r="P9" i="4"/>
  <c r="D9" i="4"/>
  <c r="V9" i="4"/>
  <c r="I9" i="4"/>
  <c r="C9" i="4"/>
  <c r="S9" i="4"/>
  <c r="O9" i="4"/>
  <c r="X9" i="4"/>
  <c r="U9" i="4"/>
  <c r="M9" i="4"/>
  <c r="J9" i="4"/>
  <c r="E9" i="4"/>
  <c r="H9" i="4"/>
  <c r="B5" i="5"/>
  <c r="M5" i="4"/>
  <c r="S5" i="4"/>
  <c r="O5" i="4"/>
  <c r="E5" i="4"/>
  <c r="I5" i="4"/>
  <c r="V5" i="4"/>
  <c r="U5" i="4"/>
  <c r="T5" i="4"/>
  <c r="J5" i="4"/>
  <c r="K5" i="4"/>
  <c r="R5" i="4"/>
  <c r="Q5" i="4"/>
  <c r="C5" i="4"/>
  <c r="D5" i="4"/>
  <c r="X5" i="4"/>
  <c r="B17" i="9"/>
  <c r="P5" i="4"/>
  <c r="H5" i="4"/>
  <c r="O11" i="4"/>
  <c r="I11" i="4"/>
  <c r="P11" i="4"/>
  <c r="H11" i="4"/>
  <c r="R11" i="4"/>
  <c r="M11" i="4"/>
  <c r="X11" i="4"/>
  <c r="D11" i="4"/>
  <c r="C11" i="4"/>
  <c r="K11" i="4"/>
  <c r="E11" i="4"/>
  <c r="T11" i="4"/>
  <c r="U11" i="4"/>
  <c r="S11" i="4"/>
  <c r="V11" i="4"/>
  <c r="Q11" i="4"/>
  <c r="J11" i="4"/>
  <c r="V17" i="4"/>
  <c r="D17" i="4"/>
  <c r="X17" i="4"/>
  <c r="H17" i="4"/>
  <c r="M17" i="4"/>
  <c r="S17" i="4"/>
  <c r="U17" i="4"/>
  <c r="E17" i="4"/>
  <c r="I17" i="4"/>
  <c r="K17" i="4"/>
  <c r="P17" i="4"/>
  <c r="T17" i="4"/>
  <c r="C17" i="4"/>
  <c r="O17" i="4"/>
  <c r="R17" i="4"/>
  <c r="Q17" i="4"/>
  <c r="J17" i="4"/>
  <c r="C14" i="4"/>
  <c r="I14" i="4"/>
  <c r="S14" i="4"/>
  <c r="T14" i="4"/>
  <c r="P14" i="4"/>
  <c r="U14" i="4"/>
  <c r="M14" i="4"/>
  <c r="V14" i="4"/>
  <c r="R14" i="4"/>
  <c r="J14" i="4"/>
  <c r="E14" i="4"/>
  <c r="O14" i="4"/>
  <c r="D14" i="4"/>
  <c r="K14" i="4"/>
  <c r="H14" i="4"/>
  <c r="X14" i="4"/>
  <c r="Q14" i="4"/>
  <c r="A8" i="9"/>
  <c r="AD8" i="13"/>
  <c r="AD19" i="13"/>
  <c r="AD7" i="13" l="1"/>
  <c r="AD15" i="13"/>
  <c r="AD13" i="13"/>
  <c r="AD14" i="13"/>
  <c r="AD12" i="13"/>
  <c r="L15" i="4"/>
  <c r="F15" i="4"/>
  <c r="G15" i="4"/>
  <c r="X17" i="13" s="1"/>
  <c r="L12" i="4"/>
  <c r="F12" i="4"/>
  <c r="G12" i="4"/>
  <c r="X9" i="13" s="1"/>
  <c r="G7" i="4"/>
  <c r="L7" i="4"/>
  <c r="F7" i="4"/>
  <c r="G6" i="4"/>
  <c r="L6" i="4"/>
  <c r="F6" i="4"/>
  <c r="L13" i="4"/>
  <c r="G13" i="4"/>
  <c r="X20" i="13" s="1"/>
  <c r="F13" i="4"/>
  <c r="G18" i="4"/>
  <c r="X16" i="13" s="1"/>
  <c r="F18" i="4"/>
  <c r="L18" i="4"/>
  <c r="AD16" i="13"/>
  <c r="L10" i="4"/>
  <c r="G10" i="4"/>
  <c r="F10" i="4"/>
  <c r="L16" i="4"/>
  <c r="F16" i="4"/>
  <c r="G16" i="4"/>
  <c r="X8" i="13" s="1"/>
  <c r="F8" i="4"/>
  <c r="G8" i="4"/>
  <c r="L8" i="4"/>
  <c r="G9" i="4"/>
  <c r="L9" i="4"/>
  <c r="F9" i="4"/>
  <c r="B22" i="8"/>
  <c r="B31" i="8"/>
  <c r="C22" i="8"/>
  <c r="D19" i="9"/>
  <c r="N15" i="4"/>
  <c r="N11" i="4"/>
  <c r="N6" i="4"/>
  <c r="N13" i="4"/>
  <c r="N12" i="4"/>
  <c r="N14" i="4"/>
  <c r="N5" i="4"/>
  <c r="B15" i="5" s="1"/>
  <c r="N8" i="4"/>
  <c r="N9" i="4"/>
  <c r="N10" i="4"/>
  <c r="D18" i="9"/>
  <c r="N7" i="4"/>
  <c r="N17" i="4"/>
  <c r="N16" i="4"/>
  <c r="B33" i="8"/>
  <c r="N18" i="4"/>
  <c r="C17" i="9"/>
  <c r="B30" i="8"/>
  <c r="A10" i="9"/>
  <c r="B21" i="8"/>
  <c r="C21" i="8"/>
  <c r="F21" i="8" s="1"/>
  <c r="F5" i="4"/>
  <c r="B8" i="5" s="1"/>
  <c r="G5" i="4"/>
  <c r="L5" i="4"/>
  <c r="G11" i="4"/>
  <c r="L11" i="4"/>
  <c r="F11" i="4"/>
  <c r="AD18" i="13"/>
  <c r="G17" i="4"/>
  <c r="X10" i="13" s="1"/>
  <c r="L17" i="4"/>
  <c r="F17" i="4"/>
  <c r="AD10" i="13"/>
  <c r="L14" i="4"/>
  <c r="F14" i="4"/>
  <c r="G14" i="4"/>
  <c r="X19" i="13" s="1"/>
  <c r="AD17" i="13"/>
  <c r="T2" i="4"/>
  <c r="AE17" i="13"/>
  <c r="Y17" i="13"/>
  <c r="AE9" i="13"/>
  <c r="Y9" i="13"/>
  <c r="AE14" i="13"/>
  <c r="Y14" i="13"/>
  <c r="Y12" i="13"/>
  <c r="AE12" i="13"/>
  <c r="Y20" i="13"/>
  <c r="AE20" i="13"/>
  <c r="Y16" i="13"/>
  <c r="AE16" i="13"/>
  <c r="AE15" i="13"/>
  <c r="Y15" i="13"/>
  <c r="Y8" i="13"/>
  <c r="AE8" i="13"/>
  <c r="AE13" i="13"/>
  <c r="Y13" i="13"/>
  <c r="Y7" i="13"/>
  <c r="AE7" i="13"/>
  <c r="Y11" i="13"/>
  <c r="B26" i="5" s="1"/>
  <c r="AE11" i="13"/>
  <c r="B11" i="5"/>
  <c r="B6" i="5"/>
  <c r="A5" i="9"/>
  <c r="B10" i="5"/>
  <c r="AD11" i="13"/>
  <c r="Y18" i="13"/>
  <c r="AE18" i="13"/>
  <c r="AE10" i="13"/>
  <c r="Y10" i="13"/>
  <c r="Y19" i="13"/>
  <c r="AE19" i="13"/>
  <c r="X7" i="13" l="1"/>
  <c r="AB7" i="13" s="1"/>
  <c r="AF7" i="13" s="1"/>
  <c r="W9" i="4" s="1"/>
  <c r="X18" i="13"/>
  <c r="AB18" i="13" s="1"/>
  <c r="AF18" i="13" s="1"/>
  <c r="X12" i="13"/>
  <c r="AB12" i="13" s="1"/>
  <c r="AF12" i="13" s="1"/>
  <c r="X15" i="13"/>
  <c r="AB15" i="13" s="1"/>
  <c r="AF15" i="13" s="1"/>
  <c r="W10" i="4" s="1"/>
  <c r="AB16" i="13"/>
  <c r="AF16" i="13" s="1"/>
  <c r="W18" i="4" s="1"/>
  <c r="AB20" i="13"/>
  <c r="AB19" i="13"/>
  <c r="AF19" i="13" s="1"/>
  <c r="W14" i="4" s="1"/>
  <c r="AB8" i="13"/>
  <c r="AF8" i="13" s="1"/>
  <c r="W16" i="4" s="1"/>
  <c r="X14" i="13"/>
  <c r="AB14" i="13" s="1"/>
  <c r="AF14" i="13" s="1"/>
  <c r="X13" i="13"/>
  <c r="AB13" i="13" s="1"/>
  <c r="AF13" i="13" s="1"/>
  <c r="X11" i="13"/>
  <c r="B9" i="5"/>
  <c r="A3" i="4"/>
  <c r="B16" i="5"/>
  <c r="AB17" i="13"/>
  <c r="AF17" i="13" s="1"/>
  <c r="W15" i="4" s="1"/>
  <c r="AB9" i="13"/>
  <c r="AF9" i="13" s="1"/>
  <c r="AB10" i="13"/>
  <c r="AF10" i="13" s="1"/>
  <c r="W17" i="4" s="1"/>
  <c r="W8" i="4" l="1"/>
  <c r="W12" i="4"/>
  <c r="W11" i="4"/>
  <c r="W7" i="4"/>
  <c r="B25" i="5"/>
  <c r="AB11" i="13"/>
  <c r="AF11" i="13" l="1"/>
  <c r="W6" i="4" s="1"/>
  <c r="B23" i="5"/>
  <c r="B7" i="5" l="1"/>
  <c r="W5" i="4"/>
</calcChain>
</file>

<file path=xl/sharedStrings.xml><?xml version="1.0" encoding="utf-8"?>
<sst xmlns="http://schemas.openxmlformats.org/spreadsheetml/2006/main" count="3258" uniqueCount="466">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</sst>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48" t="s">
        <v>186</v>
      </c>
      <c r="B2" s="146"/>
      <c r="C2" s="146"/>
      <c r="D2" s="146"/>
      <c r="E2" s="146"/>
      <c r="F2" s="146"/>
      <c r="G2" s="146"/>
      <c r="H2" s="146"/>
    </row>
    <row r="3" spans="1:8" ht="48" customHeight="1" x14ac:dyDescent="0.2">
      <c r="A3" s="145"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7" t="s">
        <v>190</v>
      </c>
      <c r="C7" s="146"/>
      <c r="D7" s="146"/>
      <c r="E7" s="146"/>
      <c r="F7" s="146"/>
      <c r="G7" s="146"/>
      <c r="H7" s="146"/>
    </row>
    <row r="8" spans="1:8" ht="36" customHeight="1" x14ac:dyDescent="0.2">
      <c r="A8" s="26" t="s">
        <v>191</v>
      </c>
      <c r="B8" s="147" t="s">
        <v>192</v>
      </c>
      <c r="C8" s="146"/>
      <c r="D8" s="146"/>
      <c r="E8" s="146"/>
      <c r="F8" s="146"/>
      <c r="G8" s="146"/>
      <c r="H8" s="146"/>
    </row>
    <row r="9" spans="1:8" ht="21" customHeight="1" x14ac:dyDescent="0.2">
      <c r="A9" s="25" t="s">
        <v>189</v>
      </c>
      <c r="B9" s="147" t="s">
        <v>193</v>
      </c>
      <c r="C9" s="146"/>
      <c r="D9" s="146"/>
      <c r="E9" s="146"/>
      <c r="F9" s="146"/>
      <c r="G9" s="146"/>
      <c r="H9" s="146"/>
    </row>
    <row r="10" spans="1:8" ht="36" customHeight="1" x14ac:dyDescent="0.2">
      <c r="A10" s="26" t="s">
        <v>191</v>
      </c>
      <c r="B10" s="147"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7" t="s">
        <v>196</v>
      </c>
      <c r="C13" s="146"/>
      <c r="D13" s="146"/>
      <c r="E13" s="146"/>
      <c r="F13" s="146"/>
      <c r="G13" s="146"/>
      <c r="H13" s="146"/>
    </row>
    <row r="14" spans="1:8" ht="36" customHeight="1" x14ac:dyDescent="0.2">
      <c r="A14" s="26" t="s">
        <v>191</v>
      </c>
      <c r="B14" s="147" t="s">
        <v>197</v>
      </c>
      <c r="C14" s="146"/>
      <c r="D14" s="146"/>
      <c r="E14" s="146"/>
      <c r="F14" s="146"/>
      <c r="G14" s="146"/>
      <c r="H14" s="146"/>
    </row>
    <row r="15" spans="1:8" ht="21" customHeight="1" x14ac:dyDescent="0.2">
      <c r="A15" s="25" t="s">
        <v>189</v>
      </c>
      <c r="B15" s="147" t="s">
        <v>198</v>
      </c>
      <c r="C15" s="146"/>
      <c r="D15" s="146"/>
      <c r="E15" s="146"/>
      <c r="F15" s="146"/>
      <c r="G15" s="146"/>
      <c r="H15" s="146"/>
    </row>
    <row r="16" spans="1:8" ht="36" customHeight="1" x14ac:dyDescent="0.2">
      <c r="A16" s="26" t="s">
        <v>191</v>
      </c>
      <c r="B16" s="147"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7" t="s">
        <v>201</v>
      </c>
      <c r="C19" s="146"/>
      <c r="D19" s="146"/>
      <c r="E19" s="146"/>
      <c r="F19" s="146"/>
      <c r="G19" s="146"/>
      <c r="H19" s="146"/>
    </row>
    <row r="20" spans="1:8" ht="51" customHeight="1" x14ac:dyDescent="0.2">
      <c r="A20" s="26" t="s">
        <v>191</v>
      </c>
      <c r="B20" s="147" t="s">
        <v>202</v>
      </c>
      <c r="C20" s="146"/>
      <c r="D20" s="146"/>
      <c r="E20" s="146"/>
      <c r="F20" s="146"/>
      <c r="G20" s="146"/>
      <c r="H20" s="146"/>
    </row>
    <row r="21" spans="1:8" ht="21" customHeight="1" x14ac:dyDescent="0.2">
      <c r="A21" s="25" t="s">
        <v>189</v>
      </c>
      <c r="B21" s="147" t="s">
        <v>203</v>
      </c>
      <c r="C21" s="146"/>
      <c r="D21" s="146"/>
      <c r="E21" s="146"/>
      <c r="F21" s="146"/>
      <c r="G21" s="146"/>
      <c r="H21" s="146"/>
    </row>
    <row r="22" spans="1:8" ht="51" customHeight="1" x14ac:dyDescent="0.2">
      <c r="A22" s="26" t="s">
        <v>191</v>
      </c>
      <c r="B22" s="147"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7" t="s">
        <v>206</v>
      </c>
      <c r="C25" s="146"/>
      <c r="D25" s="146"/>
      <c r="E25" s="146"/>
      <c r="F25" s="146"/>
      <c r="G25" s="146"/>
      <c r="H25" s="146"/>
    </row>
    <row r="26" spans="1:8" ht="51" customHeight="1" x14ac:dyDescent="0.2">
      <c r="A26" s="26" t="s">
        <v>191</v>
      </c>
      <c r="B26" s="147" t="s">
        <v>207</v>
      </c>
      <c r="C26" s="146"/>
      <c r="D26" s="146"/>
      <c r="E26" s="146"/>
      <c r="F26" s="146"/>
      <c r="G26" s="146"/>
      <c r="H26" s="146"/>
    </row>
    <row r="27" spans="1:8" ht="21" customHeight="1" x14ac:dyDescent="0.2">
      <c r="A27" s="25" t="s">
        <v>189</v>
      </c>
      <c r="B27" s="147" t="s">
        <v>208</v>
      </c>
      <c r="C27" s="146"/>
      <c r="D27" s="146"/>
      <c r="E27" s="146"/>
      <c r="F27" s="146"/>
      <c r="G27" s="146"/>
      <c r="H27" s="146"/>
    </row>
    <row r="28" spans="1:8" ht="51" customHeight="1" x14ac:dyDescent="0.2">
      <c r="A28" s="26" t="s">
        <v>191</v>
      </c>
      <c r="B28" s="147" t="s">
        <v>209</v>
      </c>
      <c r="C28" s="146"/>
      <c r="D28" s="146"/>
      <c r="E28" s="146"/>
      <c r="F28" s="146"/>
      <c r="G28" s="146"/>
      <c r="H28" s="146"/>
    </row>
    <row r="29" spans="1:8" ht="21" customHeight="1" x14ac:dyDescent="0.2">
      <c r="A29" s="25" t="s">
        <v>189</v>
      </c>
      <c r="B29" s="147" t="s">
        <v>210</v>
      </c>
      <c r="C29" s="146"/>
      <c r="D29" s="146"/>
      <c r="E29" s="146"/>
      <c r="F29" s="146"/>
      <c r="G29" s="146"/>
      <c r="H29" s="146"/>
    </row>
    <row r="30" spans="1:8" ht="36" customHeight="1" x14ac:dyDescent="0.2">
      <c r="A30" s="26" t="s">
        <v>191</v>
      </c>
      <c r="B30" s="147"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7" t="s">
        <v>213</v>
      </c>
      <c r="C33" s="146"/>
      <c r="D33" s="146"/>
      <c r="E33" s="146"/>
      <c r="F33" s="146"/>
      <c r="G33" s="146"/>
      <c r="H33" s="146"/>
    </row>
    <row r="34" spans="1:8" ht="51" customHeight="1" x14ac:dyDescent="0.2">
      <c r="A34" s="26" t="s">
        <v>191</v>
      </c>
      <c r="B34" s="147" t="s">
        <v>214</v>
      </c>
      <c r="C34" s="146"/>
      <c r="D34" s="146"/>
      <c r="E34" s="146"/>
      <c r="F34" s="146"/>
      <c r="G34" s="146"/>
      <c r="H34" s="146"/>
    </row>
    <row r="35" spans="1:8" ht="21" customHeight="1" x14ac:dyDescent="0.2">
      <c r="A35" s="25" t="s">
        <v>189</v>
      </c>
      <c r="B35" s="147" t="s">
        <v>215</v>
      </c>
      <c r="C35" s="146"/>
      <c r="D35" s="146"/>
      <c r="E35" s="146"/>
      <c r="F35" s="146"/>
      <c r="G35" s="146"/>
      <c r="H35" s="146"/>
    </row>
    <row r="36" spans="1:8" ht="36" customHeight="1" x14ac:dyDescent="0.2">
      <c r="A36" s="26" t="s">
        <v>191</v>
      </c>
      <c r="B36" s="147" t="s">
        <v>216</v>
      </c>
      <c r="C36" s="146"/>
      <c r="D36" s="146"/>
      <c r="E36" s="146"/>
      <c r="F36" s="146"/>
      <c r="G36" s="146"/>
      <c r="H36" s="146"/>
    </row>
    <row r="37" spans="1:8" ht="21" customHeight="1" x14ac:dyDescent="0.2">
      <c r="A37" s="25" t="s">
        <v>189</v>
      </c>
      <c r="B37" s="147" t="s">
        <v>217</v>
      </c>
      <c r="C37" s="146"/>
      <c r="D37" s="146"/>
      <c r="E37" s="146"/>
      <c r="F37" s="146"/>
      <c r="G37" s="146"/>
      <c r="H37" s="146"/>
    </row>
    <row r="38" spans="1:8" ht="51" customHeight="1" x14ac:dyDescent="0.2">
      <c r="A38" s="26" t="s">
        <v>191</v>
      </c>
      <c r="B38" s="147" t="s">
        <v>218</v>
      </c>
      <c r="C38" s="146"/>
      <c r="D38" s="146"/>
      <c r="E38" s="146"/>
      <c r="F38" s="146"/>
      <c r="G38" s="146"/>
      <c r="H38" s="146"/>
    </row>
    <row r="39" spans="1:8" ht="21" customHeight="1" x14ac:dyDescent="0.2">
      <c r="A39" s="25" t="s">
        <v>189</v>
      </c>
      <c r="B39" s="147"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7" t="s">
        <v>221</v>
      </c>
      <c r="C42" s="146"/>
      <c r="D42" s="146"/>
      <c r="E42" s="146"/>
      <c r="F42" s="146"/>
      <c r="G42" s="146"/>
      <c r="H42" s="146"/>
    </row>
    <row r="43" spans="1:8" ht="51" customHeight="1" x14ac:dyDescent="0.2">
      <c r="A43" s="26" t="s">
        <v>191</v>
      </c>
      <c r="B43" s="147" t="s">
        <v>222</v>
      </c>
      <c r="C43" s="146"/>
      <c r="D43" s="146"/>
      <c r="E43" s="146"/>
      <c r="F43" s="146"/>
      <c r="G43" s="146"/>
      <c r="H43" s="146"/>
    </row>
    <row r="44" spans="1:8" ht="21" customHeight="1" x14ac:dyDescent="0.2">
      <c r="A44" s="25" t="s">
        <v>189</v>
      </c>
      <c r="B44" s="147" t="s">
        <v>223</v>
      </c>
      <c r="C44" s="146"/>
      <c r="D44" s="146"/>
      <c r="E44" s="146"/>
      <c r="F44" s="146"/>
      <c r="G44" s="146"/>
      <c r="H44" s="146"/>
    </row>
    <row r="45" spans="1:8" ht="36" customHeight="1" x14ac:dyDescent="0.2">
      <c r="A45" s="26" t="s">
        <v>191</v>
      </c>
      <c r="B45" s="147" t="s">
        <v>224</v>
      </c>
      <c r="C45" s="146"/>
      <c r="D45" s="146"/>
      <c r="E45" s="146"/>
      <c r="F45" s="146"/>
      <c r="G45" s="146"/>
      <c r="H45" s="146"/>
    </row>
    <row r="46" spans="1:8" ht="21" customHeight="1" x14ac:dyDescent="0.2">
      <c r="A46" s="25" t="s">
        <v>189</v>
      </c>
      <c r="B46" s="147" t="s">
        <v>225</v>
      </c>
      <c r="C46" s="146"/>
      <c r="D46" s="146"/>
      <c r="E46" s="146"/>
      <c r="F46" s="146"/>
      <c r="G46" s="146"/>
      <c r="H46" s="146"/>
    </row>
    <row r="47" spans="1:8" ht="21" customHeight="1" x14ac:dyDescent="0.2">
      <c r="A47" s="26" t="s">
        <v>191</v>
      </c>
      <c r="B47" s="147"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7" t="s">
        <v>228</v>
      </c>
      <c r="C50" s="146"/>
      <c r="D50" s="146"/>
      <c r="E50" s="146"/>
      <c r="F50" s="146"/>
      <c r="G50" s="146"/>
      <c r="H50" s="146"/>
    </row>
    <row r="51" spans="1:8" ht="21" customHeight="1" x14ac:dyDescent="0.2">
      <c r="A51" s="26" t="s">
        <v>191</v>
      </c>
      <c r="B51" s="147" t="s">
        <v>229</v>
      </c>
      <c r="C51" s="146"/>
      <c r="D51" s="146"/>
      <c r="E51" s="146"/>
      <c r="F51" s="146"/>
      <c r="G51" s="146"/>
      <c r="H51" s="146"/>
    </row>
    <row r="52" spans="1:8" ht="21" customHeight="1" x14ac:dyDescent="0.2">
      <c r="A52" s="25" t="s">
        <v>189</v>
      </c>
      <c r="B52" s="147"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3" t="s">
        <v>231</v>
      </c>
      <c r="B1" s="146"/>
      <c r="C1" s="146"/>
      <c r="D1" s="146"/>
      <c r="E1" s="146"/>
      <c r="G1" s="27"/>
      <c r="H1" s="27"/>
      <c r="I1" s="27"/>
    </row>
    <row r="2" spans="1:9" ht="28.5" customHeight="1" x14ac:dyDescent="0.2">
      <c r="A2" s="152" t="s">
        <v>232</v>
      </c>
      <c r="B2" s="146"/>
      <c r="C2" s="146"/>
      <c r="D2" s="146"/>
      <c r="E2" s="146"/>
      <c r="G2" s="27"/>
      <c r="H2" s="27"/>
      <c r="I2" s="27"/>
    </row>
    <row r="3" spans="1:9" ht="3" customHeight="1" x14ac:dyDescent="0.2">
      <c r="G3" s="27"/>
      <c r="H3" s="27"/>
      <c r="I3" s="27"/>
    </row>
    <row r="4" spans="1:9" ht="15" customHeight="1" x14ac:dyDescent="0.2">
      <c r="A4" s="151" t="s">
        <v>233</v>
      </c>
      <c r="B4" s="146"/>
      <c r="C4" s="146"/>
      <c r="D4" s="146"/>
      <c r="E4" s="146"/>
      <c r="G4" s="27"/>
      <c r="H4" s="27"/>
      <c r="I4" s="27"/>
    </row>
    <row r="5" spans="1:9" ht="24.75" customHeight="1" x14ac:dyDescent="0.2">
      <c r="A5" s="154" t="str">
        <f ca="1">'Sport Records'!$C$4</f>
        <v>Josh</v>
      </c>
      <c r="B5" s="146"/>
      <c r="C5" s="146"/>
      <c r="D5" s="146"/>
      <c r="E5" s="146"/>
      <c r="G5" s="27"/>
      <c r="H5" s="27"/>
      <c r="I5" s="27"/>
    </row>
    <row r="6" spans="1:9" ht="15" customHeight="1" x14ac:dyDescent="0.2">
      <c r="A6" s="156"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1274   |   40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5"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26</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1055</v>
      </c>
      <c r="D23" s="31" t="str">
        <f>IF(OR($B23="—",$B23=""),"—",COUNTIFS('Match Log'!$D$4:$D$1510,$B23,'Match Log'!$C$4:$C$1510,$A23,'Match Log'!$E$4:$E$1510,"Win")&amp;"–"&amp;(COUNTIFS('Match Log'!$D$4:$D$1510,$B23,'Match Log'!$C$4:$C$1510,$A23)-COUNTIFS('Match Log'!$D$4:$D$1510,$B23,'Match Log'!$C$4:$C$1510,$A23,'Match Log'!$E$4:$E$1510,"Win")))</f>
        <v>6–1</v>
      </c>
      <c r="E23" s="31">
        <f>IFERROR('Sport Records'!$P$21,0)</f>
        <v>23</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Q5" activePane="bottomRight" state="frozen"/>
      <selection pane="topRight" activeCell="D1" sqref="D1"/>
      <selection pane="bottomLeft" activeCell="A5" sqref="A5"/>
      <selection pane="bottomRight" activeCell="C21" sqref="C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320  ·  8 Oct 2026</v>
      </c>
      <c r="T2" s="49"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1273.6858369946654</v>
      </c>
      <c r="D5" s="55">
        <f ca="1">COUNTIF('Match Log'!$D$4:$D$1510,$B5)</f>
        <v>65</v>
      </c>
      <c r="E5" s="55">
        <f ca="1">COUNTIFS('Match Log'!$D$4:$D$1510,$B5,'Match Log'!$E$4:$E$1510,"Win")</f>
        <v>40</v>
      </c>
      <c r="F5" s="55">
        <f t="shared" ref="F5:F18" ca="1" si="1">$D5-$E5</f>
        <v>25</v>
      </c>
      <c r="G5" s="56">
        <f t="shared" ref="G5:G18" ca="1" si="2">IF($D5=0,"",$E5/$D5)</f>
        <v>0.61538461538461542</v>
      </c>
      <c r="H5" s="57">
        <f ca="1">SUMIF('Match Log'!$D$4:$D$1510,$B5,'Match Log'!$J$4:$J$1510)</f>
        <v>129.80968013686083</v>
      </c>
      <c r="I5" s="57">
        <f ca="1">SUMIF('Match Log'!$D$4:$D$1510,$B5,'Match Log'!$K$4:$K$1510)</f>
        <v>72.126156857804176</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1149.7927299128914</v>
      </c>
      <c r="N5" s="54">
        <f t="shared" ref="N5:N18" ca="1" si="3">MAX($C$5:$C$18)-$C5</f>
        <v>0</v>
      </c>
      <c r="O5" s="55" t="str">
        <f ca="1">IFERROR(INDEX(Calcs!$H$7:$H$20,MATCH($B5,Calcs!$A$7:$A$20,0)),"")</f>
        <v>W6</v>
      </c>
      <c r="P5" s="55" t="str">
        <f ca="1">IFERROR(INDEX(Calcs!$I$7:$I$20,MATCH($B5,Calcs!$A$7:$A$20,0)),"")</f>
        <v>WWWWW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8 Oct</v>
      </c>
      <c r="S5" s="55">
        <f ca="1">IFERROR(ROUND(INDEX(Calcs!$Q$7:$Q$20,MATCH($B5,Calcs!$A$7:$A$20,0)),1),"")</f>
        <v>1.7</v>
      </c>
      <c r="T5" s="55" t="str">
        <f ca="1">IFERROR(INDEX(Calcs!$T$7:$T$20,MATCH($B5,Calcs!$A$7:$A$20,0)),"")</f>
        <v>Active</v>
      </c>
      <c r="U5">
        <f ca="1">IFERROR(ROUND(INDEX(Calcs!$R$7:$R$20,MATCH($B5,Calcs!$A$7:$A$20,0))+INDEX(Calcs!$U$7:$U$20,MATCH($B5,Calcs!$A$7:$A$20,0)),0),0)</f>
        <v>0</v>
      </c>
      <c r="V5" s="57">
        <f ca="1">IFERROR(ROUND(INDEX(Calcs!$S$7:$S$20,MATCH($B5,Calcs!$A$7:$A$20,0)),0),"")</f>
        <v>1274</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Shawn</v>
      </c>
      <c r="C6" s="54">
        <f ca="1">IFERROR(INDEX(Calcs!$S$7:$S$20,MATCH($B6,Calcs!$A$7:$A$20,0)),"")</f>
        <v>1236.8472700779639</v>
      </c>
      <c r="D6" s="55">
        <f ca="1">COUNTIF('Match Log'!$D$4:$D$1510,$B6)</f>
        <v>170</v>
      </c>
      <c r="E6" s="55">
        <f ca="1">COUNTIFS('Match Log'!$D$4:$D$1510,$B6,'Match Log'!$E$4:$E$1510,"Win")</f>
        <v>80</v>
      </c>
      <c r="F6" s="55">
        <f t="shared" ca="1" si="1"/>
        <v>90</v>
      </c>
      <c r="G6" s="56">
        <f t="shared" ca="1" si="2"/>
        <v>0.47058823529411764</v>
      </c>
      <c r="H6" s="57">
        <f ca="1">SUMIF('Match Log'!$D$4:$D$1510,$B6,'Match Log'!$J$4:$J$1510)</f>
        <v>18.748108012524625</v>
      </c>
      <c r="I6" s="57">
        <f ca="1">SUMIF('Match Log'!$D$4:$D$1510,$B6,'Match Log'!$K$4:$K$1510)</f>
        <v>28.849162065439558</v>
      </c>
      <c r="J6" s="57">
        <f ca="1">SUMIF('Match Log'!$D$4:$D$1510,$B6,'Match Log'!$L$4:$L$1510)</f>
        <v>193</v>
      </c>
      <c r="K6" s="55">
        <f ca="1">SUMPRODUCT(--(COUNTIFS('Match Log'!$D$4:$D$1510,$B6,'Match Log'!$C$4:$C$1510,Lists!$C$2:$C$26)&gt;0))</f>
        <v>19</v>
      </c>
      <c r="L6" s="55" t="str">
        <f ca="1">IF($D6=0,"No games",IF(AND($D6&gt;='Guide &amp; Settings'!$C$45,$K6&gt;='Guide &amp; Settings'!$C$46),"Eligible","Provisional"))</f>
        <v>Eligible</v>
      </c>
      <c r="M6" s="54">
        <f ca="1">IFERROR(INDEX(Calcs!$C$7:$C$20,MATCH($B6,Calcs!$A$7:$A$20,0)),"")</f>
        <v>1141.3018298585059</v>
      </c>
      <c r="N6" s="54">
        <f t="shared" ca="1" si="3"/>
        <v>36.838566916701438</v>
      </c>
      <c r="O6" s="55" t="str">
        <f ca="1">IFERROR(INDEX(Calcs!$H$7:$H$20,MATCH($B6,Calcs!$A$7:$A$20,0)),"")</f>
        <v>W1</v>
      </c>
      <c r="P6" s="55" t="str">
        <f ca="1">IFERROR(INDEX(Calcs!$I$7:$I$20,MATCH($B6,Calcs!$A$7:$A$20,0)),"")</f>
        <v>LWWLW</v>
      </c>
      <c r="Q6" s="55" t="str">
        <f ca="1">IFERROR(IF(INDEX(Calcs!$L$7:$L$20,MATCH($B6,Calcs!$A$7:$A$20,0))&gt;0,"▲"&amp;INDEX(Calcs!$L$7:$L$20,MATCH($B6,Calcs!$A$7:$A$20,0)),IF(INDEX(Calcs!$L$7:$L$20,MATCH($B6,Calcs!$A$7:$A$20,0))&lt;0,"▼"&amp;ABS(INDEX(Calcs!$L$7:$L$20,MATCH($B6,Calcs!$A$7:$A$20,0))),"–")),"")</f>
        <v>–</v>
      </c>
      <c r="R6" s="55" t="str">
        <f ca="1">IFERROR(IF(INDEX(Calcs!$P$7:$P$20,MATCH($B6,Calcs!$A$7:$A$20,0))=0,"—",TEXT(INDEX(Calcs!$P$7:$P$20,MATCH($B6,Calcs!$A$7:$A$20,0)),"d mmm")),"")</f>
        <v>8 Oct</v>
      </c>
      <c r="S6" s="55">
        <f ca="1">IFERROR(ROUND(INDEX(Calcs!$Q$7:$Q$20,MATCH($B6,Calcs!$A$7:$A$20,0)),1),"")</f>
        <v>1.7</v>
      </c>
      <c r="T6" s="55" t="str">
        <f ca="1">IFERROR(INDEX(Calcs!$T$7:$T$20,MATCH($B6,Calcs!$A$7:$A$20,0)),"")</f>
        <v>Active</v>
      </c>
      <c r="U6">
        <f ca="1">IFERROR(ROUND(INDEX(Calcs!$R$7:$R$20,MATCH($B6,Calcs!$A$7:$A$20,0))+INDEX(Calcs!$U$7:$U$20,MATCH($B6,Calcs!$A$7:$A$20,0)),0),0)</f>
        <v>0</v>
      </c>
      <c r="V6" s="57">
        <f ca="1">IFERROR(ROUND(INDEX(Calcs!$S$7:$S$20,MATCH($B6,Calcs!$A$7:$A$20,0)),0),"")</f>
        <v>1237</v>
      </c>
      <c r="W6" s="55" t="str">
        <f ca="1">IFERROR(INDEX(Calcs!$AF$7:$AF$20,MATCH($B6,Calcs!$A$7:$A$20,0)),"")</f>
        <v>Elite</v>
      </c>
      <c r="X6" s="57">
        <f ca="1">IFERROR(ROUND(SUMIF('Poker Stake Ledger'!$C$18:$C$137,$B6,'Poker Stake Ledger'!$K$18:$K$137),1),0)</f>
        <v>-3.8</v>
      </c>
    </row>
    <row r="7" spans="1:24" ht="15" customHeight="1" x14ac:dyDescent="0.2">
      <c r="A7" s="52">
        <f t="shared" si="0"/>
        <v>3</v>
      </c>
      <c r="B7" s="53" t="str">
        <f ca="1">IFERROR(INDEX(Calcs!$A$7:$A$20,MATCH(LARGE(Calcs!$AI$7:$AI$20,ROW()-4),Calcs!$AI$7:$AI$20,0)),"")</f>
        <v>Daniel (Ferret)</v>
      </c>
      <c r="C7" s="54">
        <f ca="1">IFERROR(INDEX(Calcs!$S$7:$S$20,MATCH($B7,Calcs!$A$7:$A$20,0)),"")</f>
        <v>1189.5639027540672</v>
      </c>
      <c r="D7" s="55">
        <f ca="1">COUNTIF('Match Log'!$D$4:$D$1510,$B7)</f>
        <v>159</v>
      </c>
      <c r="E7" s="55">
        <f ca="1">COUNTIFS('Match Log'!$D$4:$D$1510,$B7,'Match Log'!$E$4:$E$1510,"Win")</f>
        <v>68</v>
      </c>
      <c r="F7" s="55">
        <f t="shared" ca="1" si="1"/>
        <v>91</v>
      </c>
      <c r="G7" s="56">
        <f t="shared" ca="1" si="2"/>
        <v>0.42767295597484278</v>
      </c>
      <c r="H7" s="57">
        <f ca="1">SUMIF('Match Log'!$D$4:$D$1510,$B7,'Match Log'!$J$4:$J$1510)</f>
        <v>-31.344446599629521</v>
      </c>
      <c r="I7" s="57">
        <f ca="1">SUMIF('Match Log'!$D$4:$D$1510,$B7,'Match Log'!$K$4:$K$1510)</f>
        <v>51.258349353696907</v>
      </c>
      <c r="J7" s="57">
        <f ca="1">SUMIF('Match Log'!$D$4:$D$1510,$B7,'Match Log'!$L$4:$L$1510)</f>
        <v>171</v>
      </c>
      <c r="K7" s="55">
        <f ca="1">SUMPRODUCT(--(COUNTIFS('Match Log'!$D$4:$D$1510,$B7,'Match Log'!$C$4:$C$1510,Lists!$C$2:$C$26)&gt;0))</f>
        <v>20</v>
      </c>
      <c r="L7" s="55" t="str">
        <f ca="1">IF($D7=0,"No games",IF(AND($D7&gt;='Guide &amp; Settings'!$C$45,$K7&gt;='Guide &amp; Settings'!$C$46),"Eligible","Provisional"))</f>
        <v>Eligible</v>
      </c>
      <c r="M7" s="54">
        <f ca="1">IFERROR(INDEX(Calcs!$C$7:$C$20,MATCH($B7,Calcs!$A$7:$A$20,0)),"")</f>
        <v>1176.8440095243068</v>
      </c>
      <c r="N7" s="54">
        <f t="shared" ca="1" si="3"/>
        <v>84.121934240598193</v>
      </c>
      <c r="O7" s="55" t="str">
        <f ca="1">IFERROR(INDEX(Calcs!$H$7:$H$20,MATCH($B7,Calcs!$A$7:$A$20,0)),"")</f>
        <v>L2</v>
      </c>
      <c r="P7" s="55" t="str">
        <f ca="1">IFERROR(INDEX(Calcs!$I$7:$I$20,MATCH($B7,Calcs!$A$7:$A$20,0)),"")</f>
        <v>WWWLL</v>
      </c>
      <c r="Q7" s="55" t="str">
        <f ca="1">IFERROR(IF(INDEX(Calcs!$L$7:$L$20,MATCH($B7,Calcs!$A$7:$A$20,0))&gt;0,"▲"&amp;INDEX(Calcs!$L$7:$L$20,MATCH($B7,Calcs!$A$7:$A$20,0)),IF(INDEX(Calcs!$L$7:$L$20,MATCH($B7,Calcs!$A$7:$A$20,0))&lt;0,"▼"&amp;ABS(INDEX(Calcs!$L$7:$L$20,MATCH($B7,Calcs!$A$7:$A$20,0))),"–")),"")</f>
        <v>▲1</v>
      </c>
      <c r="R7" s="55" t="str">
        <f ca="1">IFERROR(IF(INDEX(Calcs!$P$7:$P$20,MATCH($B7,Calcs!$A$7:$A$20,0))=0,"—",TEXT(INDEX(Calcs!$P$7:$P$20,MATCH($B7,Calcs!$A$7:$A$20,0)),"d mmm")),"")</f>
        <v>8 Oct</v>
      </c>
      <c r="S7" s="55">
        <f ca="1">IFERROR(ROUND(INDEX(Calcs!$Q$7:$Q$20,MATCH($B7,Calcs!$A$7:$A$20,0)),1),"")</f>
        <v>1.7</v>
      </c>
      <c r="T7" s="55" t="str">
        <f ca="1">IFERROR(INDEX(Calcs!$T$7:$T$20,MATCH($B7,Calcs!$A$7:$A$20,0)),"")</f>
        <v>Active</v>
      </c>
      <c r="U7">
        <f ca="1">IFERROR(ROUND(INDEX(Calcs!$R$7:$R$20,MATCH($B7,Calcs!$A$7:$A$20,0))+INDEX(Calcs!$U$7:$U$20,MATCH($B7,Calcs!$A$7:$A$20,0)),0),0)</f>
        <v>0</v>
      </c>
      <c r="V7" s="57">
        <f ca="1">IFERROR(ROUND(INDEX(Calcs!$S$7:$S$20,MATCH($B7,Calcs!$A$7:$A$20,0)),0),"")</f>
        <v>1190</v>
      </c>
      <c r="W7" s="55" t="str">
        <f ca="1">IFERROR(INDEX(Calcs!$AF$7:$AF$20,MATCH($B7,Calcs!$A$7:$A$20,0)),"")</f>
        <v>Elite</v>
      </c>
      <c r="X7" s="57">
        <f ca="1">IFERROR(ROUND(SUMIF('Poker Stake Ledger'!$C$18:$C$137,$B7,'Poker Stake Ledger'!$K$18:$K$137),1),0)</f>
        <v>-1.4</v>
      </c>
    </row>
    <row r="8" spans="1:24" ht="15" customHeight="1" x14ac:dyDescent="0.2">
      <c r="A8" s="52">
        <f t="shared" si="0"/>
        <v>4</v>
      </c>
      <c r="B8" s="53" t="str">
        <f ca="1">IFERROR(INDEX(Calcs!$A$7:$A$20,MATCH(LARGE(Calcs!$AI$7:$AI$20,ROW()-4),Calcs!$AI$7:$AI$20,0)),"")</f>
        <v>Aaron</v>
      </c>
      <c r="C8" s="54">
        <f ca="1">IFERROR(INDEX(Calcs!$S$7:$S$20,MATCH($B8,Calcs!$A$7:$A$20,0)),"")</f>
        <v>1188.5766156390553</v>
      </c>
      <c r="D8" s="55">
        <f ca="1">COUNTIF('Match Log'!$D$4:$D$1510,$B8)</f>
        <v>91</v>
      </c>
      <c r="E8" s="55">
        <f ca="1">COUNTIFS('Match Log'!$D$4:$D$1510,$B8,'Match Log'!$E$4:$E$1510,"Win")</f>
        <v>42</v>
      </c>
      <c r="F8" s="55">
        <f t="shared" ca="1" si="1"/>
        <v>49</v>
      </c>
      <c r="G8" s="56">
        <f t="shared" ca="1" si="2"/>
        <v>0.46153846153846156</v>
      </c>
      <c r="H8" s="57">
        <f ca="1">SUMIF('Match Log'!$D$4:$D$1510,$B8,'Match Log'!$J$4:$J$1510)</f>
        <v>36.684656852727038</v>
      </c>
      <c r="I8" s="57">
        <f ca="1">SUMIF('Match Log'!$D$4:$D$1510,$B8,'Match Log'!$K$4:$K$1510)</f>
        <v>61.991958786328063</v>
      </c>
      <c r="J8" s="57">
        <f ca="1">SUMIF('Match Log'!$D$4:$D$1510,$B8,'Match Log'!$L$4:$L$1510)</f>
        <v>111</v>
      </c>
      <c r="K8" s="55">
        <f ca="1">SUMPRODUCT(--(COUNTIFS('Match Log'!$D$4:$D$1510,$B8,'Match Log'!$C$4:$C$1510,Lists!$C$2:$C$26)&gt;0))</f>
        <v>14</v>
      </c>
      <c r="L8" s="55" t="str">
        <f ca="1">IF($D8=0,"No games",IF(AND($D8&gt;='Guide &amp; Settings'!$C$45,$K8&gt;='Guide &amp; Settings'!$C$46),"Eligible","Provisional"))</f>
        <v>Eligible</v>
      </c>
      <c r="M8" s="54">
        <f ca="1">IFERROR(INDEX(Calcs!$C$7:$C$20,MATCH($B8,Calcs!$A$7:$A$20,0)),"")</f>
        <v>1168.7373459669402</v>
      </c>
      <c r="N8" s="54">
        <f t="shared" ca="1" si="3"/>
        <v>85.109221355610089</v>
      </c>
      <c r="O8" s="55" t="str">
        <f ca="1">IFERROR(INDEX(Calcs!$H$7:$H$20,MATCH($B8,Calcs!$A$7:$A$20,0)),"")</f>
        <v>L7</v>
      </c>
      <c r="P8" s="55" t="str">
        <f ca="1">IFERROR(INDEX(Calcs!$I$7:$I$20,MATCH($B8,Calcs!$A$7:$A$20,0)),"")</f>
        <v>LLLLL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 Oct</v>
      </c>
      <c r="S8" s="55">
        <f ca="1">IFERROR(ROUND(INDEX(Calcs!$Q$7:$Q$20,MATCH($B8,Calcs!$A$7:$A$20,0)),1),"")</f>
        <v>2.6</v>
      </c>
      <c r="T8" s="55" t="str">
        <f ca="1">IFERROR(INDEX(Calcs!$T$7:$T$20,MATCH($B8,Calcs!$A$7:$A$20,0)),"")</f>
        <v>At risk</v>
      </c>
      <c r="U8">
        <f ca="1">IFERROR(ROUND(INDEX(Calcs!$R$7:$R$20,MATCH($B8,Calcs!$A$7:$A$20,0))+INDEX(Calcs!$U$7:$U$20,MATCH($B8,Calcs!$A$7:$A$20,0)),0),0)</f>
        <v>10</v>
      </c>
      <c r="V8" s="57">
        <f ca="1">IFERROR(ROUND(INDEX(Calcs!$S$7:$S$20,MATCH($B8,Calcs!$A$7:$A$20,0)),0),"")</f>
        <v>1189</v>
      </c>
      <c r="W8" s="55" t="str">
        <f ca="1">IFERROR(INDEX(Calcs!$AF$7:$AF$20,MATCH($B8,Calcs!$A$7:$A$20,0)),"")</f>
        <v>Elite</v>
      </c>
      <c r="X8" s="57">
        <f ca="1">IFERROR(ROUND(SUMIF('Poker Stake Ledger'!$C$18:$C$137,$B8,'Poker Stake Ledger'!$K$18:$K$137),1),0)</f>
        <v>-11.1</v>
      </c>
    </row>
    <row r="9" spans="1:24" ht="15" customHeight="1" x14ac:dyDescent="0.2">
      <c r="A9" s="52">
        <f t="shared" si="0"/>
        <v>5</v>
      </c>
      <c r="B9" s="53" t="str">
        <f ca="1">IFERROR(INDEX(Calcs!$A$7:$A$20,MATCH(LARGE(Calcs!$AI$7:$AI$20,ROW()-4),Calcs!$AI$7:$AI$20,0)),"")</f>
        <v>Dean B</v>
      </c>
      <c r="C9" s="54">
        <f ca="1">IFERROR(INDEX(Calcs!$S$7:$S$20,MATCH($B9,Calcs!$A$7:$A$20,0)),"")</f>
        <v>1187.9015417269482</v>
      </c>
      <c r="D9" s="55">
        <f ca="1">COUNTIF('Match Log'!$D$4:$D$1510,$B9)</f>
        <v>42</v>
      </c>
      <c r="E9" s="55">
        <f ca="1">COUNTIFS('Match Log'!$D$4:$D$1510,$B9,'Match Log'!$E$4:$E$1510,"Win")</f>
        <v>25</v>
      </c>
      <c r="F9" s="55">
        <f t="shared" ca="1" si="1"/>
        <v>17</v>
      </c>
      <c r="G9" s="56">
        <f t="shared" ca="1" si="2"/>
        <v>0.59523809523809523</v>
      </c>
      <c r="H9" s="57">
        <f ca="1">SUMIF('Match Log'!$D$4:$D$1510,$B9,'Match Log'!$J$4:$J$1510)</f>
        <v>89.675227242644667</v>
      </c>
      <c r="I9" s="57">
        <f ca="1">SUMIF('Match Log'!$D$4:$D$1510,$B9,'Match Log'!$K$4:$K$1510)</f>
        <v>72.226314484303657</v>
      </c>
      <c r="J9" s="57">
        <f ca="1">SUMIF('Match Log'!$D$4:$D$1510,$B9,'Match Log'!$L$4:$L$1510)</f>
        <v>56</v>
      </c>
      <c r="K9" s="55">
        <f ca="1">SUMPRODUCT(--(COUNTIFS('Match Log'!$D$4:$D$1510,$B9,'Match Log'!$C$4:$C$1510,Lists!$C$2:$C$26)&gt;0))</f>
        <v>7</v>
      </c>
      <c r="L9" s="55" t="str">
        <f ca="1">IF($D9=0,"No games",IF(AND($D9&gt;='Guide &amp; Settings'!$C$45,$K9&gt;='Guide &amp; Settings'!$C$46),"Eligible","Provisional"))</f>
        <v>Eligible</v>
      </c>
      <c r="M9" s="54">
        <f ca="1">IFERROR(INDEX(Calcs!$C$7:$C$20,MATCH($B9,Calcs!$A$7:$A$20,0)),"")</f>
        <v>1142.569260146546</v>
      </c>
      <c r="N9" s="54">
        <f t="shared" ca="1" si="3"/>
        <v>85.784295267717198</v>
      </c>
      <c r="O9" s="55" t="str">
        <f ca="1">IFERROR(INDEX(Calcs!$H$7:$H$20,MATCH($B9,Calcs!$A$7:$A$20,0)),"")</f>
        <v>L1</v>
      </c>
      <c r="P9" s="55" t="str">
        <f ca="1">IFERROR(INDEX(Calcs!$I$7:$I$20,MATCH($B9,Calcs!$A$7:$A$20,0)),"")</f>
        <v>WWLWL</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25 Sep</v>
      </c>
      <c r="S9" s="55">
        <f ca="1">IFERROR(ROUND(INDEX(Calcs!$Q$7:$Q$20,MATCH($B9,Calcs!$A$7:$A$20,0)),1),"")</f>
        <v>3.6</v>
      </c>
      <c r="T9" s="55" t="str">
        <f ca="1">IFERROR(INDEX(Calcs!$T$7:$T$20,MATCH($B9,Calcs!$A$7:$A$20,0)),"")</f>
        <v>At risk</v>
      </c>
      <c r="U9">
        <f ca="1">IFERROR(ROUND(INDEX(Calcs!$R$7:$R$20,MATCH($B9,Calcs!$A$7:$A$20,0))+INDEX(Calcs!$U$7:$U$20,MATCH($B9,Calcs!$A$7:$A$20,0)),0),0)</f>
        <v>30</v>
      </c>
      <c r="V9" s="57">
        <f ca="1">IFERROR(ROUND(INDEX(Calcs!$S$7:$S$20,MATCH($B9,Calcs!$A$7:$A$20,0)),0),"")</f>
        <v>1188</v>
      </c>
      <c r="W9" s="55" t="str">
        <f ca="1">IFERROR(INDEX(Calcs!$AF$7:$AF$20,MATCH($B9,Calcs!$A$7:$A$20,0)),"")</f>
        <v>Elite</v>
      </c>
      <c r="X9" s="57">
        <f ca="1">IFERROR(ROUND(SUMIF('Poker Stake Ledger'!$C$18:$C$137,$B9,'Poker Stake Ledger'!$K$18:$K$137),1),0)</f>
        <v>0</v>
      </c>
    </row>
    <row r="10" spans="1:24" ht="15" customHeight="1" x14ac:dyDescent="0.2">
      <c r="A10" s="52">
        <f t="shared" si="0"/>
        <v>6</v>
      </c>
      <c r="B10" s="53" t="str">
        <f ca="1">IFERROR(INDEX(Calcs!$A$7:$A$20,MATCH(LARGE(Calcs!$AI$7:$AI$20,ROW()-4),Calcs!$AI$7:$AI$20,0)),"")</f>
        <v>Simon</v>
      </c>
      <c r="C10" s="54">
        <f ca="1">IFERROR(INDEX(Calcs!$S$7:$S$20,MATCH($B10,Calcs!$A$7:$A$20,0)),"")</f>
        <v>1180.4461816871431</v>
      </c>
      <c r="D10" s="55">
        <f ca="1">COUNTIF('Match Log'!$D$4:$D$1510,$B10)</f>
        <v>40</v>
      </c>
      <c r="E10" s="55">
        <f ca="1">COUNTIFS('Match Log'!$D$4:$D$1510,$B10,'Match Log'!$E$4:$E$1510,"Win")</f>
        <v>21</v>
      </c>
      <c r="F10" s="55">
        <f t="shared" ca="1" si="1"/>
        <v>19</v>
      </c>
      <c r="G10" s="56">
        <f t="shared" ca="1" si="2"/>
        <v>0.52500000000000002</v>
      </c>
      <c r="H10" s="57">
        <f ca="1">SUMIF('Match Log'!$D$4:$D$1510,$B10,'Match Log'!$J$4:$J$1510)</f>
        <v>74.310240078644824</v>
      </c>
      <c r="I10" s="57">
        <f ca="1">SUMIF('Match Log'!$D$4:$D$1510,$B10,'Match Log'!$K$4:$K$1510)</f>
        <v>55.685941608498204</v>
      </c>
      <c r="J10" s="57">
        <f ca="1">SUMIF('Match Log'!$D$4:$D$1510,$B10,'Match Log'!$L$4:$L$1510)</f>
        <v>86</v>
      </c>
      <c r="K10" s="55">
        <f ca="1">SUMPRODUCT(--(COUNTIFS('Match Log'!$D$4:$D$1510,$B10,'Match Log'!$C$4:$C$1510,Lists!$C$2:$C$26)&gt;0))</f>
        <v>12</v>
      </c>
      <c r="L10" s="55" t="str">
        <f ca="1">IF($D10=0,"No games",IF(AND($D10&gt;='Guide &amp; Settings'!$C$45,$K10&gt;='Guide &amp; Settings'!$C$46),"Eligible","Provisional"))</f>
        <v>Eligible</v>
      </c>
      <c r="M10" s="54">
        <f ca="1">IFERROR(INDEX(Calcs!$C$7:$C$20,MATCH($B10,Calcs!$A$7:$A$20,0)),"")</f>
        <v>1084.5964859158232</v>
      </c>
      <c r="N10" s="54">
        <f t="shared" ca="1" si="3"/>
        <v>93.239655307522298</v>
      </c>
      <c r="O10" s="55" t="str">
        <f ca="1">IFERROR(INDEX(Calcs!$H$7:$H$20,MATCH($B10,Calcs!$A$7:$A$20,0)),"")</f>
        <v>W5</v>
      </c>
      <c r="P10" s="55" t="str">
        <f ca="1">IFERROR(INDEX(Calcs!$I$7:$I$20,MATCH($B10,Calcs!$A$7:$A$20,0)),"")</f>
        <v>WWWWW</v>
      </c>
      <c r="Q10" s="55" t="str">
        <f ca="1">IFERROR(IF(INDEX(Calcs!$L$7:$L$20,MATCH($B10,Calcs!$A$7:$A$20,0))&gt;0,"▲"&amp;INDEX(Calcs!$L$7:$L$20,MATCH($B10,Calcs!$A$7:$A$20,0)),IF(INDEX(Calcs!$L$7:$L$20,MATCH($B10,Calcs!$A$7:$A$20,0))&lt;0,"▼"&amp;ABS(INDEX(Calcs!$L$7:$L$20,MATCH($B10,Calcs!$A$7:$A$20,0))),"–")),"")</f>
        <v>▼3</v>
      </c>
      <c r="R10" s="55" t="str">
        <f ca="1">IFERROR(IF(INDEX(Calcs!$P$7:$P$20,MATCH($B10,Calcs!$A$7:$A$20,0))=0,"—",TEXT(INDEX(Calcs!$P$7:$P$20,MATCH($B10,Calcs!$A$7:$A$20,0)),"d mmm")),"")</f>
        <v>6 Sep</v>
      </c>
      <c r="S10" s="55">
        <f ca="1">IFERROR(ROUND(INDEX(Calcs!$Q$7:$Q$20,MATCH($B10,Calcs!$A$7:$A$20,0)),1),"")</f>
        <v>6.3</v>
      </c>
      <c r="T10" s="55" t="str">
        <f ca="1">IFERROR(INDEX(Calcs!$T$7:$T$20,MATCH($B10,Calcs!$A$7:$A$20,0)),"")</f>
        <v>Inactive</v>
      </c>
      <c r="U10">
        <f ca="1">IFERROR(ROUND(INDEX(Calcs!$R$7:$R$20,MATCH($B10,Calcs!$A$7:$A$20,0))+INDEX(Calcs!$U$7:$U$20,MATCH($B10,Calcs!$A$7:$A$20,0)),0),0)</f>
        <v>30</v>
      </c>
      <c r="V10" s="57">
        <f ca="1">IFERROR(ROUND(INDEX(Calcs!$S$7:$S$20,MATCH($B10,Calcs!$A$7:$A$20,0)),0),"")</f>
        <v>1180</v>
      </c>
      <c r="W10" s="55" t="str">
        <f ca="1">IFERROR(INDEX(Calcs!$AF$7:$AF$20,MATCH($B10,Calcs!$A$7:$A$20,0)),"")</f>
        <v>Elite</v>
      </c>
      <c r="X10" s="57">
        <f ca="1">IFERROR(ROUND(SUMIF('Poker Stake Ledger'!$C$18:$C$137,$B10,'Poker Stake Ledger'!$K$18:$K$137),1),0)</f>
        <v>-5.6</v>
      </c>
    </row>
    <row r="11" spans="1:24" ht="15" customHeight="1" x14ac:dyDescent="0.2">
      <c r="A11" s="52">
        <f t="shared" si="0"/>
        <v>7</v>
      </c>
      <c r="B11" s="53" t="str">
        <f ca="1">IFERROR(INDEX(Calcs!$A$7:$A$20,MATCH(LARGE(Calcs!$AI$7:$AI$20,ROW()-4),Calcs!$AI$7:$AI$20,0)),"")</f>
        <v>Chase</v>
      </c>
      <c r="C11" s="54">
        <f ca="1">IFERROR(INDEX(Calcs!$S$7:$S$20,MATCH($B11,Calcs!$A$7:$A$20,0)),"")</f>
        <v>1028.0761030598392</v>
      </c>
      <c r="D11" s="55">
        <f ca="1">COUNTIF('Match Log'!$D$4:$D$1510,$B11)</f>
        <v>23</v>
      </c>
      <c r="E11" s="55">
        <f ca="1">COUNTIFS('Match Log'!$D$4:$D$1510,$B11,'Match Log'!$E$4:$E$1510,"Win")</f>
        <v>9</v>
      </c>
      <c r="F11" s="55">
        <f t="shared" ca="1" si="1"/>
        <v>14</v>
      </c>
      <c r="G11" s="56">
        <f t="shared" ca="1" si="2"/>
        <v>0.39130434782608697</v>
      </c>
      <c r="H11" s="57">
        <f ca="1">SUMIF('Match Log'!$D$4:$D$1510,$B11,'Match Log'!$J$4:$J$1510)</f>
        <v>9.3432383355777748</v>
      </c>
      <c r="I11" s="57">
        <f ca="1">SUMIF('Match Log'!$D$4:$D$1510,$B11,'Match Log'!$K$4:$K$1510)</f>
        <v>-8.2671352757385339</v>
      </c>
      <c r="J11" s="57">
        <f ca="1">SUMIF('Match Log'!$D$4:$D$1510,$B11,'Match Log'!$L$4:$L$1510)</f>
        <v>47</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1162.1179015942173</v>
      </c>
      <c r="N11" s="54">
        <f t="shared" ca="1" si="3"/>
        <v>245.60973393482618</v>
      </c>
      <c r="O11" s="55" t="str">
        <f ca="1">IFERROR(INDEX(Calcs!$H$7:$H$20,MATCH($B11,Calcs!$A$7:$A$20,0)),"")</f>
        <v>L4</v>
      </c>
      <c r="P11" s="55" t="str">
        <f ca="1">IFERROR(INDEX(Calcs!$I$7:$I$20,MATCH($B11,Calcs!$A$7:$A$20,0)),"")</f>
        <v>WLLLL</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2 Oct</v>
      </c>
      <c r="S11" s="55">
        <f ca="1">IFERROR(ROUND(INDEX(Calcs!$Q$7:$Q$20,MATCH($B11,Calcs!$A$7:$A$20,0)),1),"")</f>
        <v>2.6</v>
      </c>
      <c r="T11" s="55" t="str">
        <f ca="1">IFERROR(INDEX(Calcs!$T$7:$T$20,MATCH($B11,Calcs!$A$7:$A$20,0)),"")</f>
        <v>At risk</v>
      </c>
      <c r="U11">
        <f ca="1">IFERROR(ROUND(INDEX(Calcs!$R$7:$R$20,MATCH($B11,Calcs!$A$7:$A$20,0))+INDEX(Calcs!$U$7:$U$20,MATCH($B11,Calcs!$A$7:$A$20,0)),0),0)</f>
        <v>20</v>
      </c>
      <c r="V11" s="57">
        <f ca="1">IFERROR(ROUND(INDEX(Calcs!$S$7:$S$20,MATCH($B11,Calcs!$A$7:$A$20,0)),0),"")</f>
        <v>1028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1027.5488947064855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1072.0314409502325</v>
      </c>
      <c r="N12" s="54">
        <f t="shared" ca="1" si="3"/>
        <v>246.13694228817985</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▼1</v>
      </c>
      <c r="R12" s="55" t="str">
        <f ca="1">IFERROR(IF(INDEX(Calcs!$P$7:$P$20,MATCH($B12,Calcs!$A$7:$A$20,0))=0,"—",TEXT(INDEX(Calcs!$P$7:$P$20,MATCH($B12,Calcs!$A$7:$A$20,0)),"d mmm")),"")</f>
        <v>15 Aug</v>
      </c>
      <c r="S12" s="55">
        <f ca="1">IFERROR(ROUND(INDEX(Calcs!$Q$7:$Q$20,MATCH($B12,Calcs!$A$7:$A$20,0)),1),"")</f>
        <v>9.4</v>
      </c>
      <c r="T12" s="55" t="str">
        <f ca="1">IFERROR(INDEX(Calcs!$T$7:$T$20,MATCH($B12,Calcs!$A$7:$A$20,0)),"")</f>
        <v>Inactive</v>
      </c>
      <c r="U12">
        <f ca="1">IFERROR(ROUND(INDEX(Calcs!$R$7:$R$20,MATCH($B12,Calcs!$A$7:$A$20,0))+INDEX(Calcs!$U$7:$U$20,MATCH($B12,Calcs!$A$7:$A$20,0)),0),0)</f>
        <v>60</v>
      </c>
      <c r="V12" s="57">
        <f ca="1">IFERROR(ROUND(INDEX(Calcs!$S$7:$S$20,MATCH($B12,Calcs!$A$7:$A$20,0)),0),"")</f>
        <v>1028</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t="shared" ca="1" si="1"/>
        <v>0</v>
      </c>
      <c r="G13" s="56" t="str">
        <f t="shared" ca="1" si="2"/>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t="shared" ca="1" si="3"/>
        <v>273.68583699466535</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A</v>
      </c>
      <c r="C14" s="54">
        <f ca="1">IFERROR(INDEX(Calcs!$S$7:$S$20,MATCH($B14,Calcs!$A$7:$A$20,0)),"")</f>
        <v>970.50724028215677</v>
      </c>
      <c r="D14" s="55">
        <f ca="1">COUNTIF('Match Log'!$D$4:$D$1510,$B14)</f>
        <v>17</v>
      </c>
      <c r="E14" s="55">
        <f ca="1">COUNTIFS('Match Log'!$D$4:$D$1510,$B14,'Match Log'!$E$4:$E$1510,"Win")</f>
        <v>6</v>
      </c>
      <c r="F14" s="55">
        <f t="shared" ca="1" si="1"/>
        <v>11</v>
      </c>
      <c r="G14" s="56">
        <f t="shared" ca="1" si="2"/>
        <v>0.35294117647058826</v>
      </c>
      <c r="H14" s="57">
        <f ca="1">SUMIF('Match Log'!$D$4:$D$1510,$B14,'Match Log'!$J$4:$J$1510)</f>
        <v>-23.658438129506465</v>
      </c>
      <c r="I14" s="57">
        <f ca="1">SUMIF('Match Log'!$D$4:$D$1510,$B14,'Match Log'!$K$4:$K$1510)</f>
        <v>-2.8343215883365609</v>
      </c>
      <c r="J14" s="57">
        <f ca="1">SUMIF('Match Log'!$D$4:$D$1510,$B14,'Match Log'!$L$4:$L$1510)</f>
        <v>37</v>
      </c>
      <c r="K14" s="55">
        <f ca="1">SUMPRODUCT(--(COUNTIFS('Match Log'!$D$4:$D$1510,$B14,'Match Log'!$C$4:$C$1510,Lists!$C$2:$C$26)&gt;0))</f>
        <v>5</v>
      </c>
      <c r="L14" s="55" t="str">
        <f ca="1">IF($D14=0,"No games",IF(AND($D14&gt;='Guide &amp; Settings'!$C$45,$K14&gt;='Guide &amp; Settings'!$C$46),"Eligible","Provisional"))</f>
        <v>Eligible</v>
      </c>
      <c r="M14" s="54">
        <f ca="1">IFERROR(INDEX(Calcs!$C$7:$C$20,MATCH($B14,Calcs!$A$7:$A$20,0)),"")</f>
        <v>1125.2571603770632</v>
      </c>
      <c r="N14" s="54">
        <f t="shared" ca="1" si="3"/>
        <v>303.17859671250858</v>
      </c>
      <c r="O14" s="55" t="str">
        <f ca="1">IFERROR(INDEX(Calcs!$H$7:$H$20,MATCH($B14,Calcs!$A$7:$A$20,0)),"")</f>
        <v>L8</v>
      </c>
      <c r="P14" s="55" t="str">
        <f ca="1">IFERROR(INDEX(Calcs!$I$7:$I$20,MATCH($B14,Calcs!$A$7:$A$20,0)),"")</f>
        <v>LLLLL</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3 Oct</v>
      </c>
      <c r="S14" s="55">
        <f ca="1">IFERROR(ROUND(INDEX(Calcs!$Q$7:$Q$20,MATCH($B14,Calcs!$A$7:$A$20,0)),1),"")</f>
        <v>2.4</v>
      </c>
      <c r="T14" s="55" t="str">
        <f ca="1">IFERROR(INDEX(Calcs!$T$7:$T$20,MATCH($B14,Calcs!$A$7:$A$20,0)),"")</f>
        <v>At risk</v>
      </c>
      <c r="U14">
        <f ca="1">IFERROR(ROUND(INDEX(Calcs!$R$7:$R$20,MATCH($B14,Calcs!$A$7:$A$20,0))+INDEX(Calcs!$U$7:$U$20,MATCH($B14,Calcs!$A$7:$A$20,0)),0),0)</f>
        <v>40</v>
      </c>
      <c r="V14" s="57">
        <f ca="1">IFERROR(ROUND(INDEX(Calcs!$S$7:$S$20,MATCH($B14,Calcs!$A$7:$A$20,0)),0),"")</f>
        <v>971</v>
      </c>
      <c r="W14" s="55" t="str">
        <f ca="1">IFERROR(INDEX(Calcs!$AF$7:$AF$20,MATCH($B14,Calcs!$A$7:$A$20,0)),"")</f>
        <v>Mid</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949.07453636021216</v>
      </c>
      <c r="D15" s="55">
        <f ca="1">COUNTIF('Match Log'!$D$4:$D$1510,$B15)</f>
        <v>85</v>
      </c>
      <c r="E15" s="55">
        <f ca="1">COUNTIFS('Match Log'!$D$4:$D$1510,$B15,'Match Log'!$E$4:$E$1510,"Win")</f>
        <v>30</v>
      </c>
      <c r="F15" s="55">
        <f t="shared" ca="1" si="1"/>
        <v>55</v>
      </c>
      <c r="G15" s="56">
        <f t="shared" ca="1" si="2"/>
        <v>0.35294117647058826</v>
      </c>
      <c r="H15" s="57">
        <f ca="1">SUMIF('Match Log'!$D$4:$D$1510,$B15,'Match Log'!$J$4:$J$1510)</f>
        <v>-121.83463592870358</v>
      </c>
      <c r="I15" s="57">
        <f ca="1">SUMIF('Match Log'!$D$4:$D$1510,$B15,'Match Log'!$K$4:$K$1510)</f>
        <v>-49.090827711084415</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1189.6896765120323</v>
      </c>
      <c r="N15" s="54">
        <f t="shared" ca="1" si="3"/>
        <v>324.61130063445319</v>
      </c>
      <c r="O15" s="55" t="str">
        <f ca="1">IFERROR(INDEX(Calcs!$H$7:$H$20,MATCH($B15,Calcs!$A$7:$A$20,0)),"")</f>
        <v>L1</v>
      </c>
      <c r="P15" s="55" t="str">
        <f ca="1">IFERROR(INDEX(Calcs!$I$7:$I$20,MATCH($B15,Calcs!$A$7:$A$20,0)),"")</f>
        <v>LLWWL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8 Oct</v>
      </c>
      <c r="S15" s="55">
        <f ca="1">IFERROR(ROUND(INDEX(Calcs!$Q$7:$Q$20,MATCH($B15,Calcs!$A$7:$A$20,0)),1),"")</f>
        <v>1.7</v>
      </c>
      <c r="T15" s="55" t="str">
        <f ca="1">IFERROR(INDEX(Calcs!$T$7:$T$20,MATCH($B15,Calcs!$A$7:$A$20,0)),"")</f>
        <v>Active</v>
      </c>
      <c r="U15">
        <f ca="1">IFERROR(ROUND(INDEX(Calcs!$R$7:$R$20,MATCH($B15,Calcs!$A$7:$A$20,0))+INDEX(Calcs!$U$7:$U$20,MATCH($B15,Calcs!$A$7:$A$20,0)),0),0)</f>
        <v>0</v>
      </c>
      <c r="V15" s="57">
        <f ca="1">IFERROR(ROUND(INDEX(Calcs!$S$7:$S$20,MATCH($B15,Calcs!$A$7:$A$20,0)),0),"")</f>
        <v>949</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879.51759653351382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1092.9744669094741</v>
      </c>
      <c r="N16" s="54">
        <f t="shared" ca="1" si="3"/>
        <v>394.16824046115153</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18.100000000000001</v>
      </c>
      <c r="T16" s="55" t="str">
        <f ca="1">IFERROR(INDEX(Calcs!$T$7:$T$20,MATCH($B16,Calcs!$A$7:$A$20,0)),"")</f>
        <v>Inactive</v>
      </c>
      <c r="U16">
        <f ca="1">IFERROR(ROUND(INDEX(Calcs!$R$7:$R$20,MATCH($B16,Calcs!$A$7:$A$20,0))+INDEX(Calcs!$U$7:$U$20,MATCH($B16,Calcs!$A$7:$A$20,0)),0),0)</f>
        <v>150</v>
      </c>
      <c r="V16" s="57">
        <f ca="1">IFERROR(ROUND(INDEX(Calcs!$S$7:$S$20,MATCH($B16,Calcs!$A$7:$A$20,0)),0),"")</f>
        <v>880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837.03133644117429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1169.1601970458019</v>
      </c>
      <c r="N17" s="54">
        <f t="shared" ca="1" si="3"/>
        <v>436.65450055349106</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8.4</v>
      </c>
      <c r="T17" s="55" t="str">
        <f ca="1">IFERROR(INDEX(Calcs!$T$7:$T$20,MATCH($B17,Calcs!$A$7:$A$20,0)),"")</f>
        <v>Inactive</v>
      </c>
      <c r="U17">
        <f ca="1">IFERROR(ROUND(INDEX(Calcs!$R$7:$R$20,MATCH($B17,Calcs!$A$7:$A$20,0))+INDEX(Calcs!$U$7:$U$20,MATCH($B17,Calcs!$A$7:$A$20,0)),0),0)</f>
        <v>70</v>
      </c>
      <c r="V17" s="57">
        <f ca="1">IFERROR(ROUND(INDEX(Calcs!$S$7:$S$20,MATCH($B17,Calcs!$A$7:$A$20,0)),0),"")</f>
        <v>837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752.22294373677494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1125.7222668405234</v>
      </c>
      <c r="N18" s="54">
        <f t="shared" ca="1" si="3"/>
        <v>521.46289325789041</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13.3</v>
      </c>
      <c r="T18" s="55" t="str">
        <f ca="1">IFERROR(INDEX(Calcs!$T$7:$T$20,MATCH($B18,Calcs!$A$7:$A$20,0)),"")</f>
        <v>Inactive</v>
      </c>
      <c r="U18">
        <f ca="1">IFERROR(ROUND(INDEX(Calcs!$R$7:$R$20,MATCH($B18,Calcs!$A$7:$A$20,0))+INDEX(Calcs!$U$7:$U$20,MATCH($B18,Calcs!$A$7:$A$20,0)),0),0)</f>
        <v>110</v>
      </c>
      <c r="V18" s="57">
        <f ca="1">IFERROR(ROUND(INDEX(Calcs!$S$7:$S$20,MATCH($B18,Calcs!$A$7:$A$20,0)),0),"")</f>
        <v>752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1273.6858369946654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40–25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0.61538461538461542</v>
      </c>
      <c r="D9" s="63" t="s">
        <v>37</v>
      </c>
      <c r="E9" s="37">
        <f>COUNTIFS('Match Log'!$D$4:$D$1510,$B$3,'Match Log'!$C$4:$C$1510,$D9)</f>
        <v>5</v>
      </c>
      <c r="F9" s="37">
        <f>COUNTIFS('Match Log'!$D$4:$D$1510,$B$3,'Match Log'!$C$4:$C$1510,$D9,'Match Log'!$E$4:$E$1510,"Win")</f>
        <v>3</v>
      </c>
      <c r="G9" s="64">
        <f t="shared" si="0"/>
        <v>0.6</v>
      </c>
      <c r="H9" s="65">
        <f>IFERROR(IF($E9=0,"",INDEX('Sport Records'!$B$106:$O$130,MATCH($D9,'Sport Records'!$A$106:$A$130,0),MATCH($B$3,'Sport Records'!$B$105:$O$105,0))),"")</f>
        <v>1016.8703665756711</v>
      </c>
    </row>
    <row r="10" spans="1:8" ht="15" customHeight="1" x14ac:dyDescent="0.2">
      <c r="A10" s="61" t="s">
        <v>10</v>
      </c>
      <c r="B10" s="62">
        <f ca="1">IFERROR(INDEX(Dashboard!$D$5:$D$18,MATCH($B$3,Dashboard!$B$5:$B$18,0)),"")</f>
        <v>65</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1149.7927299128914</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W6</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8 Oct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91</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62</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87</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9" t="s">
        <v>290</v>
      </c>
      <c r="B2" s="146"/>
      <c r="C2" s="146"/>
      <c r="D2" s="146"/>
      <c r="E2" s="146"/>
      <c r="F2" s="146"/>
      <c r="G2" s="146"/>
      <c r="H2" s="146"/>
      <c r="I2" s="146"/>
      <c r="J2" s="146"/>
      <c r="K2" s="146"/>
      <c r="L2" s="146"/>
      <c r="M2" s="146"/>
      <c r="N2" s="146"/>
      <c r="O2" s="146"/>
    </row>
    <row r="3" spans="1:15" ht="37.5" customHeight="1" x14ac:dyDescent="0.2">
      <c r="A3" s="157" t="s">
        <v>291</v>
      </c>
      <c r="B3" s="158"/>
      <c r="C3" s="158"/>
      <c r="D3" s="158"/>
      <c r="E3" s="158"/>
      <c r="F3" s="158"/>
      <c r="G3" s="158"/>
      <c r="H3" s="158"/>
      <c r="I3" s="158"/>
      <c r="J3" s="158"/>
      <c r="K3" s="158"/>
      <c r="L3" s="158"/>
      <c r="M3" s="158"/>
      <c r="N3" s="158"/>
      <c r="O3" s="158"/>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52% of 27</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64% of 33</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54% of 35</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48% of 27</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36% of 33</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46% of 35</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38</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34</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49</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38</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34</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49</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2"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320</v>
      </c>
    </row>
    <row r="4" spans="1:18" ht="18.75" customHeight="1" x14ac:dyDescent="0.2">
      <c r="A4" s="43" t="s">
        <v>298</v>
      </c>
      <c r="C4" s="161" t="str">
        <f ca="1">INDEX($A$89:$A$102,MATCH(MAX($S$89:$S$102),$S$89:$S$102,0))</f>
        <v>Josh</v>
      </c>
      <c r="D4" s="146"/>
      <c r="E4" s="146"/>
      <c r="F4" s="146"/>
      <c r="G4" s="146"/>
    </row>
    <row r="6" spans="1:18" ht="15" customHeight="1" x14ac:dyDescent="0.2">
      <c r="A6" s="160"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5</v>
      </c>
      <c r="G12" s="83">
        <f>COUNTIFS('Match Log'!$D$4:$D$1510,G$7,'Match Log'!$C$4:$C$1510,$A12)</f>
        <v>1</v>
      </c>
      <c r="H12" s="83">
        <f>COUNTIFS('Match Log'!$D$4:$D$1510,H$7,'Match Log'!$C$4:$C$1510,$A12)</f>
        <v>2</v>
      </c>
      <c r="I12" s="83">
        <f>COUNTIFS('Match Log'!$D$4:$D$1510,I$7,'Match Log'!$C$4:$C$1510,$A12)</f>
        <v>12</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26</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16</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23</v>
      </c>
      <c r="Q21" s="85" t="str">
        <f t="shared" si="0"/>
        <v>Oscar</v>
      </c>
      <c r="R21" s="84">
        <f t="shared" si="1"/>
        <v>9</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0"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3</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1</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0"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0.6</v>
      </c>
      <c r="G66" s="86">
        <f t="shared" si="6"/>
        <v>1</v>
      </c>
      <c r="H66" s="86">
        <f t="shared" si="6"/>
        <v>1</v>
      </c>
      <c r="I66" s="86">
        <f t="shared" si="6"/>
        <v>0.41666666666666669</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6.25E-2</v>
      </c>
      <c r="H75" s="86">
        <f t="shared" si="15"/>
        <v>0</v>
      </c>
      <c r="I75" s="86">
        <f t="shared" si="15"/>
        <v>0.42857142857142855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0"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65</v>
      </c>
      <c r="C90" s="83">
        <f>SUMPRODUCT(--(COUNTIFS('Match Log'!$D$4:$D$1510,$A90,'Match Log'!$C$4:$C$1510,Lists!$C$2:$C$26)&gt;0))</f>
        <v>15</v>
      </c>
      <c r="D90" s="83">
        <f>COUNTIFS('Match Log'!$D$4:$D$1510,$A90,'Match Log'!$E$4:$E$1510,"Win")</f>
        <v>40</v>
      </c>
      <c r="E90" s="86">
        <f t="shared" si="27"/>
        <v>0.61538461538461542</v>
      </c>
      <c r="F90" s="88">
        <f ca="1">IFERROR(INDEX(Calcs!$S$7:$S$20,MATCH($A90,Calcs!$A$7:$A$20,0)),"")</f>
        <v>1273.6858369946654</v>
      </c>
      <c r="G90" s="83" t="str">
        <f>IF($B90=0,"No games",IF(AND($B90&gt;='Guide &amp; Settings'!$C$45,$C90&gt;='Guide &amp; Settings'!$C$46),"Eligible","Provisional"))</f>
        <v>Eligible</v>
      </c>
      <c r="S90" s="89">
        <f ca="1">IF($G90="Eligible",IF(IFERROR(INDEX(Calcs!$T$7:$T$20,MATCH($A90,Calcs!$A$7:$A$20,0)),"")="Inactive",-1,$F90),-1)</f>
        <v>1273.6858369946654</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1180.4461816871431</v>
      </c>
      <c r="G91" s="83" t="str">
        <f>IF($B91=0,"No games",IF(AND($B91&gt;='Guide &amp; Settings'!$C$45,$C91&gt;='Guide &amp; Settings'!$C$46),"Eligible","Provisional"))</f>
        <v>Eligible</v>
      </c>
      <c r="S91" s="89">
        <f ca="1">IF($G91="Eligible",IF(IFERROR(INDEX(Calcs!$T$7:$T$20,MATCH($A91,Calcs!$A$7:$A$20,0)),"")="Inactive",-1,$F91),-1)</f>
        <v>-1</v>
      </c>
    </row>
    <row r="92" spans="1:19" ht="15" customHeight="1" x14ac:dyDescent="0.2">
      <c r="A92" s="82" t="s">
        <v>25</v>
      </c>
      <c r="B92" s="83">
        <f>COUNTIF('Match Log'!$D$4:$D$1510,$A92)</f>
        <v>85</v>
      </c>
      <c r="C92" s="83">
        <f>SUMPRODUCT(--(COUNTIFS('Match Log'!$D$4:$D$1510,$A92,'Match Log'!$C$4:$C$1510,Lists!$C$2:$C$26)&gt;0))</f>
        <v>14</v>
      </c>
      <c r="D92" s="83">
        <f>COUNTIFS('Match Log'!$D$4:$D$1510,$A92,'Match Log'!$E$4:$E$1510,"Win")</f>
        <v>30</v>
      </c>
      <c r="E92" s="86">
        <f t="shared" si="27"/>
        <v>0.35294117647058826</v>
      </c>
      <c r="F92" s="88">
        <f ca="1">IFERROR(INDEX(Calcs!$S$7:$S$20,MATCH($A92,Calcs!$A$7:$A$20,0)),"")</f>
        <v>949.07453636021216</v>
      </c>
      <c r="G92" s="83" t="str">
        <f>IF($B92=0,"No games",IF(AND($B92&gt;='Guide &amp; Settings'!$C$45,$C92&gt;='Guide &amp; Settings'!$C$46),"Eligible","Provisional"))</f>
        <v>Eligible</v>
      </c>
      <c r="S92" s="89">
        <f ca="1">IF($G92="Eligible",IF(IFERROR(INDEX(Calcs!$T$7:$T$20,MATCH($A92,Calcs!$A$7:$A$20,0)),"")="Inactive",-1,$F92),-1)</f>
        <v>949.07453636021216</v>
      </c>
    </row>
    <row r="93" spans="1:19" ht="15" customHeight="1" x14ac:dyDescent="0.2">
      <c r="A93" s="82" t="s">
        <v>22</v>
      </c>
      <c r="B93" s="83">
        <f>COUNTIF('Match Log'!$D$4:$D$1510,$A93)</f>
        <v>159</v>
      </c>
      <c r="C93" s="83">
        <f>SUMPRODUCT(--(COUNTIFS('Match Log'!$D$4:$D$1510,$A93,'Match Log'!$C$4:$C$1510,Lists!$C$2:$C$26)&gt;0))</f>
        <v>20</v>
      </c>
      <c r="D93" s="83">
        <f>COUNTIFS('Match Log'!$D$4:$D$1510,$A93,'Match Log'!$E$4:$E$1510,"Win")</f>
        <v>68</v>
      </c>
      <c r="E93" s="86">
        <f t="shared" si="27"/>
        <v>0.42767295597484278</v>
      </c>
      <c r="F93" s="88">
        <f ca="1">IFERROR(INDEX(Calcs!$S$7:$S$20,MATCH($A93,Calcs!$A$7:$A$20,0)),"")</f>
        <v>1189.5639027540672</v>
      </c>
      <c r="G93" s="83" t="str">
        <f>IF($B93=0,"No games",IF(AND($B93&gt;='Guide &amp; Settings'!$C$45,$C93&gt;='Guide &amp; Settings'!$C$46),"Eligible","Provisional"))</f>
        <v>Eligible</v>
      </c>
      <c r="S93" s="89">
        <f ca="1">IF($G93="Eligible",IF(IFERROR(INDEX(Calcs!$T$7:$T$20,MATCH($A93,Calcs!$A$7:$A$20,0)),"")="Inactive",-1,$F93),-1)</f>
        <v>1189.5639027540672</v>
      </c>
    </row>
    <row r="94" spans="1:19" ht="15" customHeight="1" x14ac:dyDescent="0.2">
      <c r="A94" s="82" t="s">
        <v>15</v>
      </c>
      <c r="B94" s="83">
        <f>COUNTIF('Match Log'!$D$4:$D$1510,$A94)</f>
        <v>91</v>
      </c>
      <c r="C94" s="83">
        <f>SUMPRODUCT(--(COUNTIFS('Match Log'!$D$4:$D$1510,$A94,'Match Log'!$C$4:$C$1510,Lists!$C$2:$C$26)&gt;0))</f>
        <v>14</v>
      </c>
      <c r="D94" s="83">
        <f>COUNTIFS('Match Log'!$D$4:$D$1510,$A94,'Match Log'!$E$4:$E$1510,"Win")</f>
        <v>42</v>
      </c>
      <c r="E94" s="86">
        <f t="shared" si="27"/>
        <v>0.46153846153846156</v>
      </c>
      <c r="F94" s="88">
        <f ca="1">IFERROR(INDEX(Calcs!$S$7:$S$20,MATCH($A94,Calcs!$A$7:$A$20,0)),"")</f>
        <v>1188.5766156390553</v>
      </c>
      <c r="G94" s="83" t="str">
        <f>IF($B94=0,"No games",IF(AND($B94&gt;='Guide &amp; Settings'!$C$45,$C94&gt;='Guide &amp; Settings'!$C$46),"Eligible","Provisional"))</f>
        <v>Eligible</v>
      </c>
      <c r="S94" s="89">
        <f ca="1">IF($G94="Eligible",IF(IFERROR(INDEX(Calcs!$T$7:$T$20,MATCH($A94,Calcs!$A$7:$A$20,0)),"")="Inactive",-1,$F94),-1)</f>
        <v>1188.5766156390553</v>
      </c>
    </row>
    <row r="95" spans="1:19" ht="15" customHeight="1" x14ac:dyDescent="0.2">
      <c r="A95" s="82" t="s">
        <v>20</v>
      </c>
      <c r="B95" s="83">
        <f>COUNTIF('Match Log'!$D$4:$D$1510,$A95)</f>
        <v>170</v>
      </c>
      <c r="C95" s="83">
        <f>SUMPRODUCT(--(COUNTIFS('Match Log'!$D$4:$D$1510,$A95,'Match Log'!$C$4:$C$1510,Lists!$C$2:$C$26)&gt;0))</f>
        <v>19</v>
      </c>
      <c r="D95" s="83">
        <f>COUNTIFS('Match Log'!$D$4:$D$1510,$A95,'Match Log'!$E$4:$E$1510,"Win")</f>
        <v>80</v>
      </c>
      <c r="E95" s="86">
        <f t="shared" si="27"/>
        <v>0.47058823529411764</v>
      </c>
      <c r="F95" s="88">
        <f ca="1">IFERROR(INDEX(Calcs!$S$7:$S$20,MATCH($A95,Calcs!$A$7:$A$20,0)),"")</f>
        <v>1236.8472700779639</v>
      </c>
      <c r="G95" s="83" t="str">
        <f>IF($B95=0,"No games",IF(AND($B95&gt;='Guide &amp; Settings'!$C$45,$C95&gt;='Guide &amp; Settings'!$C$46),"Eligible","Provisional"))</f>
        <v>Eligible</v>
      </c>
      <c r="S95" s="89">
        <f ca="1">IF($G95="Eligible",IF(IFERROR(INDEX(Calcs!$T$7:$T$20,MATCH($A95,Calcs!$A$7:$A$20,0)),"")="Inactive",-1,$F95),-1)</f>
        <v>1236.8472700779639</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879.51759653351382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1027.5488947064855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837.03133644117429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752.22294373677494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0"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1016.8703665756711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972.65946434071009</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3"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170</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57 games</v>
      </c>
      <c r="C23" s="37" t="str">
        <f>INDEX('Sport Records'!$A$8:$A$32,MATCH(MAX('Sport Records'!$P$8:$P$32),'Sport Records'!$P$8:$P$32,0))</f>
        <v>Mario Golf</v>
      </c>
      <c r="D23" s="37" t="s">
        <v>326</v>
      </c>
      <c r="E23" s="37" t="s">
        <v>326</v>
      </c>
      <c r="F23" s="37" t="s">
        <v>329</v>
      </c>
    </row>
    <row r="24" spans="1:8" ht="15" customHeight="1" x14ac:dyDescent="0.2">
      <c r="A24" s="93" t="s">
        <v>330</v>
      </c>
      <c r="B24" s="40" t="str">
        <f>MAX(Calcs!$O$7:$O$20)&amp;" wins"</f>
        <v>6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37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6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Aaron is surging — up 1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170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Daniel (Ferret) rules Mario Golf — the family's most-played game with 57 contests.</v>
      </c>
      <c r="B11" s="97"/>
      <c r="C11" s="97"/>
      <c r="D11" s="102"/>
      <c r="E11" s="103"/>
      <c r="F11" s="97"/>
    </row>
    <row r="12" spans="1:6" ht="15" customHeight="1" x14ac:dyDescent="0.2">
      <c r="A12" s="98" t="str">
        <f>"🎲  "&amp;MAX('Match Log'!$A$4:$A$1510)&amp;" games played across "&amp;COUNTIF('Sport Records'!$P$8:$P$32,"&gt;0")&amp;" different sports — and counting."</f>
        <v>🎲  320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1274</v>
      </c>
      <c r="D17" s="109" t="str">
        <f>"leader"</f>
        <v>leader</v>
      </c>
      <c r="E17" s="105"/>
      <c r="F17" s="27"/>
    </row>
    <row r="18" spans="1:6" ht="15" customHeight="1" x14ac:dyDescent="0.2">
      <c r="A18" s="110">
        <v>2</v>
      </c>
      <c r="B18" s="62" t="str">
        <f ca="1">Dashboard!$B$6</f>
        <v>Shawn</v>
      </c>
      <c r="C18" s="144">
        <f ca="1">ROUND(Dashboard!$C$6,0)</f>
        <v>1237</v>
      </c>
      <c r="D18" s="111" t="str">
        <f ca="1">ROUND(Dashboard!$C$5-Dashboard!$C$6,0)&amp;" behind"</f>
        <v>37 behind</v>
      </c>
      <c r="E18" s="105"/>
      <c r="F18" s="27"/>
    </row>
    <row r="19" spans="1:6" ht="15" customHeight="1" x14ac:dyDescent="0.2">
      <c r="A19" s="110">
        <v>3</v>
      </c>
      <c r="B19" s="62" t="str">
        <f ca="1">Dashboard!$B$7</f>
        <v>Daniel (Ferret)</v>
      </c>
      <c r="C19" s="144">
        <f ca="1">ROUND(Dashboard!$C$7,0)</f>
        <v>1190</v>
      </c>
      <c r="D19" s="111" t="str">
        <f ca="1">ROUND(Dashboard!$C$5-Dashboard!$C$7,0)&amp;" behind"</f>
        <v>84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W</v>
      </c>
      <c r="D40" s="113" t="str">
        <f>IFERROR(IF(INDEX('Match Log'!$E$1:$E$1510,_xlfn.AGGREGATE(14,6,ROW('Match Log'!$A$4:$A$1510)/('Match Log'!$D$4:$D$1510=$A40),8))="Win","W","L"),"")</f>
        <v>W</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W</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W</v>
      </c>
      <c r="I45" s="113" t="str">
        <f>IFERROR(IF(INDEX('Match Log'!$E$1:$E$1510,_xlfn.AGGREGATE(14,6,ROW('Match Log'!$A$4:$A$1510)/('Match Log'!$D$4:$D$1510=$A45),3))="Win","W","L"),"")</f>
        <v>W</v>
      </c>
      <c r="J45" s="113" t="str">
        <f>IFERROR(IF(INDEX('Match Log'!$E$1:$E$1510,_xlfn.AGGREGATE(14,6,ROW('Match Log'!$A$4:$A$1510)/('Match Log'!$D$4:$D$1510=$A45),2))="Win","W","L"),"")</f>
        <v>L</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W</v>
      </c>
      <c r="J50" s="113" t="str">
        <f>IFERROR(IF(INDEX('Match Log'!$E$1:$E$1510,_xlfn.AGGREGATE(14,6,ROW('Match Log'!$A$4:$A$1510)/('Match Log'!$D$4:$D$1510=$A50),2))="Win","W","L"),"")</f>
        <v>W</v>
      </c>
      <c r="K50" s="113" t="str">
        <f>IFERROR(IF(INDEX('Match Log'!$E$1:$E$1510,_xlfn.AGGREGATE(14,6,ROW('Match Log'!$A$4:$A$1510)/('Match Log'!$D$4:$D$1510=$A50),1))="Win","W","L"),"")</f>
        <v>L</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0.6</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0.41666666666666669</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zoomScale="118" zoomScaleNormal="118" workbookViewId="0">
      <pane xSplit="5" ySplit="3" topLeftCell="F719"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4" t="s">
        <v>346</v>
      </c>
      <c r="B1" s="146"/>
      <c r="C1" s="146"/>
      <c r="D1" s="146"/>
      <c r="E1" s="146"/>
      <c r="F1" s="146"/>
      <c r="G1" s="146"/>
      <c r="H1" s="146"/>
      <c r="I1" s="146"/>
      <c r="J1" s="146"/>
      <c r="K1" s="146"/>
      <c r="L1" s="146"/>
      <c r="M1" s="146"/>
      <c r="N1" s="146"/>
      <c r="O1" s="146"/>
    </row>
    <row r="2" spans="1:32" ht="15" customHeight="1" x14ac:dyDescent="0.2">
      <c r="A2" s="165"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2"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2" t="s">
        <v>377</v>
      </c>
      <c r="I3" s="146"/>
      <c r="J3" s="146"/>
      <c r="K3" s="146"/>
      <c r="L3" s="146"/>
      <c r="M3" s="146"/>
      <c r="N3" s="146"/>
      <c r="O3" s="146"/>
      <c r="P3" s="146"/>
      <c r="Q3" s="146"/>
      <c r="R3" s="146"/>
    </row>
    <row r="5" spans="1:18" ht="15" customHeight="1" x14ac:dyDescent="0.2">
      <c r="A5" s="160"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0"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46296</v>
      </c>
    </row>
    <row r="4" spans="1:41" ht="15" customHeight="1" x14ac:dyDescent="0.2">
      <c r="A4" t="s">
        <v>416</v>
      </c>
      <c r="B4" s="138">
        <f>MAX('Match Log'!$B$4:$B$1510)</f>
        <v>46303</v>
      </c>
      <c r="C4" t="s">
        <v>417</v>
      </c>
      <c r="D4" s="138">
        <f ca="1">MAX($B$4,TODAY())</f>
        <v>46315</v>
      </c>
    </row>
    <row r="5" spans="1:41" x14ac:dyDescent="0.2">
      <c r="B5" s="137">
        <f ca="1">TODAY()-7</f>
        <v>46308</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1209.6766156390552</v>
      </c>
      <c r="C7">
        <f>IFERROR(INDEX(Engine!$C$2:$C$15,MATCH($A7,Engine!$A$2:$A$15,0)),"")</f>
        <v>1168.7373459669402</v>
      </c>
      <c r="D7">
        <f t="shared" ref="D7:D20" si="0">RANK($B7,$B$7:$B$20)</f>
        <v>5</v>
      </c>
      <c r="E7">
        <f t="shared" ref="E7:E20" si="1">MAX($B$7:$B$20)-$B7</f>
        <v>42.25922135561018</v>
      </c>
      <c r="F7" t="str">
        <f>IFERROR(LOOKUP(2,1/('Match Log'!$D$4:$D$1510=$A7),'Match Log'!$E$4:$E$1510),"")</f>
        <v>Loss</v>
      </c>
      <c r="G7">
        <f>IF($F7="",0,SUMPRODUCT(('Match Log'!$D$4:$D$1510=$A7)*(ROW('Match Log'!$A$4:$A$1510)&gt;SUMPRODUCT(MAX(('Match Log'!$D$4:$D$1510=$A7)*('Match Log'!$E$4:$E$1510&lt;&gt;$F7)*ROW('Match Log'!$A$4:$A$1510))))))</f>
        <v>7</v>
      </c>
      <c r="H7" t="str">
        <f t="shared" ref="H7:H20" si="2">IF($G7=0,"",LEFT($F7,1)&amp;$G7)</f>
        <v>L7</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1188.5766163390554</v>
      </c>
      <c r="K7">
        <f t="shared" ref="K7:K20" ca="1" si="4">RANK($J7,$J$7:$J$20)</f>
        <v>5</v>
      </c>
      <c r="L7">
        <f t="shared" ref="L7:L20" ca="1" si="5">$K7-RANK($AI7,$AI$7:$AI$20)</f>
        <v>1</v>
      </c>
      <c r="M7">
        <f t="shared" ref="M7:M20" si="6">SUMPRODUCT(($D$25:$D$724=$A7)*($G$25:$G$724&gt;0.25)*($D$25:$D$724&lt;&gt;""))</f>
        <v>7</v>
      </c>
      <c r="N7">
        <f t="shared" ref="N7:N20" si="7">LEN($I7)-LEN(SUBSTITUTE($I7,"W",""))</f>
        <v>0</v>
      </c>
      <c r="O7">
        <f t="shared" ref="O7:O20" si="8">IF($F7="Win",$G7,0)</f>
        <v>0</v>
      </c>
      <c r="P7">
        <f>IFERROR(SUMPRODUCT(MAX(('Match Log'!$D$4:$D$1510=$A7)*'Match Log'!$B$4:$B$1510)),0)</f>
        <v>46297</v>
      </c>
      <c r="Q7">
        <f t="shared" ref="Q7:Q20" ca="1" si="9">IF($P7=0,"",($D$4-$P7)/7)</f>
        <v>2.5714285714285716</v>
      </c>
      <c r="R7">
        <f ca="1">IF($P7=0,0,IF($Q7&gt;='Guide &amp; Settings'!$C$48,(INT($Q7-'Guide &amp; Settings'!$C$48)+1)*'Guide &amp; Settings'!$C$49,0))</f>
        <v>0</v>
      </c>
      <c r="S7">
        <f ca="1">$B7-$R7-$U7+SUMIF('Poker Stake Ledger'!$C$18:$C$137,$A7,'Poker Stake Ledger'!$K$18:$K$137)</f>
        <v>1188.5766156390553</v>
      </c>
      <c r="T7" t="str">
        <f ca="1">IF($P7=0,"No games",IF($Q7&gt;='Guide &amp; Settings'!$C$48,"Inactive",IF($Q7&gt;='Guide &amp; Settings'!$C$47,"At risk","Active")))</f>
        <v>At risk</v>
      </c>
      <c r="U7">
        <f>SUMIF('Match Log'!$D$4:$D$1510,$A7,'Match Log'!$AC$4:$AC$1510)</f>
        <v>10</v>
      </c>
      <c r="V7">
        <f t="shared" ref="V7:V20" si="10">IF($F7="Loss",$G7,0)</f>
        <v>7</v>
      </c>
      <c r="W7">
        <f t="shared" ref="W7:W20" ca="1" si="11">MAX(0,MIN(100,50+($S7-1000)/4))</f>
        <v>97.144153909763816</v>
      </c>
      <c r="X7">
        <f ca="1">IFERROR(INDEX(Dashboard!$G$5:$G$18,MATCH($A7,Dashboard!$B$5:$B$18,0))*100,0)</f>
        <v>46.153846153846153</v>
      </c>
      <c r="Y7">
        <f ca="1">MIN(100,IFERROR(INDEX(Dashboard!$K$5:$K$18,MATCH($A7,Dashboard!$B$5:$B$18,0)),0)/5*50+$AC7/4*50)</f>
        <v>100</v>
      </c>
      <c r="Z7">
        <f t="shared" ref="Z7:Z20" si="12">IFERROR($N7/LEN($I7)*100,0)</f>
        <v>0</v>
      </c>
      <c r="AA7">
        <f t="shared" ref="AA7:AA20" si="13">IF($C7="",0,MAX(0,MIN(100,50+($C7-1000)/4)))</f>
        <v>92.184336491735053</v>
      </c>
      <c r="AB7">
        <f t="shared" ref="AB7:AB20" ca="1" si="14">0.35*$W7+0.2*$X7+0.2*$Y7+0.15*$Z7+0.1*$AA7</f>
        <v>72.44965674836007</v>
      </c>
      <c r="AC7">
        <f>IFERROR(SUMPRODUCT((INDEX('Sport Records'!$B$8:$O$32,0,MATCH($A7,'Sport Records'!$B$7:$O$7,0))&gt;=2)*(INDEX('Sport Records'!$B$62:$O$86,0,MATCH($A7,'Sport Records'!$B$61:$O$61,0))&gt;=0.5)),0)</f>
        <v>4</v>
      </c>
      <c r="AD7">
        <f ca="1">IFERROR(INDEX(Dashboard!$D$5:$D$18,MATCH($A7,Dashboard!$B$5:$B$18,0)),0)</f>
        <v>91</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0</v>
      </c>
      <c r="AH7">
        <f ca="1">COUNTIFS('Match Log'!$D$4:$D$1510,$A7,'Match Log'!$B$4:$B$1510,"&gt;="&amp;$B$5,'Match Log'!$E$4:$E$1510,"Win")</f>
        <v>0</v>
      </c>
      <c r="AI7">
        <f t="shared" ref="AI7:AI20" ca="1" si="16">IF(ISNUMBER($S7),$S7,-1000000)+ROW()/10000000</f>
        <v>1188.5766163390554</v>
      </c>
      <c r="AK7">
        <f ca="1">_xlfn.MAXIFS('Match Log'!$B$4:$B$1510,'Match Log'!$D$4:$D$1510,$A7,'Match Log'!$B$4:$B$1510,"&lt;="&amp;($D$4-7))</f>
        <v>46297</v>
      </c>
      <c r="AL7">
        <f ca="1">IFERROR(LOOKUP(2,1/(('Match Log'!$D$4:$D$1510=$A7)*('Match Log'!$B$4:$B$1510&lt;=$D$4-7)),'Match Log'!$N$4:$N$1510),1000)</f>
        <v>1209.6766156390552</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1092.9744669094741</v>
      </c>
      <c r="D8">
        <f t="shared" si="0"/>
        <v>9</v>
      </c>
      <c r="E8">
        <f t="shared" si="1"/>
        <v>222.41824046115153</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889.51759733351378</v>
      </c>
      <c r="K8">
        <f t="shared" ca="1" si="4"/>
        <v>12</v>
      </c>
      <c r="L8">
        <f t="shared" ca="1" si="5"/>
        <v>0</v>
      </c>
      <c r="M8">
        <f t="shared" si="6"/>
        <v>0</v>
      </c>
      <c r="N8">
        <f t="shared" si="7"/>
        <v>2</v>
      </c>
      <c r="O8">
        <f t="shared" si="8"/>
        <v>0</v>
      </c>
      <c r="P8">
        <f>IFERROR(SUMPRODUCT(MAX(('Match Log'!$D$4:$D$1510=$A8)*'Match Log'!$B$4:$B$1510)),0)</f>
        <v>46188</v>
      </c>
      <c r="Q8">
        <f t="shared" ca="1" si="9"/>
        <v>18.142857142857142</v>
      </c>
      <c r="R8">
        <f ca="1">IF($P8=0,0,IF($Q8&gt;='Guide &amp; Settings'!$C$48,(INT($Q8-'Guide &amp; Settings'!$C$48)+1)*'Guide &amp; Settings'!$C$49,0))</f>
        <v>150</v>
      </c>
      <c r="S8">
        <f ca="1">$B8-$R8-$U8+SUMIF('Poker Stake Ledger'!$C$18:$C$137,$A8,'Poker Stake Ledger'!$K$18:$K$137)</f>
        <v>879.51759653351382</v>
      </c>
      <c r="T8" t="str">
        <f ca="1">IF($P8=0,"No games",IF($Q8&gt;='Guide &amp; Settings'!$C$48,"Inactive",IF($Q8&gt;='Guide &amp; Settings'!$C$47,"At risk","Active")))</f>
        <v>Inactive</v>
      </c>
      <c r="U8">
        <f>SUMIF('Match Log'!$D$4:$D$1510,$A8,'Match Log'!$AC$4:$AC$1510)</f>
        <v>0</v>
      </c>
      <c r="V8">
        <f t="shared" si="10"/>
        <v>2</v>
      </c>
      <c r="W8">
        <f t="shared" ca="1" si="11"/>
        <v>19.879399133378456</v>
      </c>
      <c r="X8">
        <f ca="1">IFERROR(INDEX(Dashboard!$G$5:$G$18,MATCH($A8,Dashboard!$B$5:$B$18,0))*100,0)</f>
        <v>50</v>
      </c>
      <c r="Y8">
        <f ca="1">MIN(100,IFERROR(INDEX(Dashboard!$K$5:$K$18,MATCH($A8,Dashboard!$B$5:$B$18,0)),0)/5*50+$AC8/4*50)</f>
        <v>42.5</v>
      </c>
      <c r="Z8">
        <f t="shared" si="12"/>
        <v>40</v>
      </c>
      <c r="AA8">
        <f t="shared" si="13"/>
        <v>73.243616727368533</v>
      </c>
      <c r="AB8">
        <f t="shared" ca="1" si="14"/>
        <v>38.782151369419317</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879.51759733351378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140</v>
      </c>
    </row>
    <row r="9" spans="1:41" ht="15" customHeight="1" x14ac:dyDescent="0.2">
      <c r="A9" t="s">
        <v>17</v>
      </c>
      <c r="B9">
        <f>IFERROR(INDEX(Engine!$B$2:$B$15,MATCH($A9,Engine!$A$2:$A$15,0)),1000)</f>
        <v>1048.0761030598392</v>
      </c>
      <c r="C9">
        <f>IFERROR(INDEX(Engine!$C$2:$C$15,MATCH($A9,Engine!$A$2:$A$15,0)),"")</f>
        <v>1162.1179015942173</v>
      </c>
      <c r="D9">
        <f t="shared" si="0"/>
        <v>8</v>
      </c>
      <c r="E9">
        <f t="shared" si="1"/>
        <v>203.85973393482618</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8</v>
      </c>
      <c r="L9">
        <f t="shared" ca="1" si="5"/>
        <v>1</v>
      </c>
      <c r="M9">
        <f t="shared" si="6"/>
        <v>0</v>
      </c>
      <c r="N9">
        <f t="shared" si="7"/>
        <v>1</v>
      </c>
      <c r="O9">
        <f t="shared" si="8"/>
        <v>0</v>
      </c>
      <c r="P9">
        <f>IFERROR(SUMPRODUCT(MAX(('Match Log'!$D$4:$D$1510=$A9)*'Match Log'!$B$4:$B$1510)),0)</f>
        <v>46297</v>
      </c>
      <c r="Q9">
        <f t="shared" ca="1" si="9"/>
        <v>2.5714285714285716</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At risk</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90.529475398554325</v>
      </c>
      <c r="AB9">
        <f t="shared" ca="1" si="14"/>
        <v>59.835693514113096</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1028.0761039598392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1169.1601970458019</v>
      </c>
      <c r="D10">
        <f t="shared" si="0"/>
        <v>13</v>
      </c>
      <c r="E10">
        <f t="shared" si="1"/>
        <v>344.90450055349106</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847.03133744117429</v>
      </c>
      <c r="K10">
        <f t="shared" ca="1" si="4"/>
        <v>13</v>
      </c>
      <c r="L10">
        <f t="shared" ca="1" si="5"/>
        <v>0</v>
      </c>
      <c r="M10">
        <f t="shared" si="6"/>
        <v>0</v>
      </c>
      <c r="N10">
        <f t="shared" si="7"/>
        <v>0</v>
      </c>
      <c r="O10">
        <f t="shared" si="8"/>
        <v>0</v>
      </c>
      <c r="P10">
        <f>IFERROR(SUMPRODUCT(MAX(('Match Log'!$D$4:$D$1510=$A10)*'Match Log'!$B$4:$B$1510)),0)</f>
        <v>46256</v>
      </c>
      <c r="Q10">
        <f t="shared" ca="1" si="9"/>
        <v>8.4285714285714288</v>
      </c>
      <c r="R10">
        <f ca="1">IF($P10=0,0,IF($Q10&gt;='Guide &amp; Settings'!$C$48,(INT($Q10-'Guide &amp; Settings'!$C$48)+1)*'Guide &amp; Settings'!$C$49,0))</f>
        <v>50</v>
      </c>
      <c r="S10">
        <f ca="1">$B10-$R10-$U10+SUMIF('Poker Stake Ledger'!$C$18:$C$137,$A10,'Poker Stake Ledger'!$K$18:$K$137)</f>
        <v>837.03133644117429</v>
      </c>
      <c r="T10" t="str">
        <f ca="1">IF($P10=0,"No games",IF($Q10&gt;='Guide &amp; Settings'!$C$48,"Inactive",IF($Q10&gt;='Guide &amp; Settings'!$C$47,"At risk","Active")))</f>
        <v>Inactive</v>
      </c>
      <c r="U10">
        <f>SUMIF('Match Log'!$D$4:$D$1510,$A10,'Match Log'!$AC$4:$AC$1510)</f>
        <v>20</v>
      </c>
      <c r="V10">
        <f t="shared" si="10"/>
        <v>5</v>
      </c>
      <c r="W10">
        <f t="shared" ca="1" si="11"/>
        <v>9.2578341102935724</v>
      </c>
      <c r="X10">
        <f ca="1">IFERROR(INDEX(Dashboard!$G$5:$G$18,MATCH($A10,Dashboard!$B$5:$B$18,0))*100,0)</f>
        <v>21.739130434782609</v>
      </c>
      <c r="Y10">
        <f ca="1">MIN(100,IFERROR(INDEX(Dashboard!$K$5:$K$18,MATCH($A10,Dashboard!$B$5:$B$18,0)),0)/5*50+$AC10/4*50)</f>
        <v>60</v>
      </c>
      <c r="Z10">
        <f t="shared" si="12"/>
        <v>0</v>
      </c>
      <c r="AA10">
        <f t="shared" si="13"/>
        <v>92.290049261450463</v>
      </c>
      <c r="AB10">
        <f t="shared" ca="1" si="14"/>
        <v>28.817072951704318</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837.03133744117429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40</v>
      </c>
    </row>
    <row r="11" spans="1:41" ht="15" customHeight="1" x14ac:dyDescent="0.2">
      <c r="A11" t="s">
        <v>19</v>
      </c>
      <c r="B11">
        <f>IFERROR(INDEX(Engine!$B$2:$B$15,MATCH($A11,Engine!$A$2:$A$15,0)),1000)</f>
        <v>1251.9358369946654</v>
      </c>
      <c r="C11">
        <f>IFERROR(INDEX(Engine!$C$2:$C$15,MATCH($A11,Engine!$A$2:$A$15,0)),"")</f>
        <v>1149.7927299128914</v>
      </c>
      <c r="D11">
        <f t="shared" si="0"/>
        <v>1</v>
      </c>
      <c r="E11">
        <f t="shared" si="1"/>
        <v>0</v>
      </c>
      <c r="F11" t="str">
        <f>IFERROR(LOOKUP(2,1/('Match Log'!$D$4:$D$1510=$A11),'Match Log'!$E$4:$E$1510),"")</f>
        <v>Win</v>
      </c>
      <c r="G11">
        <f>IF($F11="",0,SUMPRODUCT(('Match Log'!$D$4:$D$1510=$A11)*(ROW('Match Log'!$A$4:$A$1510)&gt;SUMPRODUCT(MAX(('Match Log'!$D$4:$D$1510=$A11)*('Match Log'!$E$4:$E$1510&lt;&gt;$F11)*ROW('Match Log'!$A$4:$A$1510))))))</f>
        <v>6</v>
      </c>
      <c r="H11" t="str">
        <f t="shared" si="2"/>
        <v>W6</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1273.6858380946653</v>
      </c>
      <c r="K11">
        <f t="shared" ca="1" si="4"/>
        <v>1</v>
      </c>
      <c r="L11">
        <f t="shared" ca="1" si="5"/>
        <v>0</v>
      </c>
      <c r="M11">
        <f t="shared" si="6"/>
        <v>2</v>
      </c>
      <c r="N11">
        <f t="shared" si="7"/>
        <v>5</v>
      </c>
      <c r="O11">
        <f t="shared" si="8"/>
        <v>6</v>
      </c>
      <c r="P11">
        <f>IFERROR(SUMPRODUCT(MAX(('Match Log'!$D$4:$D$1510=$A11)*'Match Log'!$B$4:$B$1510)),0)</f>
        <v>46303</v>
      </c>
      <c r="Q11">
        <f t="shared" ca="1" si="9"/>
        <v>1.7142857142857142</v>
      </c>
      <c r="R11">
        <f ca="1">IF($P11=0,0,IF($Q11&gt;='Guide &amp; Settings'!$C$48,(INT($Q11-'Guide &amp; Settings'!$C$48)+1)*'Guide &amp; Settings'!$C$49,0))</f>
        <v>0</v>
      </c>
      <c r="S11">
        <f ca="1">$B11-$R11-$U11+SUMIF('Poker Stake Ledger'!$C$18:$C$137,$A11,'Poker Stake Ledger'!$K$18:$K$137)</f>
        <v>1273.6858369946654</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61.53846153846154</v>
      </c>
      <c r="Y11">
        <f ca="1">MIN(100,IFERROR(INDEX(Dashboard!$K$5:$K$18,MATCH($A11,Dashboard!$B$5:$B$18,0)),0)/5*50+$AC11/4*50)</f>
        <v>100</v>
      </c>
      <c r="Z11">
        <f t="shared" si="12"/>
        <v>100</v>
      </c>
      <c r="AA11">
        <f t="shared" si="13"/>
        <v>87.448182478222861</v>
      </c>
      <c r="AB11">
        <f t="shared" ca="1" si="14"/>
        <v>91.052510555514587</v>
      </c>
      <c r="AC11">
        <f>IFERROR(SUMPRODUCT((INDEX('Sport Records'!$B$8:$O$32,0,MATCH($A11,'Sport Records'!$B$7:$O$7,0))&gt;=2)*(INDEX('Sport Records'!$B$62:$O$86,0,MATCH($A11,'Sport Records'!$B$61:$O$61,0))&gt;=0.5)),0)</f>
        <v>9</v>
      </c>
      <c r="AD11">
        <f ca="1">IFERROR(INDEX(Dashboard!$D$5:$D$18,MATCH($A11,Dashboard!$B$5:$B$18,0)),0)</f>
        <v>65</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1273.6858380946653</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1240.5972700779639</v>
      </c>
      <c r="C12">
        <f>IFERROR(INDEX(Engine!$C$2:$C$15,MATCH($A12,Engine!$A$2:$A$15,0)),"")</f>
        <v>1141.3018298585059</v>
      </c>
      <c r="D12">
        <f t="shared" si="0"/>
        <v>2</v>
      </c>
      <c r="E12">
        <f t="shared" si="1"/>
        <v>11.338566916701438</v>
      </c>
      <c r="F12" t="str">
        <f>IFERROR(LOOKUP(2,1/('Match Log'!$D$4:$D$1510=$A12),'Match Log'!$E$4:$E$1510),"")</f>
        <v>Win</v>
      </c>
      <c r="G12">
        <f>IF($F12="",0,SUMPRODUCT(('Match Log'!$D$4:$D$1510=$A12)*(ROW('Match Log'!$A$4:$A$1510)&gt;SUMPRODUCT(MAX(('Match Log'!$D$4:$D$1510=$A12)*('Match Log'!$E$4:$E$1510&lt;&gt;$F12)*ROW('Match Log'!$A$4:$A$1510))))))</f>
        <v>1</v>
      </c>
      <c r="H12" t="str">
        <f t="shared" si="2"/>
        <v>W1</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LWWLW</v>
      </c>
      <c r="J12">
        <f t="shared" ca="1" si="3"/>
        <v>1236.847271277964</v>
      </c>
      <c r="K12">
        <f t="shared" ca="1" si="4"/>
        <v>2</v>
      </c>
      <c r="L12">
        <f t="shared" ca="1" si="5"/>
        <v>0</v>
      </c>
      <c r="M12">
        <f t="shared" si="6"/>
        <v>7</v>
      </c>
      <c r="N12">
        <f t="shared" si="7"/>
        <v>3</v>
      </c>
      <c r="O12">
        <f t="shared" si="8"/>
        <v>1</v>
      </c>
      <c r="P12">
        <f>IFERROR(SUMPRODUCT(MAX(('Match Log'!$D$4:$D$1510=$A12)*'Match Log'!$B$4:$B$1510)),0)</f>
        <v>46303</v>
      </c>
      <c r="Q12">
        <f t="shared" ca="1" si="9"/>
        <v>1.7142857142857142</v>
      </c>
      <c r="R12">
        <f ca="1">IF($P12=0,0,IF($Q12&gt;='Guide &amp; Settings'!$C$48,(INT($Q12-'Guide &amp; Settings'!$C$48)+1)*'Guide &amp; Settings'!$C$49,0))</f>
        <v>0</v>
      </c>
      <c r="S12">
        <f ca="1">$B12-$R12-$U12+SUMIF('Poker Stake Ledger'!$C$18:$C$137,$A12,'Poker Stake Ledger'!$K$18:$K$137)</f>
        <v>1236.8472700779639</v>
      </c>
      <c r="T12" t="str">
        <f ca="1">IF($P12=0,"No games",IF($Q12&gt;='Guide &amp; Settings'!$C$48,"Inactive",IF($Q12&gt;='Guide &amp; Settings'!$C$47,"At risk","Active")))</f>
        <v>Active</v>
      </c>
      <c r="U12">
        <f>SUMIF('Match Log'!$D$4:$D$1510,$A12,'Match Log'!$AC$4:$AC$1510)</f>
        <v>0</v>
      </c>
      <c r="V12">
        <f t="shared" si="10"/>
        <v>0</v>
      </c>
      <c r="W12">
        <f t="shared" ca="1" si="11"/>
        <v>100</v>
      </c>
      <c r="X12">
        <f ca="1">IFERROR(INDEX(Dashboard!$G$5:$G$18,MATCH($A12,Dashboard!$B$5:$B$18,0))*100,0)</f>
        <v>47.058823529411761</v>
      </c>
      <c r="Y12">
        <f ca="1">MIN(100,IFERROR(INDEX(Dashboard!$K$5:$K$18,MATCH($A12,Dashboard!$B$5:$B$18,0)),0)/5*50+$AC12/4*50)</f>
        <v>100</v>
      </c>
      <c r="Z12">
        <f t="shared" si="12"/>
        <v>60</v>
      </c>
      <c r="AA12">
        <f t="shared" si="13"/>
        <v>85.325457464626481</v>
      </c>
      <c r="AB12">
        <f t="shared" ca="1" si="14"/>
        <v>81.944310452344993</v>
      </c>
      <c r="AC12">
        <f>IFERROR(SUMPRODUCT((INDEX('Sport Records'!$B$8:$O$32,0,MATCH($A12,'Sport Records'!$B$7:$O$7,0))&gt;=2)*(INDEX('Sport Records'!$B$62:$O$86,0,MATCH($A12,'Sport Records'!$B$61:$O$61,0))&gt;=0.5)),0)</f>
        <v>5</v>
      </c>
      <c r="AD12">
        <f ca="1">IFERROR(INDEX(Dashboard!$D$5:$D$18,MATCH($A12,Dashboard!$B$5:$B$18,0)),0)</f>
        <v>170</v>
      </c>
      <c r="AE12">
        <f ca="1">IFERROR(INDEX(Dashboard!$K$5:$K$18,MATCH($A12,Dashboard!$B$5:$B$18,0)),0)</f>
        <v>19</v>
      </c>
      <c r="AF12" t="str">
        <f t="shared" ca="1" si="15"/>
        <v>Elite</v>
      </c>
      <c r="AG12">
        <f ca="1">COUNTIFS('Match Log'!$D$4:$D$1510,$A12,'Match Log'!$B$4:$B$1510,"&gt;="&amp;$B$5)</f>
        <v>0</v>
      </c>
      <c r="AH12">
        <f ca="1">COUNTIFS('Match Log'!$D$4:$D$1510,$A12,'Match Log'!$B$4:$B$1510,"&gt;="&amp;$B$5,'Match Log'!$E$4:$E$1510,"Win")</f>
        <v>0</v>
      </c>
      <c r="AI12">
        <f t="shared" ca="1" si="16"/>
        <v>1236.847271277964</v>
      </c>
      <c r="AK12">
        <f ca="1">_xlfn.MAXIFS('Match Log'!$B$4:$B$1510,'Match Log'!$D$4:$D$1510,$A12,'Match Log'!$B$4:$B$1510,"&lt;="&amp;($D$4-7))</f>
        <v>46303</v>
      </c>
      <c r="AL12">
        <f ca="1">IFERROR(LOOKUP(2,1/(('Match Log'!$D$4:$D$1510=$A12)*('Match Log'!$B$4:$B$1510&lt;=$D$4-7)),'Match Log'!$N$4:$N$1510),1000)</f>
        <v>1240.5972700779639</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1084.5964859158232</v>
      </c>
      <c r="D13">
        <f t="shared" si="0"/>
        <v>4</v>
      </c>
      <c r="E13">
        <f t="shared" si="1"/>
        <v>35.939655307522344</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1190.4461829871429</v>
      </c>
      <c r="K13">
        <f t="shared" ca="1" si="4"/>
        <v>3</v>
      </c>
      <c r="L13">
        <f t="shared" ca="1" si="5"/>
        <v>-3</v>
      </c>
      <c r="M13">
        <f t="shared" si="6"/>
        <v>2</v>
      </c>
      <c r="N13">
        <f t="shared" si="7"/>
        <v>5</v>
      </c>
      <c r="O13">
        <f t="shared" si="8"/>
        <v>5</v>
      </c>
      <c r="P13">
        <f>IFERROR(SUMPRODUCT(MAX(('Match Log'!$D$4:$D$1510=$A13)*'Match Log'!$B$4:$B$1510)),0)</f>
        <v>46271</v>
      </c>
      <c r="Q13">
        <f t="shared" ca="1" si="9"/>
        <v>6.2857142857142856</v>
      </c>
      <c r="R13">
        <f ca="1">IF($P13=0,0,IF($Q13&gt;='Guide &amp; Settings'!$C$48,(INT($Q13-'Guide &amp; Settings'!$C$48)+1)*'Guide &amp; Settings'!$C$49,0))</f>
        <v>30</v>
      </c>
      <c r="S13">
        <f ca="1">$B13-$R13-$U13+SUMIF('Poker Stake Ledger'!$C$18:$C$137,$A13,'Poker Stake Ledger'!$K$18:$K$137)</f>
        <v>1180.4461816871431</v>
      </c>
      <c r="T13" t="str">
        <f ca="1">IF($P13=0,"No games",IF($Q13&gt;='Guide &amp; Settings'!$C$48,"Inactive",IF($Q13&gt;='Guide &amp; Settings'!$C$47,"At risk","Active")))</f>
        <v>Inactive</v>
      </c>
      <c r="U13">
        <f>SUMIF('Match Log'!$D$4:$D$1510,$A13,'Match Log'!$AC$4:$AC$1510)</f>
        <v>0</v>
      </c>
      <c r="V13">
        <f t="shared" si="10"/>
        <v>0</v>
      </c>
      <c r="W13">
        <f t="shared" ca="1" si="11"/>
        <v>95.111545421785763</v>
      </c>
      <c r="X13">
        <f ca="1">IFERROR(INDEX(Dashboard!$G$5:$G$18,MATCH($A13,Dashboard!$B$5:$B$18,0))*100,0)</f>
        <v>52.5</v>
      </c>
      <c r="Y13">
        <f ca="1">MIN(100,IFERROR(INDEX(Dashboard!$K$5:$K$18,MATCH($A13,Dashboard!$B$5:$B$18,0)),0)/5*50+$AC13/4*50)</f>
        <v>100</v>
      </c>
      <c r="Z13">
        <f t="shared" si="12"/>
        <v>100</v>
      </c>
      <c r="AA13">
        <f t="shared" si="13"/>
        <v>71.149121478955806</v>
      </c>
      <c r="AB13">
        <f t="shared" ca="1" si="14"/>
        <v>85.903953045520595</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1180.4461829871429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20</v>
      </c>
    </row>
    <row r="14" spans="1:41" ht="15" customHeight="1" x14ac:dyDescent="0.2">
      <c r="A14" t="s">
        <v>22</v>
      </c>
      <c r="B14">
        <f>IFERROR(INDEX(Engine!$B$2:$B$15,MATCH($A14,Engine!$A$2:$A$15,0)),1000)</f>
        <v>1190.9139027540671</v>
      </c>
      <c r="C14">
        <f>IFERROR(INDEX(Engine!$C$2:$C$15,MATCH($A14,Engine!$A$2:$A$15,0)),"")</f>
        <v>1176.8440095243068</v>
      </c>
      <c r="D14">
        <f t="shared" si="0"/>
        <v>6</v>
      </c>
      <c r="E14">
        <f t="shared" si="1"/>
        <v>61.021934240598284</v>
      </c>
      <c r="F14" t="str">
        <f>IFERROR(LOOKUP(2,1/('Match Log'!$D$4:$D$1510=$A14),'Match Log'!$E$4:$E$1510),"")</f>
        <v>Loss</v>
      </c>
      <c r="G14">
        <f>IF($F14="",0,SUMPRODUCT(('Match Log'!$D$4:$D$1510=$A14)*(ROW('Match Log'!$A$4:$A$1510)&gt;SUMPRODUCT(MAX(('Match Log'!$D$4:$D$1510=$A14)*('Match Log'!$E$4:$E$1510&lt;&gt;$F14)*ROW('Match Log'!$A$4:$A$1510))))))</f>
        <v>2</v>
      </c>
      <c r="H14" t="str">
        <f t="shared" si="2"/>
        <v>L2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WWWLL</v>
      </c>
      <c r="J14">
        <f t="shared" ca="1" si="3"/>
        <v>1189.5639041540671</v>
      </c>
      <c r="K14">
        <f t="shared" ca="1" si="4"/>
        <v>4</v>
      </c>
      <c r="L14">
        <f t="shared" ca="1" si="5"/>
        <v>1</v>
      </c>
      <c r="M14">
        <f t="shared" si="6"/>
        <v>10</v>
      </c>
      <c r="N14">
        <f t="shared" si="7"/>
        <v>3</v>
      </c>
      <c r="O14">
        <f t="shared" si="8"/>
        <v>0</v>
      </c>
      <c r="P14">
        <f>IFERROR(SUMPRODUCT(MAX(('Match Log'!$D$4:$D$1510=$A14)*'Match Log'!$B$4:$B$1510)),0)</f>
        <v>46303</v>
      </c>
      <c r="Q14">
        <f t="shared" ca="1" si="9"/>
        <v>1.7142857142857142</v>
      </c>
      <c r="R14">
        <f ca="1">IF($P14=0,0,IF($Q14&gt;='Guide &amp; Settings'!$C$48,(INT($Q14-'Guide &amp; Settings'!$C$48)+1)*'Guide &amp; Settings'!$C$49,0))</f>
        <v>0</v>
      </c>
      <c r="S14">
        <f ca="1">$B14-$R14-$U14+SUMIF('Poker Stake Ledger'!$C$18:$C$137,$A14,'Poker Stake Ledger'!$K$18:$K$137)</f>
        <v>1189.5639027540672</v>
      </c>
      <c r="T14" t="str">
        <f ca="1">IF($P14=0,"No games",IF($Q14&gt;='Guide &amp; Settings'!$C$48,"Inactive",IF($Q14&gt;='Guide &amp; Settings'!$C$47,"At risk","Active")))</f>
        <v>Active</v>
      </c>
      <c r="U14">
        <f>SUMIF('Match Log'!$D$4:$D$1510,$A14,'Match Log'!$AC$4:$AC$1510)</f>
        <v>0</v>
      </c>
      <c r="V14">
        <f t="shared" si="10"/>
        <v>2</v>
      </c>
      <c r="W14">
        <f t="shared" ca="1" si="11"/>
        <v>97.390975688516789</v>
      </c>
      <c r="X14">
        <f ca="1">IFERROR(INDEX(Dashboard!$G$5:$G$18,MATCH($A14,Dashboard!$B$5:$B$18,0))*100,0)</f>
        <v>42.767295597484278</v>
      </c>
      <c r="Y14">
        <f ca="1">MIN(100,IFERROR(INDEX(Dashboard!$K$5:$K$18,MATCH($A14,Dashboard!$B$5:$B$18,0)),0)/5*50+$AC14/4*50)</f>
        <v>100</v>
      </c>
      <c r="Z14">
        <f t="shared" si="12"/>
        <v>60</v>
      </c>
      <c r="AA14">
        <f t="shared" si="13"/>
        <v>94.211002381076696</v>
      </c>
      <c r="AB14">
        <f t="shared" ca="1" si="14"/>
        <v>81.061400848585407</v>
      </c>
      <c r="AC14">
        <f>IFERROR(SUMPRODUCT((INDEX('Sport Records'!$B$8:$O$32,0,MATCH($A14,'Sport Records'!$B$7:$O$7,0))&gt;=2)*(INDEX('Sport Records'!$B$62:$O$86,0,MATCH($A14,'Sport Records'!$B$61:$O$61,0))&gt;=0.5)),0)</f>
        <v>5</v>
      </c>
      <c r="AD14">
        <f ca="1">IFERROR(INDEX(Dashboard!$D$5:$D$18,MATCH($A14,Dashboard!$B$5:$B$18,0)),0)</f>
        <v>159</v>
      </c>
      <c r="AE14">
        <f ca="1">IFERROR(INDEX(Dashboard!$K$5:$K$18,MATCH($A14,Dashboard!$B$5:$B$18,0)),0)</f>
        <v>20</v>
      </c>
      <c r="AF14" t="str">
        <f t="shared" ca="1" si="15"/>
        <v>Elite</v>
      </c>
      <c r="AG14">
        <f ca="1">COUNTIFS('Match Log'!$D$4:$D$1510,$A14,'Match Log'!$B$4:$B$1510,"&gt;="&amp;$B$5)</f>
        <v>0</v>
      </c>
      <c r="AH14">
        <f ca="1">COUNTIFS('Match Log'!$D$4:$D$1510,$A14,'Match Log'!$B$4:$B$1510,"&gt;="&amp;$B$5,'Match Log'!$E$4:$E$1510,"Win")</f>
        <v>0</v>
      </c>
      <c r="AI14">
        <f t="shared" ca="1" si="16"/>
        <v>1189.5639041540671</v>
      </c>
      <c r="AK14">
        <f ca="1">_xlfn.MAXIFS('Match Log'!$B$4:$B$1510,'Match Log'!$D$4:$D$1510,$A14,'Match Log'!$B$4:$B$1510,"&lt;="&amp;($D$4-7))</f>
        <v>46303</v>
      </c>
      <c r="AL14">
        <f ca="1">IFERROR(LOOKUP(2,1/(('Match Log'!$D$4:$D$1510=$A14)*('Match Log'!$B$4:$B$1510&lt;=$D$4-7)),'Match Log'!$N$4:$N$1510),1000)</f>
        <v>1190.9139027540671</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1142.569260146546</v>
      </c>
      <c r="D15">
        <f t="shared" si="0"/>
        <v>3</v>
      </c>
      <c r="E15">
        <f t="shared" si="1"/>
        <v>34.034295267717198</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6</v>
      </c>
      <c r="L15">
        <f t="shared" ca="1" si="5"/>
        <v>1</v>
      </c>
      <c r="M15">
        <f t="shared" si="6"/>
        <v>3</v>
      </c>
      <c r="N15">
        <f t="shared" si="7"/>
        <v>3</v>
      </c>
      <c r="O15">
        <f t="shared" si="8"/>
        <v>0</v>
      </c>
      <c r="P15">
        <f>IFERROR(SUMPRODUCT(MAX(('Match Log'!$D$4:$D$1510=$A15)*'Match Log'!$B$4:$B$1510)),0)</f>
        <v>46290</v>
      </c>
      <c r="Q15">
        <f t="shared" ca="1" si="9"/>
        <v>3.5714285714285716</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At risk</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85.642315036636489</v>
      </c>
      <c r="AB15">
        <f t="shared" ca="1" si="14"/>
        <v>83.410378309533513</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1187.9015432269482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1125.7222668405234</v>
      </c>
      <c r="D16">
        <f t="shared" si="0"/>
        <v>14</v>
      </c>
      <c r="E16">
        <f t="shared" si="1"/>
        <v>389.71289325789041</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762.22294533677496</v>
      </c>
      <c r="K16">
        <f t="shared" ca="1" si="4"/>
        <v>14</v>
      </c>
      <c r="L16">
        <f t="shared" ca="1" si="5"/>
        <v>0</v>
      </c>
      <c r="M16">
        <f t="shared" si="6"/>
        <v>1</v>
      </c>
      <c r="N16">
        <f t="shared" si="7"/>
        <v>0</v>
      </c>
      <c r="O16">
        <f t="shared" si="8"/>
        <v>0</v>
      </c>
      <c r="P16">
        <f>IFERROR(SUMPRODUCT(MAX(('Match Log'!$D$4:$D$1510=$A16)*'Match Log'!$B$4:$B$1510)),0)</f>
        <v>46222</v>
      </c>
      <c r="Q16">
        <f t="shared" ca="1" si="9"/>
        <v>13.285714285714286</v>
      </c>
      <c r="R16">
        <f ca="1">IF($P16=0,0,IF($Q16&gt;='Guide &amp; Settings'!$C$48,(INT($Q16-'Guide &amp; Settings'!$C$48)+1)*'Guide &amp; Settings'!$C$49,0))</f>
        <v>100</v>
      </c>
      <c r="S16">
        <f ca="1">$B16-$R16-$U16+SUMIF('Poker Stake Ledger'!$C$18:$C$137,$A16,'Poker Stake Ledger'!$K$18:$K$137)</f>
        <v>752.22294373677494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81.430566710130847</v>
      </c>
      <c r="AB16">
        <f t="shared" ca="1" si="14"/>
        <v>16.809723337679753</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752.22294533677496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90</v>
      </c>
    </row>
    <row r="17" spans="1:41" ht="15" customHeight="1" x14ac:dyDescent="0.2">
      <c r="A17" t="s">
        <v>25</v>
      </c>
      <c r="B17">
        <f>IFERROR(INDEX(Engine!$B$2:$B$15,MATCH($A17,Engine!$A$2:$A$15,0)),1000)</f>
        <v>949.07453636021216</v>
      </c>
      <c r="C17">
        <f>IFERROR(INDEX(Engine!$C$2:$C$15,MATCH($A17,Engine!$A$2:$A$15,0)),"")</f>
        <v>1189.6896765120323</v>
      </c>
      <c r="D17">
        <f t="shared" si="0"/>
        <v>12</v>
      </c>
      <c r="E17">
        <f t="shared" si="1"/>
        <v>302.86130063445319</v>
      </c>
      <c r="F17" t="str">
        <f>IFERROR(LOOKUP(2,1/('Match Log'!$D$4:$D$1510=$A17),'Match Log'!$E$4:$E$1510),"")</f>
        <v>Loss</v>
      </c>
      <c r="G17">
        <f>IF($F17="",0,SUMPRODUCT(('Match Log'!$D$4:$D$1510=$A17)*(ROW('Match Log'!$A$4:$A$1510)&gt;SUMPRODUCT(MAX(('Match Log'!$D$4:$D$1510=$A17)*('Match Log'!$E$4:$E$1510&lt;&gt;$F17)*ROW('Match Log'!$A$4:$A$1510))))))</f>
        <v>1</v>
      </c>
      <c r="H17" t="str">
        <f t="shared" si="2"/>
        <v>L1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LLWWL</v>
      </c>
      <c r="J17">
        <f t="shared" ca="1" si="3"/>
        <v>949.07453806021215</v>
      </c>
      <c r="K17">
        <f t="shared" ca="1" si="4"/>
        <v>11</v>
      </c>
      <c r="L17">
        <f t="shared" ca="1" si="5"/>
        <v>0</v>
      </c>
      <c r="M17">
        <f t="shared" si="6"/>
        <v>4</v>
      </c>
      <c r="N17">
        <f t="shared" si="7"/>
        <v>2</v>
      </c>
      <c r="O17">
        <f t="shared" si="8"/>
        <v>0</v>
      </c>
      <c r="P17">
        <f>IFERROR(SUMPRODUCT(MAX(('Match Log'!$D$4:$D$1510=$A17)*'Match Log'!$B$4:$B$1510)),0)</f>
        <v>46303</v>
      </c>
      <c r="Q17">
        <f t="shared" ca="1" si="9"/>
        <v>1.7142857142857142</v>
      </c>
      <c r="R17">
        <f ca="1">IF($P17=0,0,IF($Q17&gt;='Guide &amp; Settings'!$C$48,(INT($Q17-'Guide &amp; Settings'!$C$48)+1)*'Guide &amp; Settings'!$C$49,0))</f>
        <v>0</v>
      </c>
      <c r="S17">
        <f ca="1">$B17-$R17-$U17+SUMIF('Poker Stake Ledger'!$C$18:$C$137,$A17,'Poker Stake Ledger'!$K$18:$K$137)</f>
        <v>949.07453636021216</v>
      </c>
      <c r="T17" t="str">
        <f ca="1">IF($P17=0,"No games",IF($Q17&gt;='Guide &amp; Settings'!$C$48,"Inactive",IF($Q17&gt;='Guide &amp; Settings'!$C$47,"At risk","Active")))</f>
        <v>Active</v>
      </c>
      <c r="U17">
        <f>SUMIF('Match Log'!$D$4:$D$1510,$A17,'Match Log'!$AC$4:$AC$1510)</f>
        <v>0</v>
      </c>
      <c r="V17">
        <f t="shared" si="10"/>
        <v>1</v>
      </c>
      <c r="W17">
        <f t="shared" ca="1" si="11"/>
        <v>37.268634090053041</v>
      </c>
      <c r="X17">
        <f ca="1">IFERROR(INDEX(Dashboard!$G$5:$G$18,MATCH($A17,Dashboard!$B$5:$B$18,0))*100,0)</f>
        <v>35.294117647058826</v>
      </c>
      <c r="Y17">
        <f ca="1">MIN(100,IFERROR(INDEX(Dashboard!$K$5:$K$18,MATCH($A17,Dashboard!$B$5:$B$18,0)),0)/5*50+$AC17/4*50)</f>
        <v>100</v>
      </c>
      <c r="Z17">
        <f t="shared" si="12"/>
        <v>40</v>
      </c>
      <c r="AA17">
        <f t="shared" si="13"/>
        <v>97.422419128008073</v>
      </c>
      <c r="AB17">
        <f t="shared" ca="1" si="14"/>
        <v>55.845087373731133</v>
      </c>
      <c r="AC17">
        <f>IFERROR(SUMPRODUCT((INDEX('Sport Records'!$B$8:$O$32,0,MATCH($A17,'Sport Records'!$B$7:$O$7,0))&gt;=2)*(INDEX('Sport Records'!$B$62:$O$86,0,MATCH($A17,'Sport Records'!$B$61:$O$61,0))&gt;=0.5)),0)</f>
        <v>3</v>
      </c>
      <c r="AD17">
        <f ca="1">IFERROR(INDEX(Dashboard!$D$5:$D$18,MATCH($A17,Dashboard!$B$5:$B$18,0)),0)</f>
        <v>85</v>
      </c>
      <c r="AE17">
        <f ca="1">IFERROR(INDEX(Dashboard!$K$5:$K$18,MATCH($A17,Dashboard!$B$5:$B$18,0)),0)</f>
        <v>14</v>
      </c>
      <c r="AF17" t="str">
        <f t="shared" ca="1" si="15"/>
        <v>Mid</v>
      </c>
      <c r="AG17">
        <f ca="1">COUNTIFS('Match Log'!$D$4:$D$1510,$A17,'Match Log'!$B$4:$B$1510,"&gt;="&amp;$B$5)</f>
        <v>0</v>
      </c>
      <c r="AH17">
        <f ca="1">COUNTIFS('Match Log'!$D$4:$D$1510,$A17,'Match Log'!$B$4:$B$1510,"&gt;="&amp;$B$5,'Match Log'!$E$4:$E$1510,"Win")</f>
        <v>0</v>
      </c>
      <c r="AI17">
        <f t="shared" ca="1" si="16"/>
        <v>949.07453806021215</v>
      </c>
      <c r="AK17">
        <f ca="1">_xlfn.MAXIFS('Match Log'!$B$4:$B$1510,'Match Log'!$D$4:$D$1510,$A17,'Match Log'!$B$4:$B$1510,"&lt;="&amp;($D$4-7))</f>
        <v>46303</v>
      </c>
      <c r="AL17">
        <f ca="1">IFERROR(LOOKUP(2,1/(('Match Log'!$D$4:$D$1510=$A17)*('Match Log'!$B$4:$B$1510&lt;=$D$4-7)),'Match Log'!$N$4:$N$1510),1000)</f>
        <v>949.07453636021216</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1072.0314409502325</v>
      </c>
      <c r="D18">
        <f t="shared" si="0"/>
        <v>7</v>
      </c>
      <c r="E18">
        <f t="shared" si="1"/>
        <v>164.38694228817985</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1037.5488965064856</v>
      </c>
      <c r="K18">
        <f t="shared" ca="1" si="4"/>
        <v>7</v>
      </c>
      <c r="L18">
        <f t="shared" ca="1" si="5"/>
        <v>-1</v>
      </c>
      <c r="M18">
        <f t="shared" si="6"/>
        <v>2</v>
      </c>
      <c r="N18">
        <f t="shared" si="7"/>
        <v>3</v>
      </c>
      <c r="O18">
        <f t="shared" si="8"/>
        <v>1</v>
      </c>
      <c r="P18">
        <f>IFERROR(SUMPRODUCT(MAX(('Match Log'!$D$4:$D$1510=$A18)*'Match Log'!$B$4:$B$1510)),0)</f>
        <v>46249</v>
      </c>
      <c r="Q18">
        <f t="shared" ca="1" si="9"/>
        <v>9.4285714285714288</v>
      </c>
      <c r="R18">
        <f ca="1">IF($P18=0,0,IF($Q18&gt;='Guide &amp; Settings'!$C$48,(INT($Q18-'Guide &amp; Settings'!$C$48)+1)*'Guide &amp; Settings'!$C$49,0))</f>
        <v>60</v>
      </c>
      <c r="S18">
        <f ca="1">$B18-$R18-$U18+SUMIF('Poker Stake Ledger'!$C$18:$C$137,$A18,'Poker Stake Ledger'!$K$18:$K$137)</f>
        <v>1027.5488947064855</v>
      </c>
      <c r="T18" t="str">
        <f ca="1">IF($P18=0,"No games",IF($Q18&gt;='Guide &amp; Settings'!$C$48,"Inactive",IF($Q18&gt;='Guide &amp; Settings'!$C$47,"At risk","Active")))</f>
        <v>Inactive</v>
      </c>
      <c r="U18">
        <f>SUMIF('Match Log'!$D$4:$D$1510,$A18,'Match Log'!$AC$4:$AC$1510)</f>
        <v>0</v>
      </c>
      <c r="V18">
        <f t="shared" si="10"/>
        <v>0</v>
      </c>
      <c r="W18">
        <f t="shared" ca="1" si="11"/>
        <v>56.887223676621375</v>
      </c>
      <c r="X18">
        <f ca="1">IFERROR(INDEX(Dashboard!$G$5:$G$18,MATCH($A18,Dashboard!$B$5:$B$18,0))*100,0)</f>
        <v>46.666666666666664</v>
      </c>
      <c r="Y18">
        <f ca="1">MIN(100,IFERROR(INDEX(Dashboard!$K$5:$K$18,MATCH($A18,Dashboard!$B$5:$B$18,0)),0)/5*50+$AC18/4*50)</f>
        <v>65</v>
      </c>
      <c r="Z18">
        <f t="shared" si="12"/>
        <v>60</v>
      </c>
      <c r="AA18">
        <f t="shared" si="13"/>
        <v>68.007860237558134</v>
      </c>
      <c r="AB18">
        <f t="shared" ca="1" si="14"/>
        <v>58.044647643906629</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1027.5488965064856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50</v>
      </c>
    </row>
    <row r="19" spans="1:41" ht="15" customHeight="1" x14ac:dyDescent="0.2">
      <c r="A19" t="s">
        <v>27</v>
      </c>
      <c r="B19">
        <f>IFERROR(INDEX(Engine!$B$2:$B$15,MATCH($A19,Engine!$A$2:$A$15,0)),1000)</f>
        <v>1010.5072402821568</v>
      </c>
      <c r="C19">
        <f>IFERROR(INDEX(Engine!$C$2:$C$15,MATCH($A19,Engine!$A$2:$A$15,0)),"")</f>
        <v>1125.2571603770632</v>
      </c>
      <c r="D19">
        <f t="shared" si="0"/>
        <v>10</v>
      </c>
      <c r="E19">
        <f t="shared" si="1"/>
        <v>241.42859671250858</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10</v>
      </c>
      <c r="L19">
        <f t="shared" ca="1" si="5"/>
        <v>0</v>
      </c>
      <c r="M19">
        <f t="shared" si="6"/>
        <v>0</v>
      </c>
      <c r="N19">
        <f t="shared" si="7"/>
        <v>0</v>
      </c>
      <c r="O19">
        <f t="shared" si="8"/>
        <v>0</v>
      </c>
      <c r="P19">
        <f>IFERROR(SUMPRODUCT(MAX(('Match Log'!$D$4:$D$1510=$A19)*'Match Log'!$B$4:$B$1510)),0)</f>
        <v>46298</v>
      </c>
      <c r="Q19">
        <f t="shared" ca="1" si="9"/>
        <v>2.4285714285714284</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At risk</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81.3142900942658</v>
      </c>
      <c r="AB19">
        <f t="shared" ca="1" si="14"/>
        <v>45.109636063527063</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970.5072421821568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11</v>
      </c>
      <c r="E20">
        <f t="shared" si="1"/>
        <v>251.93583699466535</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0</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t="str">
        <f t="shared" ca="1" si="31"/>
        <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t="str">
        <f t="shared" ca="1" si="31"/>
        <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1209.6766156390552</v>
      </c>
      <c r="C2">
        <f>IFERROR(SUMPRODUCT(INDEX('Head-to-Head'!$B$22:$O$35,1,0),$D$2:$Q$2)/SUM(INDEX('Head-to-Head'!$B$22:$O$35,1,0)),"")</f>
        <v>1168.7373459669402</v>
      </c>
      <c r="D2">
        <f>$B$2</f>
        <v>1209.6766156390552</v>
      </c>
      <c r="E2">
        <f>$B$3</f>
        <v>1029.5175965335138</v>
      </c>
      <c r="F2">
        <f>$B$4</f>
        <v>1048.0761030598392</v>
      </c>
      <c r="G2">
        <f>$B$5</f>
        <v>907.03133644117429</v>
      </c>
      <c r="H2">
        <f>$B$6</f>
        <v>1251.9358369946654</v>
      </c>
      <c r="I2">
        <f>$B$7</f>
        <v>1240.5972700779639</v>
      </c>
      <c r="J2">
        <f>$B$8</f>
        <v>1215.996181687143</v>
      </c>
      <c r="K2">
        <f>$B$9</f>
        <v>1190.9139027540671</v>
      </c>
      <c r="L2">
        <f>$B$10</f>
        <v>1217.9015417269482</v>
      </c>
      <c r="M2">
        <f>$B$11</f>
        <v>862.22294373677494</v>
      </c>
      <c r="N2">
        <f>$B$12</f>
        <v>949.07453636021216</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1092.9744669094741</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1162.1179015942173</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1169.1601970458019</v>
      </c>
    </row>
    <row r="6" spans="1:17" ht="15" customHeight="1" x14ac:dyDescent="0.2">
      <c r="A6" t="s">
        <v>19</v>
      </c>
      <c r="B6">
        <f>IF(COUNTIF('Match Log'!$D$4:$D$1510,$A6)=0,'Guide &amp; Settings'!$C$41,IFERROR(LOOKUP(2,1/('Match Log'!$D$4:$D$1510=$A6),'Match Log'!$N$4:$N$1510),'Guide &amp; Settings'!$C$41))</f>
        <v>1251.9358369946654</v>
      </c>
      <c r="C6">
        <f>IFERROR(SUMPRODUCT(INDEX('Head-to-Head'!$B$22:$O$35,5,0),$D$2:$Q$2)/SUM(INDEX('Head-to-Head'!$B$22:$O$35,5,0)),"")</f>
        <v>1149.7927299128914</v>
      </c>
    </row>
    <row r="7" spans="1:17" ht="15" customHeight="1" x14ac:dyDescent="0.2">
      <c r="A7" t="s">
        <v>20</v>
      </c>
      <c r="B7">
        <f>IF(COUNTIF('Match Log'!$D$4:$D$1510,$A7)=0,'Guide &amp; Settings'!$C$41,IFERROR(LOOKUP(2,1/('Match Log'!$D$4:$D$1510=$A7),'Match Log'!$N$4:$N$1510),'Guide &amp; Settings'!$C$41))</f>
        <v>1240.5972700779639</v>
      </c>
      <c r="C7">
        <f>IFERROR(SUMPRODUCT(INDEX('Head-to-Head'!$B$22:$O$35,6,0),$D$2:$Q$2)/SUM(INDEX('Head-to-Head'!$B$22:$O$35,6,0)),"")</f>
        <v>1141.3018298585059</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1084.5964859158232</v>
      </c>
    </row>
    <row r="9" spans="1:17" ht="15" customHeight="1" x14ac:dyDescent="0.2">
      <c r="A9" t="s">
        <v>22</v>
      </c>
      <c r="B9">
        <f>IF(COUNTIF('Match Log'!$D$4:$D$1510,$A9)=0,'Guide &amp; Settings'!$C$41,IFERROR(LOOKUP(2,1/('Match Log'!$D$4:$D$1510=$A9),'Match Log'!$N$4:$N$1510),'Guide &amp; Settings'!$C$41))</f>
        <v>1190.9139027540671</v>
      </c>
      <c r="C9">
        <f>IFERROR(SUMPRODUCT(INDEX('Head-to-Head'!$B$22:$O$35,8,0),$D$2:$Q$2)/SUM(INDEX('Head-to-Head'!$B$22:$O$35,8,0)),"")</f>
        <v>1176.8440095243068</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1142.569260146546</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1125.7222668405234</v>
      </c>
    </row>
    <row r="12" spans="1:17" ht="15" customHeight="1" x14ac:dyDescent="0.2">
      <c r="A12" t="s">
        <v>25</v>
      </c>
      <c r="B12">
        <f>IF(COUNTIF('Match Log'!$D$4:$D$1510,$A12)=0,'Guide &amp; Settings'!$C$41,IFERROR(LOOKUP(2,1/('Match Log'!$D$4:$D$1510=$A12),'Match Log'!$N$4:$N$1510),'Guide &amp; Settings'!$C$41))</f>
        <v>949.07453636021216</v>
      </c>
      <c r="C12">
        <f>IFERROR(SUMPRODUCT(INDEX('Head-to-Head'!$B$22:$O$35,11,0),$D$2:$Q$2)/SUM(INDEX('Head-to-Head'!$B$22:$O$35,11,0)),"")</f>
        <v>1189.6896765120323</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1072.0314409502325</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1125.2571603770632</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2026-10-20T10:14:13Z</dcterms:modified>
  <dc:language>en-US</dc:language>
</cp:coreProperties>
</file>