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втоматизированный расчет" sheetId="1" r:id="rId4"/>
    <sheet state="visible" name="Соответствие" sheetId="2" r:id="rId5"/>
    <sheet state="visible" name="SummaryReport" sheetId="3" r:id="rId6"/>
    <sheet state="visible" name="Тест поиска максимума" sheetId="4" r:id="rId7"/>
    <sheet state="visible" name="Тест подтверждения максимума" sheetId="5" r:id="rId8"/>
  </sheets>
  <definedNames/>
  <calcPr/>
  <pivotCaches>
    <pivotCache cacheId="0" r:id="rId9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">
      <text>
        <t xml:space="preserve">Microsoft Office User:
Duration - заполняется на основе данных после выполнения итерации соотвествующего скрипта в Vugen'е</t>
      </text>
    </comment>
    <comment authorId="0" ref="O2">
      <text>
        <t xml:space="preserve">Microsoft Office User:
ThinkTime - заполнятеся на основе ThinkTime'ов по выполнению одной итерации соотвествующего скрипта в Vugen'е</t>
      </text>
    </comment>
    <comment authorId="0" ref="Q2">
      <text>
        <t xml:space="preserve">Microsoft Office User:
Pacing не должен быть меньше чем Duration + think time (столбец P). Изначально считается как Duration + think time * 2 (коэф запаса времени), далее подгоняется вручную</t>
      </text>
    </comment>
    <comment authorId="0" ref="R2">
      <text>
        <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</t>
      </text>
    </comment>
    <comment authorId="0" ref="M21">
      <text>
        <t xml:space="preserve">Microsoft Office User:
1. Отображение состояния скриптов
2. Расчёт интенсивности
3. Расчёт интенсивности для каждой транзакции</t>
      </text>
    </comment>
  </commentList>
</comments>
</file>

<file path=xl/sharedStrings.xml><?xml version="1.0" encoding="utf-8"?>
<sst xmlns="http://schemas.openxmlformats.org/spreadsheetml/2006/main" count="377" uniqueCount="117">
  <si>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</si>
  <si>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</si>
  <si>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</si>
  <si>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</si>
  <si>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</si>
  <si>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</si>
  <si>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</si>
  <si>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</si>
  <si>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</si>
  <si>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</si>
  <si>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</si>
  <si>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</si>
  <si>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Think_time</t>
  </si>
  <si>
    <t>Pacing</t>
  </si>
  <si>
    <t>% Распределения пользователей</t>
  </si>
  <si>
    <t>Jmeter, throughput per minute</t>
  </si>
  <si>
    <t>Длительность ступени в минутах</t>
  </si>
  <si>
    <t>Интенсивность операций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</si>
  <si>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</si>
  <si>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</si>
  <si>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</si>
  <si>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</si>
  <si>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</si>
  <si>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</si>
  <si>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</si>
  <si>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</si>
  <si>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новых пользователей</t>
  </si>
  <si>
    <t xml:space="preserve">Заполнение полей для поиска билета </t>
  </si>
  <si>
    <t>Поиск билета без покупки</t>
  </si>
  <si>
    <t>Ознакомление с путевым листом</t>
  </si>
  <si>
    <t>Оплата билета</t>
  </si>
  <si>
    <t>Заполнение полей регистарции</t>
  </si>
  <si>
    <t>Логин</t>
  </si>
  <si>
    <t xml:space="preserve">Отмена бронирования </t>
  </si>
  <si>
    <t>Переход на следуюущий эран после регистарции</t>
  </si>
  <si>
    <t>Просмотр квитанций</t>
  </si>
  <si>
    <t>Перход на страницу регистрации</t>
  </si>
  <si>
    <t>Статистика с ПРОДа</t>
  </si>
  <si>
    <t>Профиль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</si>
  <si>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</si>
  <si>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</si>
  <si>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</si>
  <si>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</si>
  <si>
    <t>ScriptName</t>
  </si>
  <si>
    <t>Расчетная интенсивность запросов / 20 мин</t>
  </si>
  <si>
    <t>Фактическая интенсивность в тесте</t>
  </si>
  <si>
    <t>% Отклонение от Профиля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</si>
  <si>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</si>
  <si>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Имя в статистике</t>
  </si>
  <si>
    <t>Имя в скрипте</t>
  </si>
  <si>
    <t>go_to_web_tours</t>
  </si>
  <si>
    <t>login</t>
  </si>
  <si>
    <t>go_to_flights</t>
  </si>
  <si>
    <t>find_flight</t>
  </si>
  <si>
    <t>choosing a flight</t>
  </si>
  <si>
    <t>booking</t>
  </si>
  <si>
    <t>go_to_itinerary</t>
  </si>
  <si>
    <t>delete_reservation</t>
  </si>
  <si>
    <t>logout</t>
  </si>
  <si>
    <t>go_to_registration</t>
  </si>
  <si>
    <t>user_data_entry</t>
  </si>
  <si>
    <t>click_continue</t>
  </si>
  <si>
    <t>30.10.2024     03:09:29</t>
  </si>
  <si>
    <t>Run Time</t>
  </si>
  <si>
    <t>25m: 4s</t>
  </si>
  <si>
    <t>Scenario_Debugging_test_WebTours</t>
  </si>
  <si>
    <t>Scenario Name</t>
  </si>
  <si>
    <t>results_debugging_test</t>
  </si>
  <si>
    <t>Result Name</t>
  </si>
  <si>
    <t>Defined</t>
  </si>
  <si>
    <t>SLA</t>
  </si>
  <si>
    <t>SCENARIO SCHEDULE</t>
  </si>
  <si>
    <t xml:space="preserve">&lt;div id=SchedulerGraphData class=hidden&gt;
  &lt;div id=GroupCount&gt;1&lt;/div&gt;
  &lt;table id="Values_0" title="Global Schedule"&gt;
  &lt;tr&gt;
    &lt;td&gt;0&lt;/td&gt;&lt;td&gt;0&lt;/td&gt;
  &lt;/tr&gt;
  &lt;tr&gt;
    &lt;td&gt;0&lt;/td&gt;&lt;td&gt;1&lt;/td&gt;
  &lt;/tr&gt;
  &lt;tr&gt;
    &lt;td&gt;18&lt;/td&gt;&lt;td&gt;2&lt;/td&gt;
  &lt;/tr&gt;
</t>
  </si>
  <si>
    <t>TOP TRANSACTIONS BY DURATION</t>
  </si>
  <si>
    <t>Transaction Name</t>
  </si>
  <si>
    <t>Average</t>
  </si>
  <si>
    <t>Minimum</t>
  </si>
  <si>
    <t>Maximum</t>
  </si>
  <si>
    <t>UC3_BookingTickets</t>
  </si>
  <si>
    <t>UC2_SearchTicket</t>
  </si>
  <si>
    <t>UC1_LoginLogout</t>
  </si>
  <si>
    <t>UC5_DeletingReservation</t>
  </si>
  <si>
    <t>UC4_ViewingTravelList</t>
  </si>
  <si>
    <t>STATISTICS</t>
  </si>
  <si>
    <t>Maximum Running Vusers</t>
  </si>
  <si>
    <t>Total Throughput (bytes)</t>
  </si>
  <si>
    <t>Average Throughput (B/s)</t>
  </si>
  <si>
    <t>Total Hits:</t>
  </si>
  <si>
    <t>Average Hits per Second</t>
  </si>
  <si>
    <t>No Data</t>
  </si>
  <si>
    <t>10</t>
  </si>
  <si>
    <t>9 135 005</t>
  </si>
  <si>
    <t>7 612,504</t>
  </si>
  <si>
    <t>5 080</t>
  </si>
  <si>
    <t>4,233</t>
  </si>
  <si>
    <t>SCENARIO BEHAVIOR OVER TIME</t>
  </si>
  <si>
    <t>The SLA status of the following measurements displayed over time</t>
  </si>
  <si>
    <t>TRANSACTIONS</t>
  </si>
  <si>
    <t>Passed</t>
  </si>
  <si>
    <t>Failed</t>
  </si>
  <si>
    <t>Stopped</t>
  </si>
  <si>
    <t>TOTAL</t>
  </si>
  <si>
    <t>SLA Status</t>
  </si>
  <si>
    <t>Std. Deviation</t>
  </si>
  <si>
    <t>90 Percent</t>
  </si>
  <si>
    <t>Pass</t>
  </si>
  <si>
    <t>Fail</t>
  </si>
  <si>
    <t>Stop</t>
  </si>
  <si>
    <t>00000000-0000-0000-0000-000000000000</t>
  </si>
  <si>
    <t>UC7_RegistrationRandomUsers</t>
  </si>
  <si>
    <t>Codes</t>
  </si>
  <si>
    <t>Total</t>
  </si>
  <si>
    <t>Per second</t>
  </si>
  <si>
    <t>HTTP_200</t>
  </si>
  <si>
    <t>Тест Поиска максимума. Соответствие для 3 ступени.</t>
  </si>
  <si>
    <t>Тест подтверждения максимума. Соответствие для 300%.</t>
  </si>
  <si>
    <t>Расчетная интенсивность запросов / 1 час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</si>
</sst>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BFBFBF"/>
      <name val="Calibri"/>
    </font>
    <font>
      <sz val="9.0"/>
      <color rgb="FF1F1F1F"/>
      <name val="&quot;Google Sans&quot;"/>
    </font>
    <font/>
    <font>
      <sz val="14.0"/>
      <color theme="1"/>
      <name val="Calibri"/>
    </font>
    <font>
      <sz val="14.0"/>
      <color rgb="FF000000"/>
      <name val="Times New Roman"/>
    </font>
    <font>
      <b/>
      <sz val="14.0"/>
      <color rgb="FF000000"/>
      <name val="Times New Roman"/>
    </font>
    <font>
      <sz val="9.0"/>
      <color rgb="FF000000"/>
      <name val="&quot;Google Sans Mono&quot;"/>
    </font>
    <font>
      <color theme="1"/>
      <name val="Open Sans"/>
    </font>
  </fonts>
  <fills count="11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2" fontId="2" numFmtId="0" xfId="0" applyBorder="1" applyFill="1" applyFont="1"/>
    <xf borderId="2" fillId="0" fontId="3" numFmtId="0" xfId="0" applyBorder="1" applyFont="1"/>
    <xf borderId="5" fillId="0" fontId="2" numFmtId="0" xfId="0" applyBorder="1" applyFont="1"/>
    <xf borderId="6" fillId="3" fontId="2" numFmtId="0" xfId="0" applyBorder="1" applyFill="1" applyFont="1"/>
    <xf borderId="7" fillId="3" fontId="2" numFmtId="0" xfId="0" applyBorder="1" applyFont="1"/>
    <xf borderId="8" fillId="0" fontId="2" numFmtId="0" xfId="0" applyBorder="1" applyFont="1"/>
    <xf borderId="0" fillId="0" fontId="1" numFmtId="1" xfId="0" applyFont="1" applyNumberFormat="1"/>
    <xf borderId="0" fillId="0" fontId="2" numFmtId="2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/>
    </xf>
    <xf borderId="9" fillId="0" fontId="2" numFmtId="0" xfId="0" applyBorder="1" applyFont="1"/>
    <xf borderId="6" fillId="4" fontId="2" numFmtId="0" xfId="0" applyAlignment="1" applyBorder="1" applyFill="1" applyFont="1">
      <alignment readingOrder="0"/>
    </xf>
    <xf borderId="6" fillId="4" fontId="2" numFmtId="1" xfId="0" applyAlignment="1" applyBorder="1" applyFont="1" applyNumberFormat="1">
      <alignment readingOrder="0"/>
    </xf>
    <xf borderId="6" fillId="0" fontId="2" numFmtId="1" xfId="0" applyBorder="1" applyFont="1" applyNumberFormat="1"/>
    <xf borderId="6" fillId="5" fontId="2" numFmtId="1" xfId="0" applyAlignment="1" applyBorder="1" applyFill="1" applyFont="1" applyNumberFormat="1">
      <alignment readingOrder="0"/>
    </xf>
    <xf borderId="7" fillId="5" fontId="2" numFmtId="0" xfId="0" applyAlignment="1" applyBorder="1" applyFont="1">
      <alignment readingOrder="0"/>
    </xf>
    <xf borderId="6" fillId="0" fontId="2" numFmtId="9" xfId="0" applyBorder="1" applyFont="1" applyNumberFormat="1"/>
    <xf borderId="6" fillId="2" fontId="2" numFmtId="2" xfId="0" applyBorder="1" applyFont="1" applyNumberFormat="1"/>
    <xf borderId="0" fillId="0" fontId="3" numFmtId="0" xfId="0" applyFont="1"/>
    <xf borderId="0" fillId="0" fontId="3" numFmtId="1" xfId="0" applyFont="1" applyNumberFormat="1"/>
    <xf borderId="10" fillId="0" fontId="2" numFmtId="0" xfId="0" applyBorder="1" applyFont="1"/>
    <xf borderId="11" fillId="0" fontId="2" numFmtId="0" xfId="0" applyBorder="1" applyFont="1"/>
    <xf borderId="7" fillId="5" fontId="2" numFmtId="0" xfId="0" applyBorder="1" applyFont="1"/>
    <xf borderId="12" fillId="3" fontId="2" numFmtId="0" xfId="0" applyBorder="1" applyFont="1"/>
    <xf borderId="13" fillId="3" fontId="2" numFmtId="0" xfId="0" applyBorder="1" applyFont="1"/>
    <xf borderId="7" fillId="3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6" fillId="0" fontId="2" numFmtId="9" xfId="0" applyBorder="1" applyFont="1" applyNumberFormat="1"/>
    <xf borderId="17" fillId="0" fontId="2" numFmtId="0" xfId="0" applyBorder="1" applyFont="1"/>
    <xf borderId="6" fillId="3" fontId="2" numFmtId="0" xfId="0" applyAlignment="1" applyBorder="1" applyFont="1">
      <alignment readingOrder="0"/>
    </xf>
    <xf borderId="18" fillId="3" fontId="2" numFmtId="0" xfId="0" applyAlignment="1" applyBorder="1" applyFont="1">
      <alignment readingOrder="0"/>
    </xf>
    <xf borderId="19" fillId="0" fontId="2" numFmtId="0" xfId="0" applyBorder="1" applyFont="1"/>
    <xf borderId="13" fillId="3" fontId="2" numFmtId="0" xfId="0" applyAlignment="1" applyBorder="1" applyFont="1">
      <alignment readingOrder="0"/>
    </xf>
    <xf borderId="0" fillId="6" fontId="4" numFmtId="0" xfId="0" applyAlignment="1" applyFill="1" applyFont="1">
      <alignment readingOrder="0"/>
    </xf>
    <xf borderId="20" fillId="7" fontId="2" numFmtId="0" xfId="0" applyAlignment="1" applyBorder="1" applyFill="1" applyFont="1">
      <alignment horizontal="center"/>
    </xf>
    <xf borderId="21" fillId="0" fontId="5" numFmtId="0" xfId="0" applyBorder="1" applyFont="1"/>
    <xf borderId="22" fillId="7" fontId="2" numFmtId="0" xfId="0" applyAlignment="1" applyBorder="1" applyFont="1">
      <alignment horizontal="center"/>
    </xf>
    <xf borderId="23" fillId="0" fontId="5" numFmtId="0" xfId="0" applyBorder="1" applyFont="1"/>
    <xf borderId="24" fillId="8" fontId="6" numFmtId="0" xfId="0" applyAlignment="1" applyBorder="1" applyFill="1" applyFont="1">
      <alignment shrinkToFit="0" vertical="center" wrapText="1"/>
    </xf>
    <xf borderId="7" fillId="8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6" fillId="0" fontId="6" numFmtId="0" xfId="0" applyAlignment="1" applyBorder="1" applyFont="1">
      <alignment shrinkToFit="0" wrapText="1"/>
    </xf>
    <xf borderId="7" fillId="8" fontId="7" numFmtId="0" xfId="0" applyAlignment="1" applyBorder="1" applyFont="1">
      <alignment horizontal="center" shrinkToFit="0" vertical="center" wrapText="1"/>
    </xf>
    <xf borderId="0" fillId="0" fontId="2" numFmtId="9" xfId="0" applyFont="1" applyNumberFormat="1"/>
    <xf borderId="6" fillId="0" fontId="2" numFmtId="0" xfId="0" applyBorder="1" applyFont="1"/>
    <xf borderId="6" fillId="9" fontId="2" numFmtId="1" xfId="0" applyBorder="1" applyFill="1" applyFont="1" applyNumberFormat="1"/>
    <xf borderId="6" fillId="3" fontId="2" numFmtId="4" xfId="0" applyBorder="1" applyFont="1" applyNumberFormat="1"/>
    <xf borderId="6" fillId="10" fontId="2" numFmtId="9" xfId="0" applyBorder="1" applyFill="1" applyFont="1" applyNumberFormat="1"/>
    <xf borderId="24" fillId="8" fontId="7" numFmtId="0" xfId="0" applyAlignment="1" applyBorder="1" applyFont="1">
      <alignment horizontal="left" shrinkToFit="0" vertical="center" wrapText="1"/>
    </xf>
    <xf borderId="24" fillId="5" fontId="7" numFmtId="0" xfId="0" applyAlignment="1" applyBorder="1" applyFont="1">
      <alignment horizontal="left" shrinkToFit="0" vertical="center" wrapText="1"/>
    </xf>
    <xf borderId="25" fillId="8" fontId="8" numFmtId="0" xfId="0" applyAlignment="1" applyBorder="1" applyFont="1">
      <alignment horizontal="left" shrinkToFit="0" vertical="center" wrapText="1"/>
    </xf>
    <xf borderId="26" fillId="8" fontId="7" numFmtId="0" xfId="0" applyAlignment="1" applyBorder="1" applyFont="1">
      <alignment horizontal="center" shrinkToFit="0" vertical="center" wrapText="1"/>
    </xf>
    <xf borderId="6" fillId="0" fontId="7" numFmtId="1" xfId="0" applyAlignment="1" applyBorder="1" applyFont="1" applyNumberFormat="1">
      <alignment horizontal="center" shrinkToFit="0" vertical="center" wrapText="1"/>
    </xf>
    <xf borderId="0" fillId="0" fontId="1" numFmtId="4" xfId="0" applyFont="1" applyNumberFormat="1"/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0" fillId="6" fontId="6" numFmtId="0" xfId="0" applyAlignment="1" applyFont="1">
      <alignment shrinkToFit="0" wrapText="1"/>
    </xf>
    <xf borderId="0" fillId="6" fontId="6" numFmtId="0" xfId="0" applyAlignment="1" applyFont="1">
      <alignment shrinkToFit="0" vertical="center" wrapText="1"/>
    </xf>
    <xf borderId="0" fillId="6" fontId="2" numFmtId="1" xfId="0" applyFont="1" applyNumberFormat="1"/>
    <xf borderId="0" fillId="6" fontId="2" numFmtId="0" xfId="0" applyAlignment="1" applyFont="1">
      <alignment readingOrder="0"/>
    </xf>
    <xf borderId="0" fillId="6" fontId="2" numFmtId="9" xfId="0" applyFont="1" applyNumberFormat="1"/>
    <xf borderId="0" fillId="6" fontId="7" numFmtId="0" xfId="0" applyAlignment="1" applyFont="1">
      <alignment horizontal="left" shrinkToFit="0" vertical="center" wrapText="1"/>
    </xf>
    <xf borderId="0" fillId="6" fontId="1" numFmtId="0" xfId="0" applyFont="1"/>
    <xf borderId="0" fillId="6" fontId="9" numFmtId="0" xfId="0" applyFont="1"/>
    <xf borderId="6" fillId="8" fontId="2" numFmtId="0" xfId="0" applyBorder="1" applyFont="1"/>
    <xf borderId="6" fillId="0" fontId="2" numFmtId="0" xfId="0" applyAlignment="1" applyBorder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4" xfId="0" applyAlignment="1" applyFont="1" applyNumberFormat="1">
      <alignment vertical="bottom"/>
    </xf>
    <xf borderId="0" fillId="0" fontId="10" numFmtId="4" xfId="0" applyAlignment="1" applyFont="1" applyNumberFormat="1">
      <alignment horizontal="right" vertical="bottom"/>
    </xf>
    <xf borderId="6" fillId="0" fontId="10" numFmtId="4" xfId="0" applyAlignment="1" applyBorder="1" applyFont="1" applyNumberFormat="1">
      <alignment vertical="bottom"/>
    </xf>
    <xf borderId="6" fillId="0" fontId="10" numFmtId="3" xfId="0" applyAlignment="1" applyBorder="1" applyFont="1" applyNumberFormat="1">
      <alignment vertical="bottom"/>
    </xf>
    <xf borderId="27" fillId="0" fontId="1" numFmtId="4" xfId="0" applyAlignment="1" applyBorder="1" applyFont="1" applyNumberFormat="1">
      <alignment horizontal="center" readingOrder="0"/>
    </xf>
    <xf borderId="28" fillId="0" fontId="5" numFmtId="0" xfId="0" applyBorder="1" applyFont="1"/>
    <xf borderId="29" fillId="0" fontId="5" numFmtId="0" xfId="0" applyBorder="1" applyFont="1"/>
    <xf borderId="6" fillId="0" fontId="1" numFmtId="4" xfId="0" applyBorder="1" applyFont="1" applyNumberFormat="1"/>
    <xf borderId="6" fillId="0" fontId="1" numFmtId="3" xfId="0" applyBorder="1" applyFont="1" applyNumberFormat="1"/>
    <xf borderId="6" fillId="0" fontId="1" numFmtId="3" xfId="0" applyAlignment="1" applyBorder="1" applyFont="1" applyNumberFormat="1">
      <alignment readingOrder="0"/>
    </xf>
    <xf borderId="6" fillId="0" fontId="1" numFmtId="10" xfId="0" applyBorder="1" applyFont="1" applyNumberFormat="1"/>
    <xf borderId="6" fillId="0" fontId="1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4" sheet="Автоматизированный расчет"/>
  </cacheSource>
  <cacheFields>
    <cacheField name="Script name" numFmtId="0">
      <sharedItems>
        <s v="Покупка билета"/>
        <s v="Удаление бронирования "/>
        <s v="Регистрация новых пользователей"/>
        <s v="Логин"/>
        <s v="Поиск билета без покупки"/>
        <s v="Ознакомление с путевым листом"/>
      </sharedItems>
    </cacheField>
    <cacheField name="transaction rq" numFmtId="0">
      <sharedItems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>
        <n v="1.0"/>
        <n v="0.0"/>
      </sharedItems>
    </cacheField>
    <cacheField name="VU" numFmtId="0">
      <sharedItems containsSemiMixedTypes="0" containsString="0" containsNumber="1" containsInteger="1">
        <n v="3.0"/>
        <n v="1.0"/>
      </sharedItems>
    </cacheField>
    <cacheField name="pacing" numFmtId="1">
      <sharedItems containsSemiMixedTypes="0" containsString="0" containsNumber="1" containsInteger="1">
        <n v="62.0"/>
        <n v="48.0"/>
        <n v="37.0"/>
        <n v="180.0"/>
        <n v="101.0"/>
        <n v="56.0"/>
      </sharedItems>
    </cacheField>
    <cacheField name="одним пользователем в минуту" numFmtId="2">
      <sharedItems containsSemiMixedTypes="0" containsString="0" containsNumber="1">
        <n v="0.967741935483871"/>
        <n v="1.25"/>
        <n v="1.6216216216216217"/>
        <n v="0.0"/>
        <n v="0.3333333333333333"/>
        <n v="0.594059405940594"/>
        <n v="1.0714285714285714"/>
      </sharedItems>
    </cacheField>
    <cacheField name="Длительность ступени" numFmtId="0">
      <sharedItems containsSemiMixedTypes="0" containsString="0" containsNumber="1" containsInteger="1">
        <n v="20.0"/>
      </sharedItems>
    </cacheField>
    <cacheField name="Итого" numFmtId="1">
      <sharedItems containsSemiMixedTypes="0" containsString="0" containsNumber="1">
        <n v="58.064516129032256"/>
        <n v="25.0"/>
        <n v="32.432432432432435"/>
        <n v="0.0"/>
        <n v="6.666666666666666"/>
        <n v="35.64356435643564"/>
        <n v="21.42857142857142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dataCaption="" compact="0" compactData="0">
  <location ref="I1:J14" firstHeaderRow="0" firstDataRow="1" firstDataCol="0"/>
  <pivotFields>
    <pivotField name="Scrip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ansaction rq" axis="axisRow" compact="0" outline="0" multipleItemSelectionAllowed="1" showAll="0" sortType="ascending">
      <items>
        <item x="1"/>
        <item x="4"/>
        <item x="6"/>
        <item x="0"/>
        <item x="3"/>
        <item x="10"/>
        <item x="5"/>
        <item x="8"/>
        <item x="11"/>
        <item x="2"/>
        <item x="9"/>
        <item x="7"/>
        <item t="default"/>
      </items>
    </pivotField>
    <pivotField name="count" compact="0" outline="0" multipleItemSelectionAllowed="1" showAll="0">
      <items>
        <item x="0"/>
        <item x="1"/>
        <item t="default"/>
      </items>
    </pivotField>
    <pivotField name="VU" compact="0" outline="0" multipleItemSelectionAllowed="1" showAll="0">
      <items>
        <item x="0"/>
        <item x="1"/>
        <item t="default"/>
      </items>
    </pivotField>
    <pivotField name="pacing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одним пользователем в минуту" compact="0" numFmtId="2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Длительность ступени" compact="0" outline="0" multipleItemSelectionAllowed="1" showAll="0">
      <items>
        <item x="0"/>
        <item t="default"/>
      </items>
    </pivotField>
    <pivotField name="Итого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dataFields>
    <dataField name="Сумма по полю Итого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1.43"/>
    <col customWidth="1" min="3" max="3" width="18.14"/>
    <col customWidth="1" min="4" max="4" width="17.86"/>
    <col customWidth="1" min="5" max="5" width="19.14"/>
    <col customWidth="1" min="6" max="6" width="28.29"/>
    <col customWidth="1" min="7" max="7" width="18.71"/>
    <col customWidth="1" min="8" max="8" width="17.0"/>
    <col customWidth="1" min="9" max="9" width="41.29"/>
    <col customWidth="1" min="10" max="10" width="19.0"/>
    <col customWidth="1" min="11" max="11" width="18.14"/>
    <col customWidth="1" min="12" max="12" width="26.71"/>
    <col customWidth="1" min="13" max="13" width="35.14"/>
    <col customWidth="1" min="14" max="14" width="17.86"/>
    <col customWidth="1" min="15" max="15" width="23.86"/>
    <col customWidth="1" min="16" max="16" width="23.43"/>
    <col customWidth="1" min="17" max="17" width="26.0"/>
    <col customWidth="1" min="18" max="18" width="10.43"/>
    <col customWidth="1" min="19" max="19" width="34.14"/>
    <col customWidth="1" min="20" max="20" width="53.71"/>
    <col customWidth="1" min="21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3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3</v>
      </c>
      <c r="S1" s="5" t="s">
        <v>14</v>
      </c>
      <c r="T1" s="6" t="s">
        <v>15</v>
      </c>
      <c r="U1" s="7" t="s">
        <v>16</v>
      </c>
      <c r="V1" s="7" t="s">
        <v>17</v>
      </c>
      <c r="W1" s="8" t="s">
        <v>18</v>
      </c>
    </row>
    <row r="2">
      <c r="A2" s="9" t="s">
        <v>19</v>
      </c>
      <c r="B2" s="9" t="s">
        <v>20</v>
      </c>
      <c r="C2" s="10">
        <v>1.0</v>
      </c>
      <c r="D2" s="11">
        <f t="shared" ref="D2:D3" si="1">VLOOKUP(A2,$M$1:$X$8,6,FALSE)</f>
        <v>3</v>
      </c>
      <c r="E2" s="12">
        <f t="shared" ref="E2:E3" si="2">VLOOKUP(A2,$M$1:$X$8,5,FALSE)</f>
        <v>62</v>
      </c>
      <c r="F2" s="13">
        <f t="shared" ref="F2:F34" si="3">60/E2*C2</f>
        <v>0.9677419355</v>
      </c>
      <c r="G2" s="1">
        <f t="shared" ref="G2:G34" si="4">VLOOKUP(A2,$M$1:$X$8,9,FALSE)</f>
        <v>20</v>
      </c>
      <c r="H2" s="14">
        <f t="shared" ref="H2:H34" si="5">D2*F2*G2</f>
        <v>58.06451613</v>
      </c>
      <c r="M2" s="16" t="s">
        <v>19</v>
      </c>
      <c r="N2" s="17">
        <v>7.0</v>
      </c>
      <c r="O2" s="18">
        <f>3+3+3+4+3+5+3</f>
        <v>24</v>
      </c>
      <c r="P2" s="19">
        <f t="shared" ref="P2:P7" si="6">N2+O2</f>
        <v>31</v>
      </c>
      <c r="Q2" s="20">
        <v>62.0</v>
      </c>
      <c r="R2" s="21">
        <v>3.0</v>
      </c>
      <c r="S2" s="22">
        <f t="shared" ref="S2:S7" si="7">R2/W$2</f>
        <v>0.3</v>
      </c>
      <c r="T2" s="23">
        <f t="shared" ref="T2:T7" si="8">60/(Q2)</f>
        <v>0.9677419355</v>
      </c>
      <c r="U2" s="24">
        <v>20.0</v>
      </c>
      <c r="V2" s="25">
        <f t="shared" ref="V2:V6" si="9">ROUND(R2*T2*U2,0)</f>
        <v>58</v>
      </c>
      <c r="W2" s="26">
        <f>SUM(R2:R7)</f>
        <v>10</v>
      </c>
    </row>
    <row r="3">
      <c r="A3" s="9" t="s">
        <v>19</v>
      </c>
      <c r="B3" s="9" t="s">
        <v>21</v>
      </c>
      <c r="C3" s="10">
        <v>1.0</v>
      </c>
      <c r="D3" s="27">
        <f t="shared" si="1"/>
        <v>3</v>
      </c>
      <c r="E3" s="12">
        <f t="shared" si="2"/>
        <v>62</v>
      </c>
      <c r="F3" s="13">
        <f t="shared" si="3"/>
        <v>0.9677419355</v>
      </c>
      <c r="G3" s="1">
        <f t="shared" si="4"/>
        <v>20</v>
      </c>
      <c r="H3" s="14">
        <f t="shared" si="5"/>
        <v>58.06451613</v>
      </c>
      <c r="M3" s="16" t="s">
        <v>23</v>
      </c>
      <c r="N3" s="17">
        <v>4.0</v>
      </c>
      <c r="O3" s="18">
        <f>3+3+3+5++5</f>
        <v>19</v>
      </c>
      <c r="P3" s="19">
        <f t="shared" si="6"/>
        <v>23</v>
      </c>
      <c r="Q3" s="20">
        <v>48.0</v>
      </c>
      <c r="R3" s="28">
        <v>1.0</v>
      </c>
      <c r="S3" s="22">
        <f t="shared" si="7"/>
        <v>0.1</v>
      </c>
      <c r="T3" s="23">
        <f t="shared" si="8"/>
        <v>1.25</v>
      </c>
      <c r="U3" s="24">
        <v>20.0</v>
      </c>
      <c r="V3" s="25">
        <f t="shared" si="9"/>
        <v>25</v>
      </c>
      <c r="W3" s="26"/>
    </row>
    <row r="4">
      <c r="A4" s="9" t="s">
        <v>19</v>
      </c>
      <c r="B4" s="9" t="s">
        <v>24</v>
      </c>
      <c r="C4" s="10">
        <v>1.0</v>
      </c>
      <c r="D4" s="27">
        <f t="shared" ref="D4:D5" si="10">VLOOKUP(A5,$M$1:$X$8,6,FALSE)</f>
        <v>3</v>
      </c>
      <c r="E4" s="12">
        <f t="shared" ref="E4:E5" si="11">VLOOKUP(A5,$M$1:$X$8,5,FALSE)</f>
        <v>62</v>
      </c>
      <c r="F4" s="13">
        <f t="shared" si="3"/>
        <v>0.9677419355</v>
      </c>
      <c r="G4" s="1">
        <f t="shared" si="4"/>
        <v>20</v>
      </c>
      <c r="H4" s="14">
        <f t="shared" si="5"/>
        <v>58.06451613</v>
      </c>
      <c r="M4" s="16" t="s">
        <v>26</v>
      </c>
      <c r="N4" s="17">
        <v>2.0</v>
      </c>
      <c r="O4" s="18">
        <f>3+5+5+2</f>
        <v>15</v>
      </c>
      <c r="P4" s="19">
        <f t="shared" si="6"/>
        <v>17</v>
      </c>
      <c r="Q4" s="20">
        <v>37.0</v>
      </c>
      <c r="R4" s="21">
        <v>1.0</v>
      </c>
      <c r="S4" s="22">
        <f t="shared" si="7"/>
        <v>0.1</v>
      </c>
      <c r="T4" s="23">
        <f t="shared" si="8"/>
        <v>1.621621622</v>
      </c>
      <c r="U4" s="24">
        <v>20.0</v>
      </c>
      <c r="V4" s="25">
        <f t="shared" si="9"/>
        <v>32</v>
      </c>
      <c r="W4" s="26"/>
    </row>
    <row r="5">
      <c r="A5" s="9" t="s">
        <v>19</v>
      </c>
      <c r="B5" s="9" t="s">
        <v>27</v>
      </c>
      <c r="C5" s="10">
        <v>1.0</v>
      </c>
      <c r="D5" s="27">
        <f t="shared" si="10"/>
        <v>3</v>
      </c>
      <c r="E5" s="12">
        <f t="shared" si="11"/>
        <v>62</v>
      </c>
      <c r="F5" s="13">
        <f t="shared" si="3"/>
        <v>0.9677419355</v>
      </c>
      <c r="G5" s="1">
        <f t="shared" si="4"/>
        <v>20</v>
      </c>
      <c r="H5" s="14">
        <f t="shared" si="5"/>
        <v>58.06451613</v>
      </c>
      <c r="M5" s="16" t="s">
        <v>28</v>
      </c>
      <c r="N5" s="17">
        <v>4.0</v>
      </c>
      <c r="O5" s="18">
        <f>3+3+5+5+5+5</f>
        <v>26</v>
      </c>
      <c r="P5" s="19">
        <f t="shared" si="6"/>
        <v>30</v>
      </c>
      <c r="Q5" s="20">
        <v>101.0</v>
      </c>
      <c r="R5" s="21">
        <v>3.0</v>
      </c>
      <c r="S5" s="22">
        <f t="shared" si="7"/>
        <v>0.3</v>
      </c>
      <c r="T5" s="23">
        <f t="shared" si="8"/>
        <v>0.5940594059</v>
      </c>
      <c r="U5" s="24">
        <v>20.0</v>
      </c>
      <c r="V5" s="25">
        <f t="shared" si="9"/>
        <v>36</v>
      </c>
      <c r="W5" s="26"/>
    </row>
    <row r="6">
      <c r="A6" s="9" t="s">
        <v>19</v>
      </c>
      <c r="B6" s="9" t="s">
        <v>22</v>
      </c>
      <c r="C6" s="10">
        <v>1.0</v>
      </c>
      <c r="D6" s="27">
        <f t="shared" ref="D6:D34" si="12">VLOOKUP(A6,$M$1:$X$8,6,FALSE)</f>
        <v>3</v>
      </c>
      <c r="E6" s="12">
        <f t="shared" ref="E6:E34" si="13">VLOOKUP(A6,$M$1:$X$8,5,FALSE)</f>
        <v>62</v>
      </c>
      <c r="F6" s="13">
        <f t="shared" si="3"/>
        <v>0.9677419355</v>
      </c>
      <c r="G6" s="1">
        <f t="shared" si="4"/>
        <v>20</v>
      </c>
      <c r="H6" s="14">
        <f t="shared" si="5"/>
        <v>58.06451613</v>
      </c>
      <c r="M6" s="16" t="s">
        <v>29</v>
      </c>
      <c r="N6" s="17">
        <v>2.0</v>
      </c>
      <c r="O6" s="18">
        <f t="shared" ref="O6:O7" si="14">3+3+3+5</f>
        <v>14</v>
      </c>
      <c r="P6" s="19">
        <f t="shared" si="6"/>
        <v>16</v>
      </c>
      <c r="Q6" s="20">
        <v>56.0</v>
      </c>
      <c r="R6" s="21">
        <v>1.0</v>
      </c>
      <c r="S6" s="22">
        <f t="shared" si="7"/>
        <v>0.1</v>
      </c>
      <c r="T6" s="23">
        <f t="shared" si="8"/>
        <v>1.071428571</v>
      </c>
      <c r="U6" s="24">
        <v>20.0</v>
      </c>
      <c r="V6" s="25">
        <f t="shared" si="9"/>
        <v>21</v>
      </c>
      <c r="W6" s="26"/>
    </row>
    <row r="7">
      <c r="A7" s="29" t="s">
        <v>19</v>
      </c>
      <c r="B7" s="9" t="s">
        <v>30</v>
      </c>
      <c r="C7" s="30">
        <v>1.0</v>
      </c>
      <c r="D7" s="27">
        <f t="shared" si="12"/>
        <v>3</v>
      </c>
      <c r="E7" s="12">
        <f t="shared" si="13"/>
        <v>62</v>
      </c>
      <c r="F7" s="13">
        <f t="shared" si="3"/>
        <v>0.9677419355</v>
      </c>
      <c r="G7" s="1">
        <f t="shared" si="4"/>
        <v>20</v>
      </c>
      <c r="H7" s="14">
        <f t="shared" si="5"/>
        <v>58.06451613</v>
      </c>
      <c r="M7" s="16" t="s">
        <v>32</v>
      </c>
      <c r="N7" s="17">
        <v>3.0</v>
      </c>
      <c r="O7" s="18">
        <f t="shared" si="14"/>
        <v>14</v>
      </c>
      <c r="P7" s="19">
        <f t="shared" si="6"/>
        <v>17</v>
      </c>
      <c r="Q7" s="20">
        <v>180.0</v>
      </c>
      <c r="R7" s="28">
        <v>1.0</v>
      </c>
      <c r="S7" s="22">
        <f t="shared" si="7"/>
        <v>0.1</v>
      </c>
      <c r="T7" s="23">
        <f t="shared" si="8"/>
        <v>0.3333333333</v>
      </c>
      <c r="U7" s="24">
        <v>20.0</v>
      </c>
      <c r="V7" s="25">
        <f>SUM(V2:V6)</f>
        <v>172</v>
      </c>
      <c r="W7" s="26"/>
    </row>
    <row r="8">
      <c r="A8" s="9" t="s">
        <v>19</v>
      </c>
      <c r="B8" s="9" t="s">
        <v>25</v>
      </c>
      <c r="C8" s="31">
        <v>1.0</v>
      </c>
      <c r="D8" s="27">
        <f t="shared" si="12"/>
        <v>3</v>
      </c>
      <c r="E8" s="12">
        <f t="shared" si="13"/>
        <v>62</v>
      </c>
      <c r="F8" s="13">
        <f t="shared" si="3"/>
        <v>0.9677419355</v>
      </c>
      <c r="G8" s="1">
        <f t="shared" si="4"/>
        <v>20</v>
      </c>
      <c r="H8" s="14">
        <f t="shared" si="5"/>
        <v>58.06451613</v>
      </c>
      <c r="M8" s="32"/>
      <c r="N8" s="33"/>
      <c r="O8" s="33"/>
      <c r="P8" s="33"/>
      <c r="Q8" s="33"/>
      <c r="R8" s="33"/>
      <c r="S8" s="34">
        <f>SUM(S2:S7)</f>
        <v>1</v>
      </c>
      <c r="T8" s="33"/>
      <c r="U8" s="33"/>
      <c r="V8" s="33"/>
      <c r="W8" s="35"/>
    </row>
    <row r="9">
      <c r="A9" s="9" t="s">
        <v>23</v>
      </c>
      <c r="B9" s="9" t="s">
        <v>20</v>
      </c>
      <c r="C9" s="9">
        <v>1.0</v>
      </c>
      <c r="D9" s="8">
        <f t="shared" si="12"/>
        <v>1</v>
      </c>
      <c r="E9" s="14">
        <f t="shared" si="13"/>
        <v>48</v>
      </c>
      <c r="F9" s="13">
        <f t="shared" si="3"/>
        <v>1.25</v>
      </c>
      <c r="G9" s="1">
        <f t="shared" si="4"/>
        <v>20</v>
      </c>
      <c r="H9" s="14">
        <f t="shared" si="5"/>
        <v>25</v>
      </c>
    </row>
    <row r="10">
      <c r="A10" s="9" t="s">
        <v>23</v>
      </c>
      <c r="B10" s="9" t="s">
        <v>21</v>
      </c>
      <c r="C10" s="9">
        <v>1.0</v>
      </c>
      <c r="D10" s="26">
        <f t="shared" si="12"/>
        <v>1</v>
      </c>
      <c r="E10" s="14">
        <f t="shared" si="13"/>
        <v>48</v>
      </c>
      <c r="F10" s="13">
        <f t="shared" si="3"/>
        <v>1.25</v>
      </c>
      <c r="G10" s="1">
        <f t="shared" si="4"/>
        <v>20</v>
      </c>
      <c r="H10" s="14">
        <f t="shared" si="5"/>
        <v>25</v>
      </c>
    </row>
    <row r="11">
      <c r="A11" s="9" t="s">
        <v>23</v>
      </c>
      <c r="B11" s="9" t="s">
        <v>35</v>
      </c>
      <c r="C11" s="9">
        <v>1.0</v>
      </c>
      <c r="D11" s="26">
        <f t="shared" si="12"/>
        <v>1</v>
      </c>
      <c r="E11" s="14">
        <f t="shared" si="13"/>
        <v>48</v>
      </c>
      <c r="F11" s="13">
        <f t="shared" si="3"/>
        <v>1.25</v>
      </c>
      <c r="G11" s="1">
        <f t="shared" si="4"/>
        <v>20</v>
      </c>
      <c r="H11" s="14">
        <f t="shared" si="5"/>
        <v>25</v>
      </c>
    </row>
    <row r="12">
      <c r="A12" s="9" t="s">
        <v>23</v>
      </c>
      <c r="B12" s="9" t="s">
        <v>33</v>
      </c>
      <c r="C12" s="9">
        <v>1.0</v>
      </c>
      <c r="D12" s="26">
        <f t="shared" si="12"/>
        <v>1</v>
      </c>
      <c r="E12" s="14">
        <f t="shared" si="13"/>
        <v>48</v>
      </c>
      <c r="F12" s="13">
        <f t="shared" si="3"/>
        <v>1.25</v>
      </c>
      <c r="G12" s="1">
        <f t="shared" si="4"/>
        <v>20</v>
      </c>
      <c r="H12" s="14">
        <f t="shared" si="5"/>
        <v>25</v>
      </c>
    </row>
    <row r="13">
      <c r="A13" s="9" t="s">
        <v>23</v>
      </c>
      <c r="B13" s="9" t="s">
        <v>25</v>
      </c>
      <c r="C13" s="36">
        <v>1.0</v>
      </c>
      <c r="D13" s="35">
        <f t="shared" si="12"/>
        <v>1</v>
      </c>
      <c r="E13" s="14">
        <f t="shared" si="13"/>
        <v>48</v>
      </c>
      <c r="F13" s="13">
        <f t="shared" si="3"/>
        <v>1.25</v>
      </c>
      <c r="G13" s="1">
        <f t="shared" si="4"/>
        <v>20</v>
      </c>
      <c r="H13" s="14">
        <f t="shared" si="5"/>
        <v>25</v>
      </c>
    </row>
    <row r="14">
      <c r="A14" s="9" t="s">
        <v>26</v>
      </c>
      <c r="B14" s="9" t="s">
        <v>20</v>
      </c>
      <c r="C14" s="9">
        <v>1.0</v>
      </c>
      <c r="D14" s="8">
        <f t="shared" si="12"/>
        <v>1</v>
      </c>
      <c r="E14" s="14">
        <f t="shared" si="13"/>
        <v>37</v>
      </c>
      <c r="F14" s="13">
        <f t="shared" si="3"/>
        <v>1.621621622</v>
      </c>
      <c r="G14" s="1">
        <f t="shared" si="4"/>
        <v>20</v>
      </c>
      <c r="H14" s="14">
        <f t="shared" si="5"/>
        <v>32.43243243</v>
      </c>
    </row>
    <row r="15">
      <c r="A15" s="9" t="s">
        <v>26</v>
      </c>
      <c r="B15" s="9" t="s">
        <v>36</v>
      </c>
      <c r="C15" s="9">
        <v>1.0</v>
      </c>
      <c r="D15" s="26">
        <f t="shared" si="12"/>
        <v>1</v>
      </c>
      <c r="E15" s="14">
        <f t="shared" si="13"/>
        <v>37</v>
      </c>
      <c r="F15" s="13">
        <f t="shared" si="3"/>
        <v>1.621621622</v>
      </c>
      <c r="G15" s="1">
        <f t="shared" si="4"/>
        <v>20</v>
      </c>
      <c r="H15" s="14">
        <f t="shared" si="5"/>
        <v>32.43243243</v>
      </c>
    </row>
    <row r="16">
      <c r="A16" s="9" t="s">
        <v>26</v>
      </c>
      <c r="B16" s="9" t="s">
        <v>31</v>
      </c>
      <c r="C16" s="9">
        <v>1.0</v>
      </c>
      <c r="D16" s="26">
        <f t="shared" si="12"/>
        <v>1</v>
      </c>
      <c r="E16" s="14">
        <f t="shared" si="13"/>
        <v>37</v>
      </c>
      <c r="F16" s="13">
        <f t="shared" si="3"/>
        <v>1.621621622</v>
      </c>
      <c r="G16" s="1">
        <f t="shared" si="4"/>
        <v>20</v>
      </c>
      <c r="H16" s="14">
        <f t="shared" si="5"/>
        <v>32.43243243</v>
      </c>
    </row>
    <row r="17">
      <c r="A17" s="9" t="s">
        <v>26</v>
      </c>
      <c r="B17" s="9" t="s">
        <v>34</v>
      </c>
      <c r="C17" s="9">
        <v>1.0</v>
      </c>
      <c r="D17" s="26">
        <f t="shared" si="12"/>
        <v>1</v>
      </c>
      <c r="E17" s="14">
        <f t="shared" si="13"/>
        <v>37</v>
      </c>
      <c r="F17" s="13">
        <f t="shared" si="3"/>
        <v>1.621621622</v>
      </c>
      <c r="G17" s="1">
        <f t="shared" si="4"/>
        <v>20</v>
      </c>
      <c r="H17" s="14">
        <f t="shared" si="5"/>
        <v>32.43243243</v>
      </c>
    </row>
    <row r="18">
      <c r="A18" s="9" t="s">
        <v>26</v>
      </c>
      <c r="B18" s="9" t="s">
        <v>25</v>
      </c>
      <c r="C18" s="36">
        <v>0.0</v>
      </c>
      <c r="D18" s="26">
        <f t="shared" si="12"/>
        <v>1</v>
      </c>
      <c r="E18" s="14">
        <f t="shared" si="13"/>
        <v>37</v>
      </c>
      <c r="F18" s="13">
        <f t="shared" si="3"/>
        <v>0</v>
      </c>
      <c r="G18" s="1">
        <f t="shared" si="4"/>
        <v>20</v>
      </c>
      <c r="H18" s="14">
        <f t="shared" si="5"/>
        <v>0</v>
      </c>
    </row>
    <row r="19">
      <c r="A19" s="9" t="s">
        <v>32</v>
      </c>
      <c r="B19" s="9" t="s">
        <v>20</v>
      </c>
      <c r="C19" s="10">
        <v>1.0</v>
      </c>
      <c r="D19" s="11">
        <f t="shared" si="12"/>
        <v>1</v>
      </c>
      <c r="E19" s="12">
        <f t="shared" si="13"/>
        <v>180</v>
      </c>
      <c r="F19" s="13">
        <f t="shared" si="3"/>
        <v>0.3333333333</v>
      </c>
      <c r="G19" s="1">
        <f t="shared" si="4"/>
        <v>20</v>
      </c>
      <c r="H19" s="14">
        <f t="shared" si="5"/>
        <v>6.666666667</v>
      </c>
    </row>
    <row r="20">
      <c r="A20" s="9" t="s">
        <v>32</v>
      </c>
      <c r="B20" s="9" t="s">
        <v>21</v>
      </c>
      <c r="C20" s="10">
        <v>1.0</v>
      </c>
      <c r="D20" s="27">
        <f t="shared" si="12"/>
        <v>1</v>
      </c>
      <c r="E20" s="12">
        <f t="shared" si="13"/>
        <v>180</v>
      </c>
      <c r="F20" s="13">
        <f t="shared" si="3"/>
        <v>0.3333333333</v>
      </c>
      <c r="G20" s="1">
        <f t="shared" si="4"/>
        <v>20</v>
      </c>
      <c r="H20" s="14">
        <f t="shared" si="5"/>
        <v>6.666666667</v>
      </c>
    </row>
    <row r="21" ht="15.75" customHeight="1">
      <c r="A21" s="9" t="s">
        <v>32</v>
      </c>
      <c r="B21" s="9" t="s">
        <v>35</v>
      </c>
      <c r="C21" s="37">
        <v>1.0</v>
      </c>
      <c r="D21" s="27">
        <f t="shared" si="12"/>
        <v>1</v>
      </c>
      <c r="E21" s="12">
        <f t="shared" si="13"/>
        <v>180</v>
      </c>
      <c r="F21" s="13">
        <f t="shared" si="3"/>
        <v>0.3333333333</v>
      </c>
      <c r="G21" s="1">
        <f t="shared" si="4"/>
        <v>20</v>
      </c>
      <c r="H21" s="14">
        <f t="shared" si="5"/>
        <v>6.666666667</v>
      </c>
      <c r="M21" s="1"/>
    </row>
    <row r="22" ht="15.75" customHeight="1">
      <c r="A22" s="36" t="s">
        <v>32</v>
      </c>
      <c r="B22" s="36" t="s">
        <v>24</v>
      </c>
      <c r="C22" s="36">
        <v>1.0</v>
      </c>
      <c r="D22" s="26">
        <f t="shared" si="12"/>
        <v>1</v>
      </c>
      <c r="E22" s="12">
        <f t="shared" si="13"/>
        <v>180</v>
      </c>
      <c r="F22" s="13">
        <f t="shared" si="3"/>
        <v>0.3333333333</v>
      </c>
      <c r="G22" s="1">
        <f t="shared" si="4"/>
        <v>20</v>
      </c>
      <c r="H22" s="14">
        <f t="shared" si="5"/>
        <v>6.666666667</v>
      </c>
    </row>
    <row r="23" ht="15.75" customHeight="1">
      <c r="A23" s="9" t="s">
        <v>32</v>
      </c>
      <c r="B23" s="9" t="s">
        <v>25</v>
      </c>
      <c r="C23" s="31">
        <v>1.0</v>
      </c>
      <c r="D23" s="38">
        <f t="shared" si="12"/>
        <v>1</v>
      </c>
      <c r="E23" s="12">
        <f t="shared" si="13"/>
        <v>180</v>
      </c>
      <c r="F23" s="13">
        <f t="shared" si="3"/>
        <v>0.3333333333</v>
      </c>
      <c r="G23" s="1">
        <f t="shared" si="4"/>
        <v>20</v>
      </c>
      <c r="H23" s="14">
        <f t="shared" si="5"/>
        <v>6.666666667</v>
      </c>
    </row>
    <row r="24" ht="15.75" customHeight="1">
      <c r="A24" s="9" t="s">
        <v>28</v>
      </c>
      <c r="B24" s="9" t="s">
        <v>20</v>
      </c>
      <c r="C24" s="9">
        <v>1.0</v>
      </c>
      <c r="D24" s="26">
        <f t="shared" si="12"/>
        <v>3</v>
      </c>
      <c r="E24" s="12">
        <f t="shared" si="13"/>
        <v>101</v>
      </c>
      <c r="F24" s="13">
        <f t="shared" si="3"/>
        <v>0.5940594059</v>
      </c>
      <c r="G24" s="1">
        <f t="shared" si="4"/>
        <v>20</v>
      </c>
      <c r="H24" s="14">
        <f t="shared" si="5"/>
        <v>35.64356436</v>
      </c>
    </row>
    <row r="25" ht="15.75" customHeight="1">
      <c r="A25" s="9" t="s">
        <v>28</v>
      </c>
      <c r="B25" s="9" t="s">
        <v>21</v>
      </c>
      <c r="C25" s="9">
        <v>1.0</v>
      </c>
      <c r="D25" s="26">
        <f t="shared" si="12"/>
        <v>3</v>
      </c>
      <c r="E25" s="12">
        <f t="shared" si="13"/>
        <v>101</v>
      </c>
      <c r="F25" s="13">
        <f t="shared" si="3"/>
        <v>0.5940594059</v>
      </c>
      <c r="G25" s="1">
        <f t="shared" si="4"/>
        <v>20</v>
      </c>
      <c r="H25" s="14">
        <f t="shared" si="5"/>
        <v>35.64356436</v>
      </c>
    </row>
    <row r="26" ht="15.75" customHeight="1">
      <c r="A26" s="9" t="s">
        <v>28</v>
      </c>
      <c r="B26" s="1" t="s">
        <v>24</v>
      </c>
      <c r="C26" s="30">
        <v>1.0</v>
      </c>
      <c r="D26" s="26">
        <f t="shared" si="12"/>
        <v>3</v>
      </c>
      <c r="E26" s="12">
        <f t="shared" si="13"/>
        <v>101</v>
      </c>
      <c r="F26" s="13">
        <f t="shared" si="3"/>
        <v>0.5940594059</v>
      </c>
      <c r="G26" s="1">
        <f t="shared" si="4"/>
        <v>20</v>
      </c>
      <c r="H26" s="14">
        <f t="shared" si="5"/>
        <v>35.64356436</v>
      </c>
    </row>
    <row r="27" ht="15.75" customHeight="1">
      <c r="A27" s="9" t="s">
        <v>28</v>
      </c>
      <c r="B27" s="9" t="s">
        <v>27</v>
      </c>
      <c r="C27" s="9">
        <v>1.0</v>
      </c>
      <c r="D27" s="26">
        <f t="shared" si="12"/>
        <v>3</v>
      </c>
      <c r="E27" s="12">
        <f t="shared" si="13"/>
        <v>101</v>
      </c>
      <c r="F27" s="13">
        <f t="shared" si="3"/>
        <v>0.5940594059</v>
      </c>
      <c r="G27" s="1">
        <f t="shared" si="4"/>
        <v>20</v>
      </c>
      <c r="H27" s="14">
        <f t="shared" si="5"/>
        <v>35.64356436</v>
      </c>
    </row>
    <row r="28" ht="15.75" customHeight="1">
      <c r="A28" s="9" t="s">
        <v>28</v>
      </c>
      <c r="B28" s="9" t="s">
        <v>22</v>
      </c>
      <c r="C28" s="36">
        <v>1.0</v>
      </c>
      <c r="D28" s="26">
        <f t="shared" si="12"/>
        <v>3</v>
      </c>
      <c r="E28" s="12">
        <f t="shared" si="13"/>
        <v>101</v>
      </c>
      <c r="F28" s="13">
        <f t="shared" si="3"/>
        <v>0.5940594059</v>
      </c>
      <c r="G28" s="1">
        <f t="shared" si="4"/>
        <v>20</v>
      </c>
      <c r="H28" s="14">
        <f t="shared" si="5"/>
        <v>35.64356436</v>
      </c>
    </row>
    <row r="29" ht="15.75" customHeight="1">
      <c r="A29" s="9" t="s">
        <v>28</v>
      </c>
      <c r="B29" s="9" t="s">
        <v>35</v>
      </c>
      <c r="C29" s="39">
        <v>1.0</v>
      </c>
      <c r="D29" s="26">
        <f t="shared" si="12"/>
        <v>3</v>
      </c>
      <c r="E29" s="12">
        <f t="shared" si="13"/>
        <v>101</v>
      </c>
      <c r="F29" s="13">
        <f t="shared" si="3"/>
        <v>0.5940594059</v>
      </c>
      <c r="G29" s="1">
        <f t="shared" si="4"/>
        <v>20</v>
      </c>
      <c r="H29" s="14">
        <f t="shared" si="5"/>
        <v>35.64356436</v>
      </c>
    </row>
    <row r="30" ht="15.75" customHeight="1">
      <c r="A30" s="9" t="s">
        <v>28</v>
      </c>
      <c r="B30" s="9" t="s">
        <v>25</v>
      </c>
      <c r="C30" s="36">
        <v>0.0</v>
      </c>
      <c r="D30" s="26">
        <f t="shared" si="12"/>
        <v>3</v>
      </c>
      <c r="E30" s="12">
        <f t="shared" si="13"/>
        <v>101</v>
      </c>
      <c r="F30" s="13">
        <f t="shared" si="3"/>
        <v>0</v>
      </c>
      <c r="G30" s="1">
        <f t="shared" si="4"/>
        <v>20</v>
      </c>
      <c r="H30" s="14">
        <f t="shared" si="5"/>
        <v>0</v>
      </c>
    </row>
    <row r="31" ht="15.75" customHeight="1">
      <c r="A31" s="9" t="s">
        <v>29</v>
      </c>
      <c r="B31" s="9" t="s">
        <v>20</v>
      </c>
      <c r="C31" s="36">
        <v>1.0</v>
      </c>
      <c r="D31" s="8">
        <f t="shared" si="12"/>
        <v>1</v>
      </c>
      <c r="E31" s="12">
        <f t="shared" si="13"/>
        <v>56</v>
      </c>
      <c r="F31" s="13">
        <f t="shared" si="3"/>
        <v>1.071428571</v>
      </c>
      <c r="G31" s="1">
        <f t="shared" si="4"/>
        <v>20</v>
      </c>
      <c r="H31" s="14">
        <f t="shared" si="5"/>
        <v>21.42857143</v>
      </c>
    </row>
    <row r="32" ht="15.75" customHeight="1">
      <c r="A32" s="9" t="s">
        <v>29</v>
      </c>
      <c r="B32" s="9" t="s">
        <v>21</v>
      </c>
      <c r="C32" s="36">
        <v>1.0</v>
      </c>
      <c r="D32" s="26">
        <f t="shared" si="12"/>
        <v>1</v>
      </c>
      <c r="E32" s="12">
        <f t="shared" si="13"/>
        <v>56</v>
      </c>
      <c r="F32" s="13">
        <f t="shared" si="3"/>
        <v>1.071428571</v>
      </c>
      <c r="G32" s="1">
        <f t="shared" si="4"/>
        <v>20</v>
      </c>
      <c r="H32" s="14">
        <f t="shared" si="5"/>
        <v>21.42857143</v>
      </c>
    </row>
    <row r="33" ht="15.75" customHeight="1">
      <c r="A33" s="9" t="s">
        <v>29</v>
      </c>
      <c r="B33" s="9" t="s">
        <v>35</v>
      </c>
      <c r="C33" s="36">
        <v>1.0</v>
      </c>
      <c r="D33" s="26">
        <f t="shared" si="12"/>
        <v>1</v>
      </c>
      <c r="E33" s="12">
        <f t="shared" si="13"/>
        <v>56</v>
      </c>
      <c r="F33" s="13">
        <f t="shared" si="3"/>
        <v>1.071428571</v>
      </c>
      <c r="G33" s="1">
        <f t="shared" si="4"/>
        <v>20</v>
      </c>
      <c r="H33" s="14">
        <f t="shared" si="5"/>
        <v>21.42857143</v>
      </c>
    </row>
    <row r="34" ht="15.75" customHeight="1">
      <c r="A34" s="9" t="s">
        <v>29</v>
      </c>
      <c r="B34" s="9" t="s">
        <v>25</v>
      </c>
      <c r="C34" s="36">
        <v>1.0</v>
      </c>
      <c r="D34" s="35">
        <f t="shared" si="12"/>
        <v>1</v>
      </c>
      <c r="E34" s="12">
        <f t="shared" si="13"/>
        <v>56</v>
      </c>
      <c r="F34" s="13">
        <f t="shared" si="3"/>
        <v>1.071428571</v>
      </c>
      <c r="G34" s="1">
        <f t="shared" si="4"/>
        <v>20</v>
      </c>
      <c r="H34" s="14">
        <f t="shared" si="5"/>
        <v>21.42857143</v>
      </c>
    </row>
    <row r="35" ht="15.75" customHeight="1">
      <c r="L35" s="40"/>
    </row>
    <row r="36" ht="15.75" customHeight="1">
      <c r="L36" s="40"/>
    </row>
    <row r="37" ht="15.75" customHeight="1">
      <c r="A37" s="41" t="s">
        <v>37</v>
      </c>
      <c r="B37" s="42"/>
      <c r="C37" s="43" t="s">
        <v>38</v>
      </c>
      <c r="D37" s="44"/>
      <c r="L37" s="40"/>
    </row>
    <row r="38" ht="15.75" customHeight="1">
      <c r="A38" s="45" t="s">
        <v>39</v>
      </c>
      <c r="B38" s="46" t="s">
        <v>40</v>
      </c>
      <c r="C38" s="47" t="s">
        <v>41</v>
      </c>
      <c r="D38" s="47" t="s">
        <v>42</v>
      </c>
      <c r="E38" s="48"/>
      <c r="F38" s="49" t="s">
        <v>43</v>
      </c>
      <c r="G38" s="47" t="s">
        <v>44</v>
      </c>
      <c r="H38" s="47" t="s">
        <v>45</v>
      </c>
      <c r="I38" s="47" t="s">
        <v>46</v>
      </c>
      <c r="L38" s="40"/>
    </row>
    <row r="39" ht="15.75" customHeight="1">
      <c r="A39" s="45" t="s">
        <v>20</v>
      </c>
      <c r="B39" s="50">
        <v>520.0</v>
      </c>
      <c r="C39" s="19">
        <f t="shared" ref="C39:C50" si="15">GETPIVOTDATA("Итого",$I$1,"transaction rq",A39)*3</f>
        <v>537.707253</v>
      </c>
      <c r="D39" s="22">
        <f t="shared" ref="D39:D51" si="16">1-B39/C39</f>
        <v>0.03293102881</v>
      </c>
      <c r="E39" s="51"/>
      <c r="F39" s="52" t="str">
        <f>VLOOKUP(A39,'Соответствие'!A:B,2,FALSE)</f>
        <v>go_to_web_tours</v>
      </c>
      <c r="G39" s="53">
        <f t="shared" ref="G39:G50" si="17">C39/3</f>
        <v>179.235751</v>
      </c>
      <c r="H39" s="54">
        <f>VLOOKUP(F39,SummaryReport!A:J,8,FALSE)</f>
        <v>177</v>
      </c>
      <c r="I39" s="55">
        <f t="shared" ref="I39:I51" si="18">1-G39/H39</f>
        <v>-0.01263136166</v>
      </c>
      <c r="L39" s="40"/>
    </row>
    <row r="40" ht="15.75" customHeight="1">
      <c r="A40" s="56" t="s">
        <v>21</v>
      </c>
      <c r="B40" s="50">
        <v>422.0</v>
      </c>
      <c r="C40" s="19">
        <f t="shared" si="15"/>
        <v>440.4099557</v>
      </c>
      <c r="D40" s="22">
        <f t="shared" si="16"/>
        <v>0.04180186098</v>
      </c>
      <c r="E40" s="51"/>
      <c r="F40" s="52" t="str">
        <f>VLOOKUP(A40,'Соответствие'!A:B,2,FALSE)</f>
        <v>login</v>
      </c>
      <c r="G40" s="53">
        <f t="shared" si="17"/>
        <v>146.8033186</v>
      </c>
      <c r="H40" s="54">
        <f>VLOOKUP(F40,SummaryReport!A:J,8,FALSE)</f>
        <v>146</v>
      </c>
      <c r="I40" s="55">
        <f t="shared" si="18"/>
        <v>-0.00550218206</v>
      </c>
    </row>
    <row r="41" ht="15.75" customHeight="1">
      <c r="A41" s="57" t="s">
        <v>24</v>
      </c>
      <c r="B41" s="50">
        <v>305.0</v>
      </c>
      <c r="C41" s="19">
        <f t="shared" si="15"/>
        <v>301.1242415</v>
      </c>
      <c r="D41" s="22">
        <f t="shared" si="16"/>
        <v>-0.01287096158</v>
      </c>
      <c r="E41" s="51"/>
      <c r="F41" s="52" t="str">
        <f>VLOOKUP(A41,'Соответствие'!A:B,2,FALSE)</f>
        <v>go_to_flights</v>
      </c>
      <c r="G41" s="53">
        <f t="shared" si="17"/>
        <v>100.3747472</v>
      </c>
      <c r="H41" s="54">
        <f>VLOOKUP(F41,SummaryReport!A:J,8,FALSE)</f>
        <v>100</v>
      </c>
      <c r="I41" s="55">
        <f t="shared" si="18"/>
        <v>-0.003747471521</v>
      </c>
    </row>
    <row r="42" ht="15.75" customHeight="1">
      <c r="A42" s="56" t="s">
        <v>27</v>
      </c>
      <c r="B42" s="50">
        <v>282.0</v>
      </c>
      <c r="C42" s="19">
        <f t="shared" si="15"/>
        <v>281.1242415</v>
      </c>
      <c r="D42" s="22">
        <f t="shared" si="16"/>
        <v>-0.003115201091</v>
      </c>
      <c r="E42" s="51"/>
      <c r="F42" s="52" t="str">
        <f>VLOOKUP(A42,'Соответствие'!A:B,2,FALSE)</f>
        <v>find_flight</v>
      </c>
      <c r="G42" s="53">
        <f t="shared" si="17"/>
        <v>93.70808049</v>
      </c>
      <c r="H42" s="54">
        <f>VLOOKUP(F42,SummaryReport!A:J,8,FALSE)</f>
        <v>93</v>
      </c>
      <c r="I42" s="55">
        <f t="shared" si="18"/>
        <v>-0.007613768661</v>
      </c>
    </row>
    <row r="43" ht="15.75" customHeight="1">
      <c r="A43" s="56" t="s">
        <v>22</v>
      </c>
      <c r="B43" s="50">
        <v>270.0</v>
      </c>
      <c r="C43" s="19">
        <f t="shared" si="15"/>
        <v>281.1242415</v>
      </c>
      <c r="D43" s="22">
        <f t="shared" si="16"/>
        <v>0.03957055215</v>
      </c>
      <c r="E43" s="51"/>
      <c r="F43" s="52" t="str">
        <f>VLOOKUP(A43,'Соответствие'!A:B,2,FALSE)</f>
        <v>choosing a flight</v>
      </c>
      <c r="G43" s="53">
        <f t="shared" si="17"/>
        <v>93.70808049</v>
      </c>
      <c r="H43" s="54">
        <f>VLOOKUP(F43,SummaryReport!A:J,8,FALSE)</f>
        <v>93</v>
      </c>
      <c r="I43" s="55">
        <f t="shared" si="18"/>
        <v>-0.007613768661</v>
      </c>
    </row>
    <row r="44" ht="15.75" customHeight="1">
      <c r="A44" s="56" t="s">
        <v>30</v>
      </c>
      <c r="B44" s="50">
        <v>175.0</v>
      </c>
      <c r="C44" s="19">
        <f t="shared" si="15"/>
        <v>174.1935484</v>
      </c>
      <c r="D44" s="22">
        <f t="shared" si="16"/>
        <v>-0.00462962963</v>
      </c>
      <c r="E44" s="51"/>
      <c r="F44" s="52" t="str">
        <f>VLOOKUP(A44,'Соответствие'!A:B,2,FALSE)</f>
        <v>booking</v>
      </c>
      <c r="G44" s="53">
        <f t="shared" si="17"/>
        <v>58.06451613</v>
      </c>
      <c r="H44" s="54">
        <f>VLOOKUP(F44,SummaryReport!A:J,8,FALSE)</f>
        <v>58</v>
      </c>
      <c r="I44" s="55">
        <f t="shared" si="18"/>
        <v>-0.001112347052</v>
      </c>
    </row>
    <row r="45" ht="15.75" customHeight="1">
      <c r="A45" s="56" t="s">
        <v>35</v>
      </c>
      <c r="B45" s="50">
        <v>280.0</v>
      </c>
      <c r="C45" s="19">
        <f t="shared" si="15"/>
        <v>266.2164074</v>
      </c>
      <c r="D45" s="22">
        <f t="shared" si="16"/>
        <v>-0.05177589459</v>
      </c>
      <c r="E45" s="13"/>
      <c r="F45" s="52" t="str">
        <f>VLOOKUP(A45,'Соответствие'!A:B,2,FALSE)</f>
        <v>go_to_itinerary</v>
      </c>
      <c r="G45" s="53">
        <f t="shared" si="17"/>
        <v>88.73880245</v>
      </c>
      <c r="H45" s="54">
        <f>VLOOKUP(F45,SummaryReport!A:J,8,FALSE)</f>
        <v>89</v>
      </c>
      <c r="I45" s="55">
        <f t="shared" si="18"/>
        <v>0.002934803914</v>
      </c>
    </row>
    <row r="46" ht="15.75" customHeight="1">
      <c r="A46" s="56" t="s">
        <v>33</v>
      </c>
      <c r="B46" s="50">
        <v>73.0</v>
      </c>
      <c r="C46" s="19">
        <f t="shared" si="15"/>
        <v>75</v>
      </c>
      <c r="D46" s="22">
        <f t="shared" si="16"/>
        <v>0.02666666667</v>
      </c>
      <c r="E46" s="51"/>
      <c r="F46" s="52" t="str">
        <f>VLOOKUP(A46,'Соответствие'!A:B,2,FALSE)</f>
        <v>delete_reservation</v>
      </c>
      <c r="G46" s="53">
        <f t="shared" si="17"/>
        <v>25</v>
      </c>
      <c r="H46" s="54">
        <f>VLOOKUP(F46,SummaryReport!A:J,8,FALSE)</f>
        <v>25</v>
      </c>
      <c r="I46" s="55">
        <f t="shared" si="18"/>
        <v>0</v>
      </c>
    </row>
    <row r="47" ht="15.75" customHeight="1">
      <c r="A47" s="56" t="s">
        <v>25</v>
      </c>
      <c r="B47" s="50">
        <v>326.0</v>
      </c>
      <c r="C47" s="19">
        <f t="shared" si="15"/>
        <v>333.4792627</v>
      </c>
      <c r="D47" s="22">
        <f t="shared" si="16"/>
        <v>0.02242796932</v>
      </c>
      <c r="E47" s="51"/>
      <c r="F47" s="52" t="str">
        <f>VLOOKUP(A47,'Соответствие'!A:B,2,FALSE)</f>
        <v>logout</v>
      </c>
      <c r="G47" s="53">
        <f t="shared" si="17"/>
        <v>111.1597542</v>
      </c>
      <c r="H47" s="54">
        <f>VLOOKUP(F47,SummaryReport!A:J,8,FALSE)</f>
        <v>112</v>
      </c>
      <c r="I47" s="55">
        <f t="shared" si="18"/>
        <v>0.007502194426</v>
      </c>
    </row>
    <row r="48" ht="15.75" customHeight="1">
      <c r="A48" s="56" t="s">
        <v>36</v>
      </c>
      <c r="B48" s="50">
        <v>97.0</v>
      </c>
      <c r="C48" s="19">
        <f t="shared" si="15"/>
        <v>97.2972973</v>
      </c>
      <c r="D48" s="22">
        <f t="shared" si="16"/>
        <v>0.003055555556</v>
      </c>
      <c r="E48" s="51"/>
      <c r="F48" s="52" t="str">
        <f>VLOOKUP(A48,'Соответствие'!A:B,2,FALSE)</f>
        <v>go_to_registration</v>
      </c>
      <c r="G48" s="53">
        <f t="shared" si="17"/>
        <v>32.43243243</v>
      </c>
      <c r="H48" s="54">
        <f>VLOOKUP(F48,SummaryReport!A:J,8,FALSE)</f>
        <v>33</v>
      </c>
      <c r="I48" s="55">
        <f t="shared" si="18"/>
        <v>0.0171990172</v>
      </c>
    </row>
    <row r="49" ht="15.75" customHeight="1">
      <c r="A49" s="56" t="s">
        <v>31</v>
      </c>
      <c r="B49" s="50">
        <v>97.0</v>
      </c>
      <c r="C49" s="19">
        <f t="shared" si="15"/>
        <v>97.2972973</v>
      </c>
      <c r="D49" s="22">
        <f t="shared" si="16"/>
        <v>0.003055555556</v>
      </c>
      <c r="E49" s="51"/>
      <c r="F49" s="52" t="str">
        <f>VLOOKUP(A49,'Соответствие'!A:B,2,FALSE)</f>
        <v>user_data_entry</v>
      </c>
      <c r="G49" s="53">
        <f t="shared" si="17"/>
        <v>32.43243243</v>
      </c>
      <c r="H49" s="54">
        <f>VLOOKUP(F49,SummaryReport!A:J,8,FALSE)</f>
        <v>33</v>
      </c>
      <c r="I49" s="55">
        <f t="shared" si="18"/>
        <v>0.0171990172</v>
      </c>
    </row>
    <row r="50" ht="15.75" customHeight="1">
      <c r="A50" s="56" t="s">
        <v>34</v>
      </c>
      <c r="B50" s="50">
        <v>97.0</v>
      </c>
      <c r="C50" s="19">
        <f t="shared" si="15"/>
        <v>97.2972973</v>
      </c>
      <c r="D50" s="22">
        <f t="shared" si="16"/>
        <v>0.003055555556</v>
      </c>
      <c r="E50" s="51"/>
      <c r="F50" s="52" t="str">
        <f>VLOOKUP(A50,'Соответствие'!A:B,2,FALSE)</f>
        <v>click_continue</v>
      </c>
      <c r="G50" s="53">
        <f t="shared" si="17"/>
        <v>32.43243243</v>
      </c>
      <c r="H50" s="54">
        <f>VLOOKUP(F50,SummaryReport!A:J,8,FALSE)</f>
        <v>33</v>
      </c>
      <c r="I50" s="55">
        <f t="shared" si="18"/>
        <v>0.0171990172</v>
      </c>
    </row>
    <row r="51" ht="15.75" customHeight="1">
      <c r="A51" s="58" t="s">
        <v>7</v>
      </c>
      <c r="B51" s="59">
        <f t="shared" ref="B51:C51" si="19">SUM(B39:B50)</f>
        <v>2944</v>
      </c>
      <c r="C51" s="60">
        <f t="shared" si="19"/>
        <v>2982.271043</v>
      </c>
      <c r="D51" s="22">
        <f t="shared" si="16"/>
        <v>0.01283285218</v>
      </c>
      <c r="G51" s="12">
        <f t="shared" ref="G51:H51" si="20">SUM(G39:G50)</f>
        <v>994.0903478</v>
      </c>
      <c r="H51" s="61">
        <f t="shared" si="20"/>
        <v>992</v>
      </c>
      <c r="I51" s="55">
        <f t="shared" si="18"/>
        <v>-0.002107205463</v>
      </c>
    </row>
    <row r="52" ht="15.75" customHeight="1">
      <c r="I52" s="62"/>
    </row>
    <row r="53" ht="15.75" customHeight="1">
      <c r="A53" s="3"/>
      <c r="B53" s="4"/>
      <c r="C53" s="63" t="s">
        <v>47</v>
      </c>
      <c r="D53" s="63"/>
      <c r="E53" s="63"/>
      <c r="F53" s="63"/>
      <c r="G53" s="63"/>
      <c r="H53" s="63"/>
      <c r="I53" s="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A59" s="64"/>
      <c r="B59" s="65"/>
      <c r="C59" s="65"/>
      <c r="D59" s="65"/>
    </row>
    <row r="60" ht="15.75" customHeight="1">
      <c r="A60" s="65"/>
      <c r="B60" s="66"/>
      <c r="C60" s="67"/>
      <c r="D60" s="68"/>
    </row>
    <row r="61" ht="15.75" customHeight="1">
      <c r="A61" s="69"/>
      <c r="B61" s="66"/>
      <c r="C61" s="67"/>
      <c r="D61" s="68"/>
    </row>
    <row r="62" ht="15.75" customHeight="1">
      <c r="A62" s="69"/>
      <c r="B62" s="66"/>
      <c r="C62" s="67"/>
      <c r="D62" s="68"/>
    </row>
    <row r="63" ht="15.75" customHeight="1">
      <c r="A63" s="69"/>
      <c r="B63" s="66"/>
      <c r="C63" s="67"/>
      <c r="D63" s="68"/>
    </row>
    <row r="64" ht="15.75" customHeight="1">
      <c r="A64" s="69"/>
      <c r="B64" s="66"/>
      <c r="C64" s="67"/>
      <c r="D64" s="68"/>
    </row>
    <row r="65" ht="15.75" customHeight="1">
      <c r="A65" s="69"/>
      <c r="B65" s="66"/>
      <c r="C65" s="67"/>
      <c r="D65" s="68"/>
    </row>
    <row r="66" ht="15.75" customHeight="1">
      <c r="A66" s="69"/>
      <c r="B66" s="66"/>
      <c r="C66" s="67"/>
      <c r="D66" s="68"/>
    </row>
    <row r="67" ht="15.75" customHeight="1">
      <c r="A67" s="69"/>
      <c r="B67" s="66"/>
      <c r="C67" s="67"/>
      <c r="D67" s="68"/>
    </row>
    <row r="68" ht="15.75" customHeight="1">
      <c r="A68" s="69"/>
      <c r="B68" s="66"/>
      <c r="C68" s="67"/>
      <c r="D68" s="68"/>
    </row>
    <row r="69" ht="15.75" customHeight="1">
      <c r="A69" s="69"/>
      <c r="B69" s="66"/>
      <c r="C69" s="67"/>
      <c r="D69" s="68"/>
    </row>
    <row r="70" ht="15.75" customHeight="1">
      <c r="A70" s="69"/>
      <c r="B70" s="66"/>
      <c r="C70" s="67"/>
      <c r="D70" s="68"/>
    </row>
    <row r="71" ht="15.75" customHeight="1">
      <c r="A71" s="69"/>
      <c r="B71" s="66"/>
      <c r="C71" s="67"/>
      <c r="D71" s="68"/>
    </row>
    <row r="72" ht="15.75" customHeight="1">
      <c r="A72" s="70"/>
      <c r="B72" s="71"/>
      <c r="C72" s="71"/>
      <c r="D72" s="70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37:B37"/>
    <mergeCell ref="C37:D37"/>
  </mergeCells>
  <printOptions/>
  <pageMargins bottom="0.75" footer="0.0" header="0.0" left="0.7" right="0.7" top="0.75"/>
  <pageSetup paperSize="9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86"/>
    <col customWidth="1" min="2" max="2" width="31.43"/>
    <col customWidth="1" min="3" max="26" width="8.86"/>
  </cols>
  <sheetData>
    <row r="1">
      <c r="A1" s="72" t="s">
        <v>48</v>
      </c>
      <c r="B1" s="72" t="s">
        <v>49</v>
      </c>
    </row>
    <row r="2">
      <c r="A2" s="52" t="str">
        <f>'Автоматизированный расчет'!A39</f>
        <v>Главная Welcome страница</v>
      </c>
      <c r="B2" s="73" t="s">
        <v>50</v>
      </c>
    </row>
    <row r="3">
      <c r="A3" s="52" t="str">
        <f>'Автоматизированный расчет'!A40</f>
        <v>Вход в систему</v>
      </c>
      <c r="B3" s="52" t="s">
        <v>51</v>
      </c>
    </row>
    <row r="4">
      <c r="A4" s="52" t="str">
        <f>'Автоматизированный расчет'!A41</f>
        <v>Переход на страницу поиска билетов</v>
      </c>
      <c r="B4" s="73" t="s">
        <v>52</v>
      </c>
    </row>
    <row r="5">
      <c r="A5" s="52" t="str">
        <f>'Автоматизированный расчет'!A42</f>
        <v>Заполнение полей для поиска билета </v>
      </c>
      <c r="B5" s="52" t="s">
        <v>53</v>
      </c>
    </row>
    <row r="6">
      <c r="A6" s="52" t="str">
        <f>'Автоматизированный расчет'!A43</f>
        <v>Выбор рейса из найденных </v>
      </c>
      <c r="B6" s="73" t="s">
        <v>54</v>
      </c>
    </row>
    <row r="7">
      <c r="A7" s="52" t="str">
        <f>'Автоматизированный расчет'!A44</f>
        <v>Оплата билета</v>
      </c>
      <c r="B7" s="73" t="s">
        <v>55</v>
      </c>
    </row>
    <row r="8">
      <c r="A8" s="52" t="str">
        <f>'Автоматизированный расчет'!A45</f>
        <v>Просмотр квитанций</v>
      </c>
      <c r="B8" s="73" t="s">
        <v>56</v>
      </c>
    </row>
    <row r="9">
      <c r="A9" s="52" t="str">
        <f>'Автоматизированный расчет'!A46</f>
        <v>Отмена бронирования </v>
      </c>
      <c r="B9" s="73" t="s">
        <v>57</v>
      </c>
    </row>
    <row r="10">
      <c r="A10" s="52" t="str">
        <f>'Автоматизированный расчет'!A47</f>
        <v>Выход из системы</v>
      </c>
      <c r="B10" s="73" t="s">
        <v>58</v>
      </c>
    </row>
    <row r="11">
      <c r="A11" s="52" t="str">
        <f>'Автоматизированный расчет'!A48</f>
        <v>Перход на страницу регистрации</v>
      </c>
      <c r="B11" s="73" t="s">
        <v>59</v>
      </c>
    </row>
    <row r="12">
      <c r="A12" s="52" t="str">
        <f>'Автоматизированный расчет'!A49</f>
        <v>Заполнение полей регистарции</v>
      </c>
      <c r="B12" s="73" t="s">
        <v>60</v>
      </c>
    </row>
    <row r="13">
      <c r="A13" s="52" t="str">
        <f>'Автоматизированный расчет'!A50</f>
        <v>Переход на следуюущий эран после регистарции</v>
      </c>
      <c r="B13" s="73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6.0"/>
    <col customWidth="1" min="2" max="2" width="46.71"/>
    <col customWidth="1" min="3" max="3" width="26.0"/>
    <col customWidth="1" min="4" max="4" width="11.0"/>
    <col customWidth="1" min="5" max="5" width="25.0"/>
    <col customWidth="1" min="6" max="6" width="14.71"/>
    <col customWidth="1" min="7" max="7" width="11.57"/>
    <col customWidth="1" min="8" max="8" width="7.71"/>
    <col customWidth="1" min="9" max="9" width="5.29"/>
    <col customWidth="1" min="10" max="10" width="5.57"/>
    <col customWidth="1" min="11" max="26" width="8.86"/>
  </cols>
  <sheetData>
    <row r="1">
      <c r="A1" s="74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75"/>
      <c r="Z1" s="75"/>
    </row>
    <row r="2">
      <c r="A2" s="74"/>
      <c r="B2" s="74"/>
      <c r="C2" s="76"/>
      <c r="D2" s="76"/>
      <c r="E2" s="76"/>
      <c r="F2" s="76"/>
      <c r="G2" s="76"/>
      <c r="H2" s="76"/>
      <c r="I2" s="76"/>
      <c r="J2" s="76"/>
      <c r="K2" s="75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5"/>
      <c r="Y2" s="75"/>
      <c r="Z2" s="75"/>
    </row>
    <row r="3">
      <c r="A3" s="74"/>
      <c r="B3" s="74" t="s">
        <v>62</v>
      </c>
      <c r="C3" s="76" t="s">
        <v>63</v>
      </c>
      <c r="D3" s="76"/>
      <c r="E3" s="76"/>
      <c r="F3" s="76"/>
      <c r="G3" s="76"/>
      <c r="H3" s="76"/>
      <c r="I3" s="76"/>
      <c r="J3" s="76"/>
      <c r="K3" s="75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5"/>
      <c r="Y3" s="75"/>
      <c r="Z3" s="75"/>
    </row>
    <row r="4">
      <c r="A4" s="74"/>
      <c r="B4" s="74"/>
      <c r="C4" s="76"/>
      <c r="D4" s="76"/>
      <c r="E4" s="76"/>
      <c r="F4" s="76"/>
      <c r="G4" s="76"/>
      <c r="H4" s="76"/>
      <c r="I4" s="76"/>
      <c r="J4" s="76"/>
      <c r="K4" s="75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5"/>
      <c r="Y4" s="75"/>
      <c r="Z4" s="75"/>
    </row>
    <row r="5">
      <c r="A5" s="74"/>
      <c r="B5" s="74" t="s">
        <v>64</v>
      </c>
      <c r="C5" s="76" t="s">
        <v>10</v>
      </c>
      <c r="D5" s="76"/>
      <c r="E5" s="76"/>
      <c r="F5" s="76"/>
      <c r="G5" s="76"/>
      <c r="H5" s="76"/>
      <c r="I5" s="76"/>
      <c r="J5" s="76"/>
      <c r="K5" s="75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5"/>
      <c r="Y5" s="75"/>
      <c r="Z5" s="75"/>
    </row>
    <row r="6">
      <c r="A6" s="74"/>
      <c r="B6" s="74"/>
      <c r="C6" s="76"/>
      <c r="D6" s="76"/>
      <c r="E6" s="76"/>
      <c r="F6" s="76"/>
      <c r="G6" s="76"/>
      <c r="H6" s="76"/>
      <c r="I6" s="76"/>
      <c r="J6" s="76"/>
      <c r="K6" s="75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5"/>
      <c r="Y6" s="75"/>
      <c r="Z6" s="75"/>
    </row>
    <row r="7">
      <c r="A7" s="74"/>
      <c r="B7" s="74" t="s">
        <v>65</v>
      </c>
      <c r="C7" s="76" t="s">
        <v>66</v>
      </c>
      <c r="D7" s="76"/>
      <c r="E7" s="76"/>
      <c r="F7" s="76"/>
      <c r="G7" s="76"/>
      <c r="H7" s="76"/>
      <c r="I7" s="76"/>
      <c r="J7" s="76"/>
      <c r="K7" s="75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5"/>
      <c r="Y7" s="75"/>
      <c r="Z7" s="75"/>
    </row>
    <row r="8">
      <c r="A8" s="74"/>
      <c r="B8" s="74"/>
      <c r="C8" s="76"/>
      <c r="D8" s="76"/>
      <c r="E8" s="76"/>
      <c r="F8" s="76"/>
      <c r="G8" s="76"/>
      <c r="H8" s="76"/>
      <c r="I8" s="76"/>
      <c r="J8" s="76"/>
      <c r="K8" s="75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5"/>
      <c r="Y8" s="75"/>
      <c r="Z8" s="75"/>
    </row>
    <row r="9">
      <c r="A9" s="74"/>
      <c r="B9" s="74" t="s">
        <v>67</v>
      </c>
      <c r="C9" s="76" t="s">
        <v>68</v>
      </c>
      <c r="D9" s="76"/>
      <c r="E9" s="76"/>
      <c r="F9" s="76"/>
      <c r="G9" s="76"/>
      <c r="H9" s="76"/>
      <c r="I9" s="76"/>
      <c r="J9" s="76"/>
      <c r="K9" s="75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5"/>
      <c r="Z9" s="75"/>
    </row>
    <row r="10">
      <c r="A10" s="74"/>
      <c r="B10" s="74"/>
      <c r="C10" s="76"/>
      <c r="D10" s="76"/>
      <c r="E10" s="76"/>
      <c r="F10" s="76"/>
      <c r="G10" s="76"/>
      <c r="H10" s="76"/>
      <c r="I10" s="76"/>
      <c r="J10" s="76"/>
      <c r="K10" s="75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5"/>
      <c r="Y10" s="75"/>
      <c r="Z10" s="75"/>
    </row>
    <row r="11">
      <c r="A11" s="74"/>
      <c r="B11" s="74" t="s">
        <v>69</v>
      </c>
      <c r="C11" s="76" t="s">
        <v>70</v>
      </c>
      <c r="D11" s="76"/>
      <c r="E11" s="76"/>
      <c r="F11" s="76"/>
      <c r="G11" s="76"/>
      <c r="H11" s="76"/>
      <c r="I11" s="76"/>
      <c r="J11" s="76"/>
      <c r="K11" s="75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5"/>
      <c r="Y11" s="75"/>
      <c r="Z11" s="75"/>
    </row>
    <row r="12">
      <c r="A12" s="74"/>
      <c r="B12" s="74"/>
      <c r="C12" s="76"/>
      <c r="D12" s="76"/>
      <c r="E12" s="76"/>
      <c r="F12" s="76"/>
      <c r="G12" s="76"/>
      <c r="H12" s="76"/>
      <c r="I12" s="76"/>
      <c r="J12" s="76"/>
      <c r="K12" s="75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5"/>
      <c r="Y12" s="75"/>
      <c r="Z12" s="75"/>
    </row>
    <row r="13">
      <c r="A13" s="74"/>
      <c r="B13" s="74"/>
      <c r="C13" s="76"/>
      <c r="D13" s="76"/>
      <c r="E13" s="76"/>
      <c r="F13" s="76"/>
      <c r="G13" s="76"/>
      <c r="H13" s="76"/>
      <c r="I13" s="76"/>
      <c r="J13" s="76"/>
      <c r="K13" s="75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5"/>
      <c r="Y13" s="75"/>
      <c r="Z13" s="75"/>
    </row>
    <row r="14">
      <c r="A14" s="74"/>
      <c r="B14" s="74"/>
      <c r="C14" s="76"/>
      <c r="D14" s="76"/>
      <c r="E14" s="76"/>
      <c r="F14" s="76"/>
      <c r="G14" s="76"/>
      <c r="H14" s="76"/>
      <c r="I14" s="76"/>
      <c r="J14" s="76"/>
      <c r="K14" s="75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5"/>
      <c r="Y14" s="75"/>
      <c r="Z14" s="75"/>
    </row>
    <row r="15">
      <c r="A15" s="74" t="s">
        <v>71</v>
      </c>
      <c r="B15" s="74" t="s">
        <v>72</v>
      </c>
      <c r="C15" s="76"/>
      <c r="D15" s="76"/>
      <c r="E15" s="76"/>
      <c r="F15" s="76"/>
      <c r="G15" s="76"/>
      <c r="H15" s="76"/>
      <c r="I15" s="76"/>
      <c r="J15" s="76"/>
      <c r="K15" s="75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5"/>
      <c r="Y15" s="75"/>
      <c r="Z15" s="75"/>
    </row>
    <row r="16">
      <c r="A16" s="74"/>
      <c r="B16" s="74"/>
      <c r="C16" s="76"/>
      <c r="D16" s="76"/>
      <c r="E16" s="76"/>
      <c r="F16" s="76"/>
      <c r="G16" s="76"/>
      <c r="H16" s="76"/>
      <c r="I16" s="76"/>
      <c r="J16" s="76"/>
      <c r="K16" s="75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5"/>
      <c r="Y16" s="75"/>
      <c r="Z16" s="75"/>
    </row>
    <row r="17">
      <c r="A17" s="74" t="s">
        <v>73</v>
      </c>
      <c r="B17" s="74"/>
      <c r="C17" s="76"/>
      <c r="D17" s="76"/>
      <c r="E17" s="76"/>
      <c r="F17" s="76"/>
      <c r="G17" s="76"/>
      <c r="H17" s="76"/>
      <c r="I17" s="76"/>
      <c r="J17" s="76"/>
      <c r="K17" s="75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5"/>
      <c r="Y17" s="75"/>
      <c r="Z17" s="75"/>
    </row>
    <row r="18">
      <c r="A18" s="74"/>
      <c r="B18" s="74"/>
      <c r="C18" s="76"/>
      <c r="D18" s="76"/>
      <c r="E18" s="76"/>
      <c r="F18" s="76"/>
      <c r="G18" s="76"/>
      <c r="H18" s="76"/>
      <c r="I18" s="76"/>
      <c r="J18" s="76"/>
      <c r="K18" s="75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5"/>
      <c r="Y18" s="75"/>
      <c r="Z18" s="75"/>
    </row>
    <row r="19">
      <c r="A19" s="74" t="s">
        <v>74</v>
      </c>
      <c r="B19" s="74" t="s">
        <v>75</v>
      </c>
      <c r="C19" s="76" t="s">
        <v>76</v>
      </c>
      <c r="D19" s="76" t="s">
        <v>77</v>
      </c>
      <c r="E19" s="76"/>
      <c r="F19" s="76"/>
      <c r="G19" s="76"/>
      <c r="H19" s="76"/>
      <c r="I19" s="76"/>
      <c r="J19" s="76"/>
      <c r="K19" s="75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5"/>
      <c r="Y19" s="75"/>
      <c r="Z19" s="75"/>
    </row>
    <row r="20">
      <c r="A20" s="74" t="s">
        <v>78</v>
      </c>
      <c r="B20" s="77">
        <v>1.588</v>
      </c>
      <c r="C20" s="77">
        <v>1.522</v>
      </c>
      <c r="D20" s="77">
        <v>1.66</v>
      </c>
      <c r="E20" s="76"/>
      <c r="F20" s="76"/>
      <c r="G20" s="76"/>
      <c r="H20" s="76"/>
      <c r="I20" s="76"/>
      <c r="J20" s="76"/>
      <c r="K20" s="75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5"/>
      <c r="Y20" s="75"/>
      <c r="Z20" s="75"/>
    </row>
    <row r="21" ht="15.75" customHeight="1">
      <c r="A21" s="74" t="s">
        <v>79</v>
      </c>
      <c r="B21" s="77">
        <v>1.335</v>
      </c>
      <c r="C21" s="77">
        <v>1.202</v>
      </c>
      <c r="D21" s="77">
        <v>1.775</v>
      </c>
      <c r="E21" s="76"/>
      <c r="F21" s="76"/>
      <c r="G21" s="76"/>
      <c r="H21" s="76"/>
      <c r="I21" s="76"/>
      <c r="J21" s="76"/>
      <c r="K21" s="75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5"/>
      <c r="W21" s="75"/>
      <c r="X21" s="75"/>
      <c r="Y21" s="75"/>
      <c r="Z21" s="75"/>
    </row>
    <row r="22" ht="15.75" customHeight="1">
      <c r="A22" s="74" t="s">
        <v>80</v>
      </c>
      <c r="B22" s="77">
        <v>1.23</v>
      </c>
      <c r="C22" s="77">
        <v>1.171</v>
      </c>
      <c r="D22" s="77">
        <v>1.279</v>
      </c>
      <c r="E22" s="76"/>
      <c r="F22" s="76"/>
      <c r="G22" s="76"/>
      <c r="H22" s="76"/>
      <c r="I22" s="76"/>
      <c r="J22" s="76"/>
      <c r="K22" s="75"/>
      <c r="L22" s="74"/>
      <c r="M22" s="74"/>
      <c r="N22" s="74"/>
      <c r="O22" s="74"/>
      <c r="P22" s="74"/>
      <c r="Q22" s="74"/>
      <c r="R22" s="74"/>
      <c r="S22" s="74"/>
      <c r="T22" s="74"/>
      <c r="U22" s="75"/>
      <c r="V22" s="75"/>
      <c r="W22" s="75"/>
      <c r="X22" s="75"/>
      <c r="Y22" s="75"/>
      <c r="Z22" s="75"/>
    </row>
    <row r="23" ht="15.75" customHeight="1">
      <c r="A23" s="74" t="s">
        <v>81</v>
      </c>
      <c r="B23" s="77">
        <v>1.198</v>
      </c>
      <c r="C23" s="77">
        <v>1.098</v>
      </c>
      <c r="D23" s="77">
        <v>1.278</v>
      </c>
      <c r="E23" s="76"/>
      <c r="F23" s="76"/>
      <c r="G23" s="76"/>
      <c r="H23" s="76"/>
      <c r="I23" s="76"/>
      <c r="J23" s="76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5.75" customHeight="1">
      <c r="A24" s="74" t="s">
        <v>82</v>
      </c>
      <c r="B24" s="77">
        <v>1.037</v>
      </c>
      <c r="C24" s="77">
        <v>0.968</v>
      </c>
      <c r="D24" s="77">
        <v>1.329</v>
      </c>
      <c r="E24" s="76"/>
      <c r="F24" s="76"/>
      <c r="G24" s="76"/>
      <c r="H24" s="76"/>
      <c r="I24" s="76"/>
      <c r="J24" s="76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5.75" customHeight="1">
      <c r="A25" s="74"/>
      <c r="B25" s="74"/>
      <c r="C25" s="76"/>
      <c r="D25" s="76"/>
      <c r="E25" s="76"/>
      <c r="F25" s="76"/>
      <c r="G25" s="76"/>
      <c r="H25" s="76"/>
      <c r="I25" s="76"/>
      <c r="J25" s="76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5.75" customHeight="1">
      <c r="A26" s="74"/>
      <c r="B26" s="74"/>
      <c r="C26" s="76"/>
      <c r="D26" s="76"/>
      <c r="E26" s="76"/>
      <c r="F26" s="76"/>
      <c r="G26" s="76"/>
      <c r="H26" s="76"/>
      <c r="I26" s="76"/>
      <c r="J26" s="76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5.75" customHeight="1">
      <c r="A27" s="74"/>
      <c r="B27" s="74"/>
      <c r="C27" s="76"/>
      <c r="D27" s="76"/>
      <c r="E27" s="76"/>
      <c r="F27" s="76"/>
      <c r="G27" s="76"/>
      <c r="H27" s="76"/>
      <c r="I27" s="76"/>
      <c r="J27" s="76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75" customHeight="1">
      <c r="A28" s="74" t="s">
        <v>83</v>
      </c>
      <c r="B28" s="74"/>
      <c r="C28" s="76"/>
      <c r="D28" s="76"/>
      <c r="E28" s="76"/>
      <c r="F28" s="76"/>
      <c r="G28" s="76"/>
      <c r="H28" s="76"/>
      <c r="I28" s="76"/>
      <c r="J28" s="76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5.75" customHeight="1">
      <c r="A29" s="74"/>
      <c r="B29" s="74"/>
      <c r="C29" s="76"/>
      <c r="D29" s="76"/>
      <c r="E29" s="76"/>
      <c r="F29" s="76"/>
      <c r="G29" s="76"/>
      <c r="H29" s="76"/>
      <c r="I29" s="76"/>
      <c r="J29" s="76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5.75" customHeight="1">
      <c r="A30" s="74" t="s">
        <v>84</v>
      </c>
      <c r="B30" s="74" t="s">
        <v>85</v>
      </c>
      <c r="C30" s="76" t="s">
        <v>86</v>
      </c>
      <c r="D30" s="76" t="s">
        <v>87</v>
      </c>
      <c r="E30" s="76" t="s">
        <v>88</v>
      </c>
      <c r="F30" s="76"/>
      <c r="G30" s="76"/>
      <c r="H30" s="76"/>
      <c r="I30" s="76"/>
      <c r="J30" s="76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5.75" customHeight="1">
      <c r="A31" s="74"/>
      <c r="B31" s="74"/>
      <c r="C31" s="76"/>
      <c r="D31" s="76"/>
      <c r="E31" s="76"/>
      <c r="F31" s="76"/>
      <c r="G31" s="76"/>
      <c r="H31" s="76"/>
      <c r="I31" s="76"/>
      <c r="J31" s="76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5.75" customHeight="1">
      <c r="A32" s="74"/>
      <c r="B32" s="74" t="s">
        <v>89</v>
      </c>
      <c r="C32" s="76" t="s">
        <v>89</v>
      </c>
      <c r="D32" s="76" t="s">
        <v>89</v>
      </c>
      <c r="E32" s="76" t="s">
        <v>89</v>
      </c>
      <c r="F32" s="76"/>
      <c r="G32" s="76"/>
      <c r="H32" s="76"/>
      <c r="I32" s="76"/>
      <c r="J32" s="76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5.75" customHeight="1">
      <c r="A33" s="74"/>
      <c r="B33" s="74"/>
      <c r="C33" s="76"/>
      <c r="D33" s="76"/>
      <c r="E33" s="76"/>
      <c r="F33" s="76"/>
      <c r="G33" s="76"/>
      <c r="H33" s="76"/>
      <c r="I33" s="76"/>
      <c r="J33" s="76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5.75" customHeight="1">
      <c r="A34" s="74" t="s">
        <v>90</v>
      </c>
      <c r="B34" s="74" t="s">
        <v>91</v>
      </c>
      <c r="C34" s="76" t="s">
        <v>92</v>
      </c>
      <c r="D34" s="76" t="s">
        <v>93</v>
      </c>
      <c r="E34" s="76" t="s">
        <v>94</v>
      </c>
      <c r="F34" s="76"/>
      <c r="G34" s="76"/>
      <c r="H34" s="76"/>
      <c r="I34" s="76"/>
      <c r="J34" s="76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5.75" customHeight="1">
      <c r="A35" s="74"/>
      <c r="B35" s="74"/>
      <c r="C35" s="76"/>
      <c r="D35" s="76"/>
      <c r="E35" s="76"/>
      <c r="F35" s="76"/>
      <c r="G35" s="76"/>
      <c r="H35" s="76"/>
      <c r="I35" s="76"/>
      <c r="J35" s="76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5.75" customHeight="1">
      <c r="A36" s="74"/>
      <c r="B36" s="74"/>
      <c r="C36" s="76"/>
      <c r="D36" s="76"/>
      <c r="E36" s="76"/>
      <c r="F36" s="76"/>
      <c r="G36" s="76"/>
      <c r="H36" s="76"/>
      <c r="I36" s="76"/>
      <c r="J36" s="76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5.75" customHeight="1">
      <c r="A37" s="74"/>
      <c r="B37" s="74"/>
      <c r="C37" s="76"/>
      <c r="D37" s="76"/>
      <c r="E37" s="76"/>
      <c r="F37" s="76"/>
      <c r="G37" s="76"/>
      <c r="H37" s="76"/>
      <c r="I37" s="76"/>
      <c r="J37" s="76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5.75" customHeight="1">
      <c r="A38" s="74" t="s">
        <v>95</v>
      </c>
      <c r="B38" s="74"/>
      <c r="C38" s="74"/>
      <c r="D38" s="74"/>
      <c r="E38" s="74"/>
      <c r="F38" s="74"/>
      <c r="G38" s="74"/>
      <c r="H38" s="74"/>
      <c r="I38" s="74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5.75" customHeight="1">
      <c r="A39" s="74"/>
      <c r="B39" s="74"/>
      <c r="C39" s="74"/>
      <c r="D39" s="74"/>
      <c r="E39" s="74"/>
      <c r="F39" s="74"/>
      <c r="G39" s="74"/>
      <c r="H39" s="74"/>
      <c r="I39" s="74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5.75" customHeight="1">
      <c r="A40" s="74" t="s">
        <v>96</v>
      </c>
      <c r="B40" s="74"/>
      <c r="C40" s="74"/>
      <c r="D40" s="74"/>
      <c r="E40" s="74"/>
      <c r="F40" s="74"/>
      <c r="G40" s="74"/>
      <c r="H40" s="74"/>
      <c r="I40" s="74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5.75" customHeight="1">
      <c r="A41" s="74"/>
      <c r="B41" s="74"/>
      <c r="C41" s="74"/>
      <c r="D41" s="74"/>
      <c r="E41" s="74"/>
      <c r="F41" s="74"/>
      <c r="G41" s="74"/>
      <c r="H41" s="74"/>
      <c r="I41" s="74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5.7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5.7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5.75" customHeight="1">
      <c r="A44" s="75" t="s">
        <v>97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5.7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5.7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5.7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5.75" customHeight="1">
      <c r="A48" s="75"/>
      <c r="B48" s="75" t="s">
        <v>98</v>
      </c>
      <c r="C48" s="75" t="s">
        <v>99</v>
      </c>
      <c r="D48" s="75" t="s">
        <v>100</v>
      </c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5.75" customHeight="1">
      <c r="A49" s="75" t="s">
        <v>101</v>
      </c>
      <c r="B49" s="77">
        <v>1173.0</v>
      </c>
      <c r="C49" s="77">
        <v>0.0</v>
      </c>
      <c r="D49" s="77">
        <v>0.0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5.7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5.7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5.7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5.75" customHeight="1">
      <c r="A53" s="75" t="s">
        <v>74</v>
      </c>
      <c r="B53" s="75" t="s">
        <v>102</v>
      </c>
      <c r="C53" s="75" t="s">
        <v>76</v>
      </c>
      <c r="D53" s="75" t="s">
        <v>75</v>
      </c>
      <c r="E53" s="75" t="s">
        <v>77</v>
      </c>
      <c r="F53" s="75" t="s">
        <v>103</v>
      </c>
      <c r="G53" s="75" t="s">
        <v>104</v>
      </c>
      <c r="H53" s="75" t="s">
        <v>105</v>
      </c>
      <c r="I53" s="75" t="s">
        <v>106</v>
      </c>
      <c r="J53" s="75" t="s">
        <v>107</v>
      </c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5.75" customHeight="1">
      <c r="A54" s="75" t="s">
        <v>55</v>
      </c>
      <c r="B54" s="75" t="s">
        <v>105</v>
      </c>
      <c r="C54" s="77">
        <v>0.101</v>
      </c>
      <c r="D54" s="77">
        <v>0.13</v>
      </c>
      <c r="E54" s="77">
        <v>0.167</v>
      </c>
      <c r="F54" s="77">
        <v>0.012</v>
      </c>
      <c r="G54" s="77">
        <v>0.147</v>
      </c>
      <c r="H54" s="77">
        <v>58.0</v>
      </c>
      <c r="I54" s="77">
        <v>0.0</v>
      </c>
      <c r="J54" s="77">
        <v>0.0</v>
      </c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5.75" customHeight="1">
      <c r="A55" s="75" t="s">
        <v>108</v>
      </c>
      <c r="B55" s="75" t="s">
        <v>89</v>
      </c>
      <c r="C55" s="77">
        <v>0.101</v>
      </c>
      <c r="D55" s="77">
        <v>0.13</v>
      </c>
      <c r="E55" s="77">
        <v>0.167</v>
      </c>
      <c r="F55" s="77">
        <v>0.0</v>
      </c>
      <c r="G55" s="77">
        <v>0.147</v>
      </c>
      <c r="H55" s="77">
        <v>58.0</v>
      </c>
      <c r="I55" s="77">
        <v>0.0</v>
      </c>
      <c r="J55" s="77">
        <v>0.0</v>
      </c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5.75" customHeight="1">
      <c r="A56" s="75" t="s">
        <v>54</v>
      </c>
      <c r="B56" s="75" t="s">
        <v>105</v>
      </c>
      <c r="C56" s="77">
        <v>0.102</v>
      </c>
      <c r="D56" s="77">
        <v>0.124</v>
      </c>
      <c r="E56" s="77">
        <v>0.553</v>
      </c>
      <c r="F56" s="77">
        <v>0.046</v>
      </c>
      <c r="G56" s="77">
        <v>0.131</v>
      </c>
      <c r="H56" s="77">
        <v>93.0</v>
      </c>
      <c r="I56" s="77">
        <v>0.0</v>
      </c>
      <c r="J56" s="77">
        <v>0.0</v>
      </c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5.75" customHeight="1">
      <c r="A57" s="75" t="s">
        <v>108</v>
      </c>
      <c r="B57" s="75" t="s">
        <v>89</v>
      </c>
      <c r="C57" s="77">
        <v>0.102</v>
      </c>
      <c r="D57" s="77">
        <v>0.124</v>
      </c>
      <c r="E57" s="77">
        <v>0.553</v>
      </c>
      <c r="F57" s="77">
        <v>0.0</v>
      </c>
      <c r="G57" s="77">
        <v>0.131</v>
      </c>
      <c r="H57" s="77">
        <v>93.0</v>
      </c>
      <c r="I57" s="77">
        <v>0.0</v>
      </c>
      <c r="J57" s="77">
        <v>0.0</v>
      </c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5.75" customHeight="1">
      <c r="A58" s="75" t="s">
        <v>61</v>
      </c>
      <c r="B58" s="75" t="s">
        <v>105</v>
      </c>
      <c r="C58" s="77">
        <v>0.172</v>
      </c>
      <c r="D58" s="77">
        <v>0.195</v>
      </c>
      <c r="E58" s="77">
        <v>0.217</v>
      </c>
      <c r="F58" s="77">
        <v>0.011</v>
      </c>
      <c r="G58" s="77">
        <v>0.206</v>
      </c>
      <c r="H58" s="77">
        <v>33.0</v>
      </c>
      <c r="I58" s="77">
        <v>0.0</v>
      </c>
      <c r="J58" s="77">
        <v>0.0</v>
      </c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5.75" customHeight="1">
      <c r="A59" s="75" t="s">
        <v>108</v>
      </c>
      <c r="B59" s="75" t="s">
        <v>89</v>
      </c>
      <c r="C59" s="77">
        <v>0.172</v>
      </c>
      <c r="D59" s="77">
        <v>0.195</v>
      </c>
      <c r="E59" s="77">
        <v>0.217</v>
      </c>
      <c r="F59" s="77">
        <v>0.0</v>
      </c>
      <c r="G59" s="77">
        <v>0.206</v>
      </c>
      <c r="H59" s="77">
        <v>33.0</v>
      </c>
      <c r="I59" s="77">
        <v>0.0</v>
      </c>
      <c r="J59" s="77">
        <v>0.0</v>
      </c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5.75" customHeight="1">
      <c r="A60" s="75" t="s">
        <v>57</v>
      </c>
      <c r="B60" s="75" t="s">
        <v>105</v>
      </c>
      <c r="C60" s="77">
        <v>0.113</v>
      </c>
      <c r="D60" s="77">
        <v>0.15</v>
      </c>
      <c r="E60" s="77">
        <v>0.195</v>
      </c>
      <c r="F60" s="77">
        <v>0.02</v>
      </c>
      <c r="G60" s="77">
        <v>0.178</v>
      </c>
      <c r="H60" s="77">
        <v>25.0</v>
      </c>
      <c r="I60" s="77">
        <v>0.0</v>
      </c>
      <c r="J60" s="77">
        <v>0.0</v>
      </c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5.75" customHeight="1">
      <c r="A61" s="75" t="s">
        <v>108</v>
      </c>
      <c r="B61" s="75" t="s">
        <v>89</v>
      </c>
      <c r="C61" s="77">
        <v>0.113</v>
      </c>
      <c r="D61" s="77">
        <v>0.15</v>
      </c>
      <c r="E61" s="77">
        <v>0.195</v>
      </c>
      <c r="F61" s="77">
        <v>0.0</v>
      </c>
      <c r="G61" s="77">
        <v>0.178</v>
      </c>
      <c r="H61" s="77">
        <v>25.0</v>
      </c>
      <c r="I61" s="77">
        <v>0.0</v>
      </c>
      <c r="J61" s="77">
        <v>0.0</v>
      </c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5.75" customHeight="1">
      <c r="A62" s="75" t="s">
        <v>53</v>
      </c>
      <c r="B62" s="75" t="s">
        <v>105</v>
      </c>
      <c r="C62" s="77">
        <v>0.105</v>
      </c>
      <c r="D62" s="77">
        <v>0.121</v>
      </c>
      <c r="E62" s="77">
        <v>0.144</v>
      </c>
      <c r="F62" s="77">
        <v>0.011</v>
      </c>
      <c r="G62" s="77">
        <v>0.134</v>
      </c>
      <c r="H62" s="77">
        <v>93.0</v>
      </c>
      <c r="I62" s="77">
        <v>0.0</v>
      </c>
      <c r="J62" s="77">
        <v>0.0</v>
      </c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5.75" customHeight="1">
      <c r="A63" s="75" t="s">
        <v>108</v>
      </c>
      <c r="B63" s="75" t="s">
        <v>89</v>
      </c>
      <c r="C63" s="77">
        <v>0.105</v>
      </c>
      <c r="D63" s="77">
        <v>0.121</v>
      </c>
      <c r="E63" s="77">
        <v>0.144</v>
      </c>
      <c r="F63" s="77">
        <v>0.0</v>
      </c>
      <c r="G63" s="77">
        <v>0.134</v>
      </c>
      <c r="H63" s="77">
        <v>93.0</v>
      </c>
      <c r="I63" s="77">
        <v>0.0</v>
      </c>
      <c r="J63" s="77">
        <v>0.0</v>
      </c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5.75" customHeight="1">
      <c r="A64" s="75" t="s">
        <v>52</v>
      </c>
      <c r="B64" s="75" t="s">
        <v>105</v>
      </c>
      <c r="C64" s="77">
        <v>0.187</v>
      </c>
      <c r="D64" s="77">
        <v>0.324</v>
      </c>
      <c r="E64" s="77">
        <v>0.462</v>
      </c>
      <c r="F64" s="77">
        <v>0.099</v>
      </c>
      <c r="G64" s="77">
        <v>0.423</v>
      </c>
      <c r="H64" s="77">
        <v>100.0</v>
      </c>
      <c r="I64" s="77">
        <v>0.0</v>
      </c>
      <c r="J64" s="77">
        <v>0.0</v>
      </c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5.75" customHeight="1">
      <c r="A65" s="75" t="s">
        <v>108</v>
      </c>
      <c r="B65" s="75" t="s">
        <v>89</v>
      </c>
      <c r="C65" s="77">
        <v>0.187</v>
      </c>
      <c r="D65" s="77">
        <v>0.324</v>
      </c>
      <c r="E65" s="77">
        <v>0.462</v>
      </c>
      <c r="F65" s="77">
        <v>0.0</v>
      </c>
      <c r="G65" s="77">
        <v>0.423</v>
      </c>
      <c r="H65" s="77">
        <v>100.0</v>
      </c>
      <c r="I65" s="77">
        <v>0.0</v>
      </c>
      <c r="J65" s="77">
        <v>0.0</v>
      </c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5.75" customHeight="1">
      <c r="A66" s="75" t="s">
        <v>56</v>
      </c>
      <c r="B66" s="75" t="s">
        <v>105</v>
      </c>
      <c r="C66" s="77">
        <v>0.202</v>
      </c>
      <c r="D66" s="77">
        <v>0.231</v>
      </c>
      <c r="E66" s="77">
        <v>0.267</v>
      </c>
      <c r="F66" s="77">
        <v>0.014</v>
      </c>
      <c r="G66" s="77">
        <v>0.25</v>
      </c>
      <c r="H66" s="77">
        <v>89.0</v>
      </c>
      <c r="I66" s="77">
        <v>0.0</v>
      </c>
      <c r="J66" s="77">
        <v>0.0</v>
      </c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5.75" customHeight="1">
      <c r="A67" s="75" t="s">
        <v>108</v>
      </c>
      <c r="B67" s="75" t="s">
        <v>89</v>
      </c>
      <c r="C67" s="77">
        <v>0.202</v>
      </c>
      <c r="D67" s="77">
        <v>0.231</v>
      </c>
      <c r="E67" s="77">
        <v>0.267</v>
      </c>
      <c r="F67" s="77">
        <v>0.0</v>
      </c>
      <c r="G67" s="77">
        <v>0.25</v>
      </c>
      <c r="H67" s="77">
        <v>89.0</v>
      </c>
      <c r="I67" s="77">
        <v>0.0</v>
      </c>
      <c r="J67" s="77">
        <v>0.0</v>
      </c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5.75" customHeight="1">
      <c r="A68" s="75" t="s">
        <v>59</v>
      </c>
      <c r="B68" s="75" t="s">
        <v>105</v>
      </c>
      <c r="C68" s="77">
        <v>0.108</v>
      </c>
      <c r="D68" s="77">
        <v>0.129</v>
      </c>
      <c r="E68" s="77">
        <v>0.168</v>
      </c>
      <c r="F68" s="77">
        <v>0.012</v>
      </c>
      <c r="G68" s="77">
        <v>0.138</v>
      </c>
      <c r="H68" s="77">
        <v>33.0</v>
      </c>
      <c r="I68" s="77">
        <v>0.0</v>
      </c>
      <c r="J68" s="77">
        <v>0.0</v>
      </c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5.75" customHeight="1">
      <c r="A69" s="75" t="s">
        <v>108</v>
      </c>
      <c r="B69" s="75" t="s">
        <v>89</v>
      </c>
      <c r="C69" s="77">
        <v>0.108</v>
      </c>
      <c r="D69" s="77">
        <v>0.129</v>
      </c>
      <c r="E69" s="77">
        <v>0.168</v>
      </c>
      <c r="F69" s="77">
        <v>0.0</v>
      </c>
      <c r="G69" s="77">
        <v>0.138</v>
      </c>
      <c r="H69" s="77">
        <v>33.0</v>
      </c>
      <c r="I69" s="77">
        <v>0.0</v>
      </c>
      <c r="J69" s="77">
        <v>0.0</v>
      </c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5.75" customHeight="1">
      <c r="A70" s="75" t="s">
        <v>50</v>
      </c>
      <c r="B70" s="75" t="s">
        <v>105</v>
      </c>
      <c r="C70" s="77">
        <v>0.374</v>
      </c>
      <c r="D70" s="77">
        <v>0.423</v>
      </c>
      <c r="E70" s="77">
        <v>0.695</v>
      </c>
      <c r="F70" s="77">
        <v>0.028</v>
      </c>
      <c r="G70" s="77">
        <v>0.445</v>
      </c>
      <c r="H70" s="77">
        <v>177.0</v>
      </c>
      <c r="I70" s="77">
        <v>0.0</v>
      </c>
      <c r="J70" s="77">
        <v>0.0</v>
      </c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5.75" customHeight="1">
      <c r="A71" s="75" t="s">
        <v>108</v>
      </c>
      <c r="B71" s="75" t="s">
        <v>89</v>
      </c>
      <c r="C71" s="77">
        <v>0.374</v>
      </c>
      <c r="D71" s="77">
        <v>0.423</v>
      </c>
      <c r="E71" s="77">
        <v>0.695</v>
      </c>
      <c r="F71" s="77">
        <v>0.0</v>
      </c>
      <c r="G71" s="77">
        <v>0.445</v>
      </c>
      <c r="H71" s="77">
        <v>177.0</v>
      </c>
      <c r="I71" s="77">
        <v>0.0</v>
      </c>
      <c r="J71" s="77">
        <v>0.0</v>
      </c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5.75" customHeight="1">
      <c r="A72" s="75" t="s">
        <v>51</v>
      </c>
      <c r="B72" s="75" t="s">
        <v>105</v>
      </c>
      <c r="C72" s="77">
        <v>0.174</v>
      </c>
      <c r="D72" s="77">
        <v>0.202</v>
      </c>
      <c r="E72" s="77">
        <v>0.229</v>
      </c>
      <c r="F72" s="77">
        <v>0.013</v>
      </c>
      <c r="G72" s="77">
        <v>0.219</v>
      </c>
      <c r="H72" s="77">
        <v>146.0</v>
      </c>
      <c r="I72" s="77">
        <v>0.0</v>
      </c>
      <c r="J72" s="77">
        <v>0.0</v>
      </c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5.75" customHeight="1">
      <c r="A73" s="75" t="s">
        <v>108</v>
      </c>
      <c r="B73" s="75" t="s">
        <v>89</v>
      </c>
      <c r="C73" s="77">
        <v>0.174</v>
      </c>
      <c r="D73" s="77">
        <v>0.202</v>
      </c>
      <c r="E73" s="77">
        <v>0.229</v>
      </c>
      <c r="F73" s="77">
        <v>0.0</v>
      </c>
      <c r="G73" s="77">
        <v>0.219</v>
      </c>
      <c r="H73" s="77">
        <v>146.0</v>
      </c>
      <c r="I73" s="77">
        <v>0.0</v>
      </c>
      <c r="J73" s="77">
        <v>0.0</v>
      </c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5.75" customHeight="1">
      <c r="A74" s="75" t="s">
        <v>58</v>
      </c>
      <c r="B74" s="75" t="s">
        <v>105</v>
      </c>
      <c r="C74" s="77">
        <v>0.16</v>
      </c>
      <c r="D74" s="77">
        <v>0.184</v>
      </c>
      <c r="E74" s="77">
        <v>0.221</v>
      </c>
      <c r="F74" s="77">
        <v>0.012</v>
      </c>
      <c r="G74" s="77">
        <v>0.198</v>
      </c>
      <c r="H74" s="77">
        <v>112.0</v>
      </c>
      <c r="I74" s="77">
        <v>0.0</v>
      </c>
      <c r="J74" s="77">
        <v>0.0</v>
      </c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5.75" customHeight="1">
      <c r="A75" s="75" t="s">
        <v>108</v>
      </c>
      <c r="B75" s="75" t="s">
        <v>89</v>
      </c>
      <c r="C75" s="77">
        <v>0.16</v>
      </c>
      <c r="D75" s="77">
        <v>0.184</v>
      </c>
      <c r="E75" s="77">
        <v>0.221</v>
      </c>
      <c r="F75" s="77">
        <v>0.0</v>
      </c>
      <c r="G75" s="77">
        <v>0.198</v>
      </c>
      <c r="H75" s="77">
        <v>112.0</v>
      </c>
      <c r="I75" s="77">
        <v>0.0</v>
      </c>
      <c r="J75" s="77">
        <v>0.0</v>
      </c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5.75" customHeight="1">
      <c r="A76" s="75" t="s">
        <v>80</v>
      </c>
      <c r="B76" s="75" t="s">
        <v>105</v>
      </c>
      <c r="C76" s="77">
        <v>1.171</v>
      </c>
      <c r="D76" s="77">
        <v>1.23</v>
      </c>
      <c r="E76" s="77">
        <v>1.279</v>
      </c>
      <c r="F76" s="77">
        <v>0.044</v>
      </c>
      <c r="G76" s="77">
        <v>1.279</v>
      </c>
      <c r="H76" s="77">
        <v>7.0</v>
      </c>
      <c r="I76" s="77">
        <v>0.0</v>
      </c>
      <c r="J76" s="77">
        <v>0.0</v>
      </c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5.75" customHeight="1">
      <c r="A77" s="75" t="s">
        <v>108</v>
      </c>
      <c r="B77" s="75" t="s">
        <v>89</v>
      </c>
      <c r="C77" s="77">
        <v>1.171</v>
      </c>
      <c r="D77" s="77">
        <v>1.23</v>
      </c>
      <c r="E77" s="77">
        <v>1.279</v>
      </c>
      <c r="F77" s="77">
        <v>0.0</v>
      </c>
      <c r="G77" s="77">
        <v>1.279</v>
      </c>
      <c r="H77" s="77">
        <v>7.0</v>
      </c>
      <c r="I77" s="77">
        <v>0.0</v>
      </c>
      <c r="J77" s="77">
        <v>0.0</v>
      </c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5.75" customHeight="1">
      <c r="A78" s="75" t="s">
        <v>79</v>
      </c>
      <c r="B78" s="75" t="s">
        <v>105</v>
      </c>
      <c r="C78" s="77">
        <v>1.202</v>
      </c>
      <c r="D78" s="77">
        <v>1.335</v>
      </c>
      <c r="E78" s="77">
        <v>1.775</v>
      </c>
      <c r="F78" s="77">
        <v>0.085</v>
      </c>
      <c r="G78" s="77">
        <v>1.37</v>
      </c>
      <c r="H78" s="77">
        <v>35.0</v>
      </c>
      <c r="I78" s="77">
        <v>0.0</v>
      </c>
      <c r="J78" s="77">
        <v>0.0</v>
      </c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5.75" customHeight="1">
      <c r="A79" s="75" t="s">
        <v>108</v>
      </c>
      <c r="B79" s="75" t="s">
        <v>89</v>
      </c>
      <c r="C79" s="77">
        <v>1.202</v>
      </c>
      <c r="D79" s="77">
        <v>1.335</v>
      </c>
      <c r="E79" s="77">
        <v>1.775</v>
      </c>
      <c r="F79" s="77">
        <v>0.0</v>
      </c>
      <c r="G79" s="77">
        <v>1.37</v>
      </c>
      <c r="H79" s="77">
        <v>35.0</v>
      </c>
      <c r="I79" s="77">
        <v>0.0</v>
      </c>
      <c r="J79" s="77">
        <v>0.0</v>
      </c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5.75" customHeight="1">
      <c r="A80" s="75" t="s">
        <v>78</v>
      </c>
      <c r="B80" s="75" t="s">
        <v>105</v>
      </c>
      <c r="C80" s="77">
        <v>1.522</v>
      </c>
      <c r="D80" s="77">
        <v>1.588</v>
      </c>
      <c r="E80" s="77">
        <v>1.66</v>
      </c>
      <c r="F80" s="77">
        <v>0.033</v>
      </c>
      <c r="G80" s="77">
        <v>1.641</v>
      </c>
      <c r="H80" s="77">
        <v>59.0</v>
      </c>
      <c r="I80" s="77">
        <v>0.0</v>
      </c>
      <c r="J80" s="77">
        <v>0.0</v>
      </c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5.75" customHeight="1">
      <c r="A81" s="75" t="s">
        <v>108</v>
      </c>
      <c r="B81" s="75" t="s">
        <v>89</v>
      </c>
      <c r="C81" s="77">
        <v>1.522</v>
      </c>
      <c r="D81" s="77">
        <v>1.588</v>
      </c>
      <c r="E81" s="77">
        <v>1.66</v>
      </c>
      <c r="F81" s="77">
        <v>0.0</v>
      </c>
      <c r="G81" s="77">
        <v>1.641</v>
      </c>
      <c r="H81" s="77">
        <v>59.0</v>
      </c>
      <c r="I81" s="77">
        <v>0.0</v>
      </c>
      <c r="J81" s="77">
        <v>0.0</v>
      </c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5.75" customHeight="1">
      <c r="A82" s="75" t="s">
        <v>82</v>
      </c>
      <c r="B82" s="75" t="s">
        <v>105</v>
      </c>
      <c r="C82" s="77">
        <v>0.968</v>
      </c>
      <c r="D82" s="77">
        <v>1.037</v>
      </c>
      <c r="E82" s="77">
        <v>1.329</v>
      </c>
      <c r="F82" s="77">
        <v>0.068</v>
      </c>
      <c r="G82" s="77">
        <v>1.062</v>
      </c>
      <c r="H82" s="77">
        <v>22.0</v>
      </c>
      <c r="I82" s="77">
        <v>0.0</v>
      </c>
      <c r="J82" s="77">
        <v>0.0</v>
      </c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5.75" customHeight="1">
      <c r="A83" s="75" t="s">
        <v>108</v>
      </c>
      <c r="B83" s="75" t="s">
        <v>89</v>
      </c>
      <c r="C83" s="77">
        <v>0.968</v>
      </c>
      <c r="D83" s="77">
        <v>1.037</v>
      </c>
      <c r="E83" s="77">
        <v>1.329</v>
      </c>
      <c r="F83" s="77">
        <v>0.0</v>
      </c>
      <c r="G83" s="77">
        <v>1.062</v>
      </c>
      <c r="H83" s="77">
        <v>22.0</v>
      </c>
      <c r="I83" s="77">
        <v>0.0</v>
      </c>
      <c r="J83" s="77">
        <v>0.0</v>
      </c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5.75" customHeight="1">
      <c r="A84" s="75" t="s">
        <v>81</v>
      </c>
      <c r="B84" s="75" t="s">
        <v>105</v>
      </c>
      <c r="C84" s="77">
        <v>1.098</v>
      </c>
      <c r="D84" s="77">
        <v>1.198</v>
      </c>
      <c r="E84" s="77">
        <v>1.278</v>
      </c>
      <c r="F84" s="77">
        <v>0.041</v>
      </c>
      <c r="G84" s="77">
        <v>1.25</v>
      </c>
      <c r="H84" s="77">
        <v>25.0</v>
      </c>
      <c r="I84" s="77">
        <v>0.0</v>
      </c>
      <c r="J84" s="77">
        <v>0.0</v>
      </c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5.75" customHeight="1">
      <c r="A85" s="75" t="s">
        <v>108</v>
      </c>
      <c r="B85" s="75" t="s">
        <v>89</v>
      </c>
      <c r="C85" s="77">
        <v>1.098</v>
      </c>
      <c r="D85" s="77">
        <v>1.198</v>
      </c>
      <c r="E85" s="77">
        <v>1.278</v>
      </c>
      <c r="F85" s="77">
        <v>0.0</v>
      </c>
      <c r="G85" s="77">
        <v>1.25</v>
      </c>
      <c r="H85" s="77">
        <v>25.0</v>
      </c>
      <c r="I85" s="77">
        <v>0.0</v>
      </c>
      <c r="J85" s="77">
        <v>0.0</v>
      </c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5.75" customHeight="1">
      <c r="A86" s="75" t="s">
        <v>109</v>
      </c>
      <c r="B86" s="75" t="s">
        <v>105</v>
      </c>
      <c r="C86" s="77">
        <v>0.764</v>
      </c>
      <c r="D86" s="77">
        <v>0.851</v>
      </c>
      <c r="E86" s="77">
        <v>0.892</v>
      </c>
      <c r="F86" s="77">
        <v>0.025</v>
      </c>
      <c r="G86" s="77">
        <v>0.878</v>
      </c>
      <c r="H86" s="77">
        <v>33.0</v>
      </c>
      <c r="I86" s="77">
        <v>0.0</v>
      </c>
      <c r="J86" s="77">
        <v>0.0</v>
      </c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5.75" customHeight="1">
      <c r="A87" s="75" t="s">
        <v>108</v>
      </c>
      <c r="B87" s="75" t="s">
        <v>89</v>
      </c>
      <c r="C87" s="77">
        <v>0.764</v>
      </c>
      <c r="D87" s="77">
        <v>0.851</v>
      </c>
      <c r="E87" s="77">
        <v>0.892</v>
      </c>
      <c r="F87" s="77">
        <v>0.0</v>
      </c>
      <c r="G87" s="77">
        <v>0.878</v>
      </c>
      <c r="H87" s="77">
        <v>33.0</v>
      </c>
      <c r="I87" s="77">
        <v>0.0</v>
      </c>
      <c r="J87" s="77">
        <v>0.0</v>
      </c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5.75" customHeight="1">
      <c r="A88" s="75" t="s">
        <v>60</v>
      </c>
      <c r="B88" s="75" t="s">
        <v>105</v>
      </c>
      <c r="C88" s="77">
        <v>0.089</v>
      </c>
      <c r="D88" s="77">
        <v>0.105</v>
      </c>
      <c r="E88" s="77">
        <v>0.123</v>
      </c>
      <c r="F88" s="77">
        <v>0.01</v>
      </c>
      <c r="G88" s="77">
        <v>0.115</v>
      </c>
      <c r="H88" s="77">
        <v>33.0</v>
      </c>
      <c r="I88" s="77">
        <v>0.0</v>
      </c>
      <c r="J88" s="77">
        <v>0.0</v>
      </c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5.75" customHeight="1">
      <c r="A89" s="75" t="s">
        <v>108</v>
      </c>
      <c r="B89" s="75" t="s">
        <v>89</v>
      </c>
      <c r="C89" s="77">
        <v>0.089</v>
      </c>
      <c r="D89" s="77">
        <v>0.105</v>
      </c>
      <c r="E89" s="77">
        <v>0.123</v>
      </c>
      <c r="F89" s="77">
        <v>0.0</v>
      </c>
      <c r="G89" s="77">
        <v>0.115</v>
      </c>
      <c r="H89" s="77">
        <v>33.0</v>
      </c>
      <c r="I89" s="77">
        <v>0.0</v>
      </c>
      <c r="J89" s="77">
        <v>0.0</v>
      </c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5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5.75" customHeight="1">
      <c r="A91" s="75" t="s">
        <v>110</v>
      </c>
      <c r="B91" s="75" t="s">
        <v>111</v>
      </c>
      <c r="C91" s="75" t="s">
        <v>112</v>
      </c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5.75" customHeight="1">
      <c r="A92" s="75" t="s">
        <v>113</v>
      </c>
      <c r="B92" s="77">
        <v>5080.0</v>
      </c>
      <c r="C92" s="77">
        <v>4.233</v>
      </c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5.75" customHeight="1">
      <c r="A93" s="75" t="s">
        <v>108</v>
      </c>
      <c r="B93" s="77">
        <v>5080.0</v>
      </c>
      <c r="C93" s="77">
        <v>4.233</v>
      </c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5.7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5.7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5.7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5.7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5.7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5.7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5.7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5.7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5.7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5.7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5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5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5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5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5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5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5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5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5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5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5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5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5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5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5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5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5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5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5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5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5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5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5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5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5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5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5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5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5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5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5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5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5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5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5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5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5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5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5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5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5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5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5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5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5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5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5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5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5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5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5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5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5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5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5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5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5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5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5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5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5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5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5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5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5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5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5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5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5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5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5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5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5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5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5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5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5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5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5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5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5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5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5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5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5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5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5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5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5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5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5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5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5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5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5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5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5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5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5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5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5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5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5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5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5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5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5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5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5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5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5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5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5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5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5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5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5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5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5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5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5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5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5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5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5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5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5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5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5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5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5.7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5.7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5.7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5.7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5.7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5.7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5.7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5.7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5.7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5.7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5.7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5.7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5.7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5.7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5.7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5.7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5.7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5.7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5.7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5.7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5.7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5.7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5.7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5.7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5.7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5.7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5.7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5.7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5.7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5.7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5.7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5.7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5.7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5.7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5.7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5.7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5.7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5.7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5.7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5.7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5.7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5.7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5.7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5.7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5.7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5.7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5.7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5.7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5.7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5.7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5.7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5.7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5.7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5.7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5.7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5.7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5.7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5.7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5.7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5.7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5.7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5.7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5.7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5.7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5.7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5.7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5.7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5.7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5.7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5.7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5.7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5.7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5.7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5.7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5.7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5.7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5.7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5.7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5.7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5.7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5.7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5.7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5.7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5.7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5.7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5.7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5.7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5.7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5.7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5.7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5.7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5.7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5.7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5.7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5.7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5.7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5.7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5.7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5.7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5.7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5.7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5.7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5.7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5.7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5.7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5.7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5.7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5.7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5.7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5.7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5.7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5.7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5.7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5.7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5.7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5.7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5.7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5.7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5.7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5.7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5.7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5.7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5.7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5.7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5.7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5.7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5.7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5.7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5.7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5.7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5.7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5.7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5.7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5.7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5.7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5.7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5.7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5.7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5.7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5.7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5.7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5.7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5.7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5.7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5.7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5.7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5.7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5.7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5.7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5.7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5.7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5.7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5.7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5.7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5.7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5.7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5.7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5.7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5.7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5.7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5.7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5.7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5.7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5.7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5.7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5.7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5.7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5.7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5.7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5.7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5.7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5.7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5.7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5.7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5.7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5.7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5.7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5.7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5.7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5.7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5.7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5.7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5.7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5.7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5.7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5.7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5.7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5.7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5.7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5.7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5.7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5.7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5.7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5.7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5.7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5.7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5.7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5.7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5.7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5.7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5.7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5.7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5.7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5.7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5.7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5.7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5.7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5.7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5.7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5.7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5.7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5.7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5.7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5.7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5.7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5.7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5.7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5.7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5.7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5.7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5.7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5.7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5.7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5.7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5.7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5.7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5.7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5.7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5.7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5.7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5.7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5.7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5.7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5.7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5.7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5.7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5.7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5.7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5.7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5.7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5.7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5.7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5.7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5.7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5.7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5.7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5.7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5.7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5.7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5.7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5.7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5.7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5.7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5.7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5.7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5.7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5.7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5.7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5.7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5.7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5.7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5.7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5.7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5.7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5.7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5.7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5.7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5.7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5.7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5.7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5.7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5.7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5.7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5.7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5.7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5.7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5.7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5.7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5.7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5.7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5.7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5.7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5.7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5.7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5.7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5.7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5.7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5.7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5.7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5.7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5.7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5.7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5.7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5.7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5.7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5.7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5.7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5.7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5.7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5.7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5.7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5.7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5.7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5.7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5.7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5.7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5.7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5.7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5.7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5.7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5.7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5.7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5.7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5.7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5.7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5.7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5.7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5.7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5.7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5.7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5.7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5.7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5.7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5.7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5.7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5.7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5.7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5.7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5.7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5.7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5.7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5.7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5.7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5.7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5.7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5.7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5.7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5.7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5.7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5.7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5.7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5.7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5.7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5.7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5.7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5.7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5.7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5.7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5.7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5.7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5.7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5.7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5.7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5.7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5.7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5.7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5.7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5.7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5.7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5.7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5.7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5.7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5.7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5.7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5.7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5.7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5.7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5.7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5.7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5.7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5.7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5.7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5.7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5.7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5.7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5.7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5.7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5.7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5.7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5.7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5.7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5.7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5.7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5.7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5.7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5.7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5.7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5.7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5.7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5.7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5.7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5.7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5.7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5.7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5.7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5.7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5.7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5.7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5.7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5.7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5.7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5.7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5.7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5.7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5.7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5.7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5.7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5.7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5.7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5.7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5.7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5.7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5.7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5.7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5.7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5.7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5.7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5.7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5.7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5.7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5.7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5.7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5.7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5.7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5.7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5.7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5.7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5.7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5.7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5.7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5.7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5.7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5.7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5.7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5.7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5.7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5.7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5.7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5.7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5.7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5.7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5.7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5.7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5.7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5.7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5.7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5.7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5.7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5.7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5.7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5.7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5.7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5.7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5.7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5.7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5.7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5.7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5.7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5.7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5.7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5.7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5.7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5.7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5.7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5.7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5.7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5.7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5.7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5.7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5.7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5.7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5.7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5.7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5.7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5.7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5.7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5.7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5.7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5.7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5.7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5.7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5.7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5.7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5.7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5.7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5.7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5.7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5.7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5.7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5.7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5.7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5.7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5.7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5.7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5.7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5.7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5.7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5.7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5.7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5.7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5.7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5.7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5.7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5.7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5.7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5.7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5.7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5.7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5.7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5.7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5.7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5.7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5.7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5.7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5.7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5.7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5.7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5.7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5.7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5.7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5.7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5.7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5.7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5.7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5.7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5.7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5.7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5.7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5.7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5.7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5.7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5.7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5.7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5.7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5.7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5.7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5.7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5.7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5.7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5.7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5.7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5.7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5.7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5.7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5.7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5.7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5.7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5.7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5.7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5.7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5.7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5.7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5.7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5.7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5.7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5.7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5.7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5.7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5.7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5.7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5.7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5.7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5.7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5.7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5.7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5.7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5.7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5.7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5.7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5.7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5.7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5.7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5.7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5.7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5.7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5.7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5.7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5.7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5.7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5.7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5.7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5.7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5.7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5.7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5.7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5.7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5.7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5.7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5.7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5.7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5.7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5.7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5.7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5.7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5.7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5.7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5.7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5.7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5.7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5.7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5.7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5.7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5.7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5.7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5.7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5.7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5.7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5.7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5.7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5.7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5.7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5.7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5.7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5.7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5.7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5.7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5.7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5.7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5.7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5.7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5.7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5.7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5.7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5.7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5.7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5.7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5.7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5.7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5.7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5.7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5.7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5.7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5.7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5.7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5.7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5.7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5.7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5.7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5.7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5.7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5.7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5.7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5.7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5.7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5.7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5.7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5.7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5.7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5.7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5.7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5.7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5.7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5.7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5.7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5.7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5.7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5.7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5.7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5.7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5.7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5.7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5.7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5.7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5.7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5.7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5.7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5.7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5.7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5.7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5.7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5.7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5.7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5.7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5.7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5.7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5.7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5.7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5.7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5.7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5.7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5.7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5.7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5.7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5.7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5.7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5.7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5.7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5.7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5.7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5.7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5.7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5.7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5.7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5.7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5.7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5.7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5.7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5.7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5.7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5.7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5.7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5.7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5.7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5.7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5.7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5.7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5.7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5.7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5.7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5.7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5.7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5.7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5.7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5.7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5.7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5.7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5.7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5.7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5.7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5.7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5.7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5.7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5.7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5.7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5.7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5.7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5.7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5.7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5.7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5.7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5.7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5.7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5.7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5.7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5.7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5.7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5.7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5.7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5.7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5.7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5.7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5.7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5.7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5.7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5.7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5.7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5.7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5.7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5.7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5.7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5.7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5.7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5.7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5.7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5.7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5.7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5.7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5.7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5.7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5.7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5.7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5.7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5.7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5.7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5.7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5.7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5.7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29"/>
    <col customWidth="1" min="2" max="2" width="40.29"/>
    <col customWidth="1" min="3" max="3" width="32.43"/>
    <col customWidth="1" min="4" max="4" width="24.71"/>
    <col customWidth="1" min="5" max="5" width="11.0"/>
    <col customWidth="1" min="6" max="6" width="14.71"/>
    <col customWidth="1" min="7" max="7" width="11.57"/>
    <col customWidth="1" min="8" max="8" width="7.71"/>
    <col customWidth="1" min="9" max="9" width="5.29"/>
    <col customWidth="1" min="10" max="10" width="5.57"/>
    <col customWidth="1" min="13" max="13" width="17.14"/>
    <col customWidth="1" min="14" max="14" width="40.29"/>
    <col customWidth="1" min="15" max="15" width="32.43"/>
    <col customWidth="1" min="16" max="16" width="24.71"/>
  </cols>
  <sheetData>
    <row r="1">
      <c r="A1" s="78" t="s">
        <v>74</v>
      </c>
      <c r="B1" s="78" t="s">
        <v>102</v>
      </c>
      <c r="C1" s="78" t="s">
        <v>76</v>
      </c>
      <c r="D1" s="78" t="s">
        <v>75</v>
      </c>
      <c r="E1" s="78" t="s">
        <v>77</v>
      </c>
      <c r="F1" s="78" t="s">
        <v>103</v>
      </c>
      <c r="G1" s="78" t="s">
        <v>104</v>
      </c>
      <c r="H1" s="78" t="s">
        <v>105</v>
      </c>
      <c r="I1" s="78" t="s">
        <v>106</v>
      </c>
      <c r="J1" s="78" t="s">
        <v>107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78" t="s">
        <v>55</v>
      </c>
      <c r="B2" s="78" t="s">
        <v>105</v>
      </c>
      <c r="C2" s="78">
        <v>0.111</v>
      </c>
      <c r="D2" s="78">
        <v>0.13</v>
      </c>
      <c r="E2" s="78">
        <v>0.624</v>
      </c>
      <c r="F2" s="78">
        <v>0.039</v>
      </c>
      <c r="G2" s="78">
        <v>0.145</v>
      </c>
      <c r="H2" s="79">
        <v>176.0</v>
      </c>
      <c r="I2" s="79">
        <v>0.0</v>
      </c>
      <c r="J2" s="79">
        <v>0.0</v>
      </c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78" t="s">
        <v>54</v>
      </c>
      <c r="B3" s="78" t="s">
        <v>105</v>
      </c>
      <c r="C3" s="78">
        <v>0.091</v>
      </c>
      <c r="D3" s="78">
        <v>0.116</v>
      </c>
      <c r="E3" s="78">
        <v>0.145</v>
      </c>
      <c r="F3" s="78">
        <v>0.01</v>
      </c>
      <c r="G3" s="78">
        <v>0.129</v>
      </c>
      <c r="H3" s="79">
        <v>282.0</v>
      </c>
      <c r="I3" s="79">
        <v>0.0</v>
      </c>
      <c r="J3" s="79">
        <v>0.0</v>
      </c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>
      <c r="A4" s="78" t="s">
        <v>61</v>
      </c>
      <c r="B4" s="78" t="s">
        <v>105</v>
      </c>
      <c r="C4" s="78">
        <v>0.151</v>
      </c>
      <c r="D4" s="78">
        <v>0.208</v>
      </c>
      <c r="E4" s="78">
        <v>1.888</v>
      </c>
      <c r="F4" s="78">
        <v>0.184</v>
      </c>
      <c r="G4" s="78">
        <v>0.203</v>
      </c>
      <c r="H4" s="79">
        <v>99.0</v>
      </c>
      <c r="I4" s="79">
        <v>0.0</v>
      </c>
      <c r="J4" s="79">
        <v>0.0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>
      <c r="A5" s="78" t="s">
        <v>57</v>
      </c>
      <c r="B5" s="78" t="s">
        <v>105</v>
      </c>
      <c r="C5" s="78">
        <v>0.139</v>
      </c>
      <c r="D5" s="78">
        <v>0.211</v>
      </c>
      <c r="E5" s="78">
        <v>0.304</v>
      </c>
      <c r="F5" s="78">
        <v>0.036</v>
      </c>
      <c r="G5" s="78">
        <v>0.264</v>
      </c>
      <c r="H5" s="79">
        <v>75.0</v>
      </c>
      <c r="I5" s="79">
        <v>0.0</v>
      </c>
      <c r="J5" s="79">
        <v>0.0</v>
      </c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>
      <c r="A6" s="78" t="s">
        <v>53</v>
      </c>
      <c r="B6" s="78" t="s">
        <v>105</v>
      </c>
      <c r="C6" s="78">
        <v>0.102</v>
      </c>
      <c r="D6" s="78">
        <v>0.12</v>
      </c>
      <c r="E6" s="78">
        <v>0.154</v>
      </c>
      <c r="F6" s="78">
        <v>0.01</v>
      </c>
      <c r="G6" s="78">
        <v>0.134</v>
      </c>
      <c r="H6" s="79">
        <v>283.0</v>
      </c>
      <c r="I6" s="79">
        <v>0.0</v>
      </c>
      <c r="J6" s="79">
        <v>0.0</v>
      </c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78" t="s">
        <v>52</v>
      </c>
      <c r="B7" s="78" t="s">
        <v>105</v>
      </c>
      <c r="C7" s="78">
        <v>0.177</v>
      </c>
      <c r="D7" s="78">
        <v>0.315</v>
      </c>
      <c r="E7" s="78">
        <v>0.431</v>
      </c>
      <c r="F7" s="78">
        <v>0.096</v>
      </c>
      <c r="G7" s="78">
        <v>0.411</v>
      </c>
      <c r="H7" s="79">
        <v>303.0</v>
      </c>
      <c r="I7" s="79">
        <v>0.0</v>
      </c>
      <c r="J7" s="79">
        <v>0.0</v>
      </c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78" t="s">
        <v>56</v>
      </c>
      <c r="B8" s="78" t="s">
        <v>105</v>
      </c>
      <c r="C8" s="78">
        <v>0.204</v>
      </c>
      <c r="D8" s="78">
        <v>0.248</v>
      </c>
      <c r="E8" s="78">
        <v>0.668</v>
      </c>
      <c r="F8" s="78">
        <v>0.034</v>
      </c>
      <c r="G8" s="78">
        <v>0.277</v>
      </c>
      <c r="H8" s="79">
        <v>267.0</v>
      </c>
      <c r="I8" s="79">
        <v>0.0</v>
      </c>
      <c r="J8" s="79">
        <v>0.0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78" t="s">
        <v>59</v>
      </c>
      <c r="B9" s="78" t="s">
        <v>105</v>
      </c>
      <c r="C9" s="78">
        <v>0.095</v>
      </c>
      <c r="D9" s="78">
        <v>0.121</v>
      </c>
      <c r="E9" s="78">
        <v>0.151</v>
      </c>
      <c r="F9" s="78">
        <v>0.012</v>
      </c>
      <c r="G9" s="78">
        <v>0.138</v>
      </c>
      <c r="H9" s="79">
        <v>98.0</v>
      </c>
      <c r="I9" s="79">
        <v>0.0</v>
      </c>
      <c r="J9" s="79">
        <v>0.0</v>
      </c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78" t="s">
        <v>50</v>
      </c>
      <c r="B10" s="78" t="s">
        <v>105</v>
      </c>
      <c r="C10" s="78">
        <v>0.344</v>
      </c>
      <c r="D10" s="78">
        <v>0.42</v>
      </c>
      <c r="E10" s="78">
        <v>2.017</v>
      </c>
      <c r="F10" s="78">
        <v>0.102</v>
      </c>
      <c r="G10" s="78">
        <v>0.435</v>
      </c>
      <c r="H10" s="79">
        <v>540.0</v>
      </c>
      <c r="I10" s="79">
        <v>0.0</v>
      </c>
      <c r="J10" s="79">
        <v>0.0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78" t="s">
        <v>51</v>
      </c>
      <c r="B11" s="78" t="s">
        <v>105</v>
      </c>
      <c r="C11" s="78">
        <v>0.167</v>
      </c>
      <c r="D11" s="78">
        <v>0.204</v>
      </c>
      <c r="E11" s="78">
        <v>1.491</v>
      </c>
      <c r="F11" s="78">
        <v>0.078</v>
      </c>
      <c r="G11" s="78">
        <v>0.216</v>
      </c>
      <c r="H11" s="79">
        <v>444.0</v>
      </c>
      <c r="I11" s="79">
        <v>0.0</v>
      </c>
      <c r="J11" s="79">
        <v>0.0</v>
      </c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78" t="s">
        <v>58</v>
      </c>
      <c r="B12" s="78" t="s">
        <v>105</v>
      </c>
      <c r="C12" s="78">
        <v>0.159</v>
      </c>
      <c r="D12" s="78">
        <v>0.188</v>
      </c>
      <c r="E12" s="78">
        <v>1.112</v>
      </c>
      <c r="F12" s="78">
        <v>0.078</v>
      </c>
      <c r="G12" s="78">
        <v>0.195</v>
      </c>
      <c r="H12" s="79">
        <v>336.0</v>
      </c>
      <c r="I12" s="79">
        <v>0.0</v>
      </c>
      <c r="J12" s="79">
        <v>0.0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78" t="s">
        <v>60</v>
      </c>
      <c r="B13" s="78" t="s">
        <v>105</v>
      </c>
      <c r="C13" s="78">
        <v>0.08</v>
      </c>
      <c r="D13" s="78">
        <v>0.101</v>
      </c>
      <c r="E13" s="78">
        <v>0.126</v>
      </c>
      <c r="F13" s="78">
        <v>0.01</v>
      </c>
      <c r="G13" s="78">
        <v>0.114</v>
      </c>
      <c r="H13" s="79">
        <v>99.0</v>
      </c>
      <c r="I13" s="79">
        <v>0.0</v>
      </c>
      <c r="J13" s="79">
        <v>0.0</v>
      </c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80" t="s">
        <v>114</v>
      </c>
      <c r="B16" s="81"/>
      <c r="C16" s="81"/>
      <c r="D16" s="82"/>
      <c r="E16" s="76"/>
      <c r="F16" s="76"/>
      <c r="G16" s="76"/>
      <c r="H16" s="76"/>
      <c r="I16" s="76"/>
      <c r="J16" s="76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83" t="s">
        <v>43</v>
      </c>
      <c r="B17" s="83" t="s">
        <v>44</v>
      </c>
      <c r="C17" s="83" t="s">
        <v>45</v>
      </c>
      <c r="D17" s="83" t="s">
        <v>46</v>
      </c>
      <c r="E17" s="76"/>
      <c r="F17" s="76"/>
      <c r="G17" s="76"/>
      <c r="H17" s="76"/>
      <c r="I17" s="76"/>
      <c r="J17" s="76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83" t="s">
        <v>50</v>
      </c>
      <c r="B18" s="84">
        <v>537.7072530394153</v>
      </c>
      <c r="C18" s="85">
        <f t="shared" ref="C18:C19" si="1">H10</f>
        <v>540</v>
      </c>
      <c r="D18" s="86">
        <f t="shared" ref="D18:D30" si="2">1-B18/C18</f>
        <v>0.004245827705</v>
      </c>
      <c r="E18" s="76"/>
      <c r="F18" s="76"/>
      <c r="G18" s="76"/>
      <c r="H18" s="76"/>
      <c r="I18" s="76"/>
      <c r="J18" s="76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83" t="s">
        <v>51</v>
      </c>
      <c r="B19" s="84">
        <v>440.409955742118</v>
      </c>
      <c r="C19" s="85">
        <f t="shared" si="1"/>
        <v>444</v>
      </c>
      <c r="D19" s="86">
        <f t="shared" si="2"/>
        <v>0.008085685266</v>
      </c>
      <c r="E19" s="76"/>
      <c r="F19" s="76"/>
      <c r="G19" s="76"/>
      <c r="H19" s="76"/>
      <c r="I19" s="76"/>
      <c r="J19" s="76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83" t="s">
        <v>52</v>
      </c>
      <c r="B20" s="84">
        <v>301.12424145640375</v>
      </c>
      <c r="C20" s="85">
        <f>H7</f>
        <v>303</v>
      </c>
      <c r="D20" s="86">
        <f t="shared" si="2"/>
        <v>0.006190622256</v>
      </c>
      <c r="E20" s="76"/>
      <c r="F20" s="76"/>
      <c r="G20" s="76"/>
      <c r="H20" s="76"/>
      <c r="I20" s="76"/>
      <c r="J20" s="76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>
      <c r="A21" s="83" t="s">
        <v>53</v>
      </c>
      <c r="B21" s="84">
        <v>281.12424145640364</v>
      </c>
      <c r="C21" s="85">
        <f>H6</f>
        <v>283</v>
      </c>
      <c r="D21" s="86">
        <f t="shared" si="2"/>
        <v>0.006628122062</v>
      </c>
      <c r="E21" s="76"/>
      <c r="F21" s="76"/>
      <c r="G21" s="76"/>
      <c r="H21" s="76"/>
      <c r="I21" s="76"/>
      <c r="J21" s="76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>
      <c r="A22" s="83" t="s">
        <v>54</v>
      </c>
      <c r="B22" s="84">
        <v>281.12424145640364</v>
      </c>
      <c r="C22" s="85">
        <f>H3</f>
        <v>282</v>
      </c>
      <c r="D22" s="86">
        <f t="shared" si="2"/>
        <v>0.00310552675</v>
      </c>
      <c r="E22" s="76"/>
      <c r="F22" s="76"/>
      <c r="G22" s="76"/>
      <c r="H22" s="76"/>
      <c r="I22" s="76"/>
      <c r="J22" s="76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>
      <c r="A23" s="83" t="s">
        <v>55</v>
      </c>
      <c r="B23" s="84">
        <v>174.19354838709677</v>
      </c>
      <c r="C23" s="85">
        <f>H2</f>
        <v>176</v>
      </c>
      <c r="D23" s="86">
        <f t="shared" si="2"/>
        <v>0.01026392962</v>
      </c>
      <c r="E23" s="76"/>
      <c r="F23" s="76"/>
      <c r="G23" s="76"/>
      <c r="H23" s="76"/>
      <c r="I23" s="76"/>
      <c r="J23" s="76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>
      <c r="A24" s="83" t="s">
        <v>56</v>
      </c>
      <c r="B24" s="84">
        <v>266.2164073550212</v>
      </c>
      <c r="C24" s="85">
        <f>H8</f>
        <v>267</v>
      </c>
      <c r="D24" s="86">
        <f t="shared" si="2"/>
        <v>0.002934803914</v>
      </c>
      <c r="E24" s="76"/>
      <c r="F24" s="76"/>
      <c r="G24" s="76"/>
      <c r="H24" s="76"/>
      <c r="I24" s="76"/>
      <c r="J24" s="76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>
      <c r="A25" s="83" t="s">
        <v>57</v>
      </c>
      <c r="B25" s="84">
        <v>75.0</v>
      </c>
      <c r="C25" s="85">
        <f>H5</f>
        <v>75</v>
      </c>
      <c r="D25" s="86">
        <f t="shared" si="2"/>
        <v>0</v>
      </c>
      <c r="E25" s="76"/>
      <c r="F25" s="76"/>
      <c r="G25" s="76"/>
      <c r="H25" s="76"/>
      <c r="I25" s="76"/>
      <c r="J25" s="76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>
      <c r="A26" s="83" t="s">
        <v>58</v>
      </c>
      <c r="B26" s="84">
        <v>333.47926267281105</v>
      </c>
      <c r="C26" s="85">
        <f>H12</f>
        <v>336</v>
      </c>
      <c r="D26" s="86">
        <f t="shared" si="2"/>
        <v>0.007502194426</v>
      </c>
      <c r="E26" s="76"/>
      <c r="F26" s="76"/>
      <c r="G26" s="76"/>
      <c r="H26" s="76"/>
      <c r="I26" s="76"/>
      <c r="J26" s="76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A27" s="83" t="s">
        <v>59</v>
      </c>
      <c r="B27" s="84">
        <v>97.2972972972973</v>
      </c>
      <c r="C27" s="85">
        <f>H9</f>
        <v>98</v>
      </c>
      <c r="D27" s="86">
        <f t="shared" si="2"/>
        <v>0.007170435742</v>
      </c>
      <c r="E27" s="76"/>
      <c r="F27" s="76"/>
      <c r="G27" s="76"/>
      <c r="H27" s="76"/>
      <c r="I27" s="76"/>
      <c r="J27" s="76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83" t="s">
        <v>60</v>
      </c>
      <c r="B28" s="84">
        <v>97.2972972972973</v>
      </c>
      <c r="C28" s="85">
        <f>H13</f>
        <v>99</v>
      </c>
      <c r="D28" s="86">
        <f t="shared" si="2"/>
        <v>0.0171990172</v>
      </c>
      <c r="E28" s="76"/>
      <c r="F28" s="76"/>
      <c r="G28" s="76"/>
      <c r="H28" s="76"/>
      <c r="I28" s="76"/>
      <c r="J28" s="76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83" t="s">
        <v>61</v>
      </c>
      <c r="B29" s="84">
        <v>97.2972972972973</v>
      </c>
      <c r="C29" s="85">
        <f>H4</f>
        <v>99</v>
      </c>
      <c r="D29" s="86">
        <f t="shared" si="2"/>
        <v>0.0171990172</v>
      </c>
      <c r="E29" s="76"/>
      <c r="F29" s="76"/>
      <c r="G29" s="76"/>
      <c r="H29" s="76"/>
      <c r="I29" s="76"/>
      <c r="J29" s="76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83"/>
      <c r="B30" s="84">
        <f t="shared" ref="B30:C30" si="3">SUM(B18:B29)</f>
        <v>2982.271043</v>
      </c>
      <c r="C30" s="84">
        <f t="shared" si="3"/>
        <v>3002</v>
      </c>
      <c r="D30" s="86">
        <f t="shared" si="2"/>
        <v>0.006571937556</v>
      </c>
      <c r="E30" s="76"/>
      <c r="F30" s="76"/>
      <c r="G30" s="76"/>
      <c r="H30" s="76"/>
      <c r="I30" s="76"/>
      <c r="J30" s="76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1">
    <mergeCell ref="A16:D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29"/>
    <col customWidth="1" min="2" max="2" width="40.29"/>
    <col customWidth="1" min="3" max="3" width="32.43"/>
    <col customWidth="1" min="4" max="4" width="24.71"/>
    <col customWidth="1" min="5" max="5" width="11.0"/>
    <col customWidth="1" min="6" max="6" width="14.71"/>
    <col customWidth="1" min="7" max="7" width="11.57"/>
    <col customWidth="1" min="8" max="8" width="9.43"/>
    <col customWidth="1" min="9" max="9" width="5.29"/>
    <col customWidth="1" min="10" max="10" width="5.57"/>
  </cols>
  <sheetData>
    <row r="1">
      <c r="A1" s="78" t="s">
        <v>74</v>
      </c>
      <c r="B1" s="78" t="s">
        <v>102</v>
      </c>
      <c r="C1" s="78" t="s">
        <v>76</v>
      </c>
      <c r="D1" s="78" t="s">
        <v>75</v>
      </c>
      <c r="E1" s="78" t="s">
        <v>77</v>
      </c>
      <c r="F1" s="78" t="s">
        <v>103</v>
      </c>
      <c r="G1" s="78" t="s">
        <v>104</v>
      </c>
      <c r="H1" s="78" t="s">
        <v>105</v>
      </c>
      <c r="I1" s="78" t="s">
        <v>106</v>
      </c>
      <c r="J1" s="78" t="s">
        <v>107</v>
      </c>
    </row>
    <row r="2">
      <c r="A2" s="78" t="s">
        <v>55</v>
      </c>
      <c r="B2" s="78" t="s">
        <v>105</v>
      </c>
      <c r="C2" s="78">
        <v>0.103</v>
      </c>
      <c r="D2" s="78">
        <v>0.128</v>
      </c>
      <c r="E2" s="78">
        <v>0.868</v>
      </c>
      <c r="F2" s="78">
        <v>0.044</v>
      </c>
      <c r="G2" s="78">
        <v>0.142</v>
      </c>
      <c r="H2" s="79">
        <v>522.0</v>
      </c>
      <c r="I2" s="79">
        <v>0.0</v>
      </c>
      <c r="J2" s="79">
        <v>0.0</v>
      </c>
    </row>
    <row r="3">
      <c r="A3" s="78" t="s">
        <v>54</v>
      </c>
      <c r="B3" s="78" t="s">
        <v>105</v>
      </c>
      <c r="C3" s="78">
        <v>0.092</v>
      </c>
      <c r="D3" s="78">
        <v>0.116</v>
      </c>
      <c r="E3" s="78">
        <v>0.156</v>
      </c>
      <c r="F3" s="78">
        <v>0.01</v>
      </c>
      <c r="G3" s="78">
        <v>0.129</v>
      </c>
      <c r="H3" s="79">
        <v>844.0</v>
      </c>
      <c r="I3" s="79">
        <v>0.0</v>
      </c>
      <c r="J3" s="79">
        <v>0.0</v>
      </c>
    </row>
    <row r="4">
      <c r="A4" s="78" t="s">
        <v>61</v>
      </c>
      <c r="B4" s="78" t="s">
        <v>105</v>
      </c>
      <c r="C4" s="78">
        <v>0.147</v>
      </c>
      <c r="D4" s="78">
        <v>0.214</v>
      </c>
      <c r="E4" s="78">
        <v>1.91</v>
      </c>
      <c r="F4" s="78">
        <v>0.178</v>
      </c>
      <c r="G4" s="78">
        <v>0.203</v>
      </c>
      <c r="H4" s="79">
        <v>291.0</v>
      </c>
      <c r="I4" s="79">
        <v>0.0</v>
      </c>
      <c r="J4" s="79">
        <v>0.0</v>
      </c>
    </row>
    <row r="5">
      <c r="A5" s="78" t="s">
        <v>57</v>
      </c>
      <c r="B5" s="78" t="s">
        <v>105</v>
      </c>
      <c r="C5" s="78">
        <v>0.142</v>
      </c>
      <c r="D5" s="78">
        <v>0.258</v>
      </c>
      <c r="E5" s="78">
        <v>1.604</v>
      </c>
      <c r="F5" s="78">
        <v>0.113</v>
      </c>
      <c r="G5" s="78">
        <v>0.328</v>
      </c>
      <c r="H5" s="79">
        <v>225.0</v>
      </c>
      <c r="I5" s="79">
        <v>0.0</v>
      </c>
      <c r="J5" s="79">
        <v>0.0</v>
      </c>
    </row>
    <row r="6">
      <c r="A6" s="78" t="s">
        <v>53</v>
      </c>
      <c r="B6" s="78" t="s">
        <v>105</v>
      </c>
      <c r="C6" s="78">
        <v>0.096</v>
      </c>
      <c r="D6" s="78">
        <v>0.119</v>
      </c>
      <c r="E6" s="78">
        <v>0.49</v>
      </c>
      <c r="F6" s="78">
        <v>0.017</v>
      </c>
      <c r="G6" s="78">
        <v>0.133</v>
      </c>
      <c r="H6" s="79">
        <v>842.0</v>
      </c>
      <c r="I6" s="79">
        <v>0.0</v>
      </c>
      <c r="J6" s="79">
        <v>0.0</v>
      </c>
    </row>
    <row r="7">
      <c r="A7" s="78" t="s">
        <v>52</v>
      </c>
      <c r="B7" s="78" t="s">
        <v>105</v>
      </c>
      <c r="C7" s="78">
        <v>0.185</v>
      </c>
      <c r="D7" s="78">
        <v>0.316</v>
      </c>
      <c r="E7" s="78">
        <v>0.701</v>
      </c>
      <c r="F7" s="78">
        <v>0.097</v>
      </c>
      <c r="G7" s="78">
        <v>0.411</v>
      </c>
      <c r="H7" s="79">
        <v>903.0</v>
      </c>
      <c r="I7" s="79">
        <v>0.0</v>
      </c>
      <c r="J7" s="79">
        <v>0.0</v>
      </c>
    </row>
    <row r="8">
      <c r="A8" s="78" t="s">
        <v>56</v>
      </c>
      <c r="B8" s="78" t="s">
        <v>105</v>
      </c>
      <c r="C8" s="78">
        <v>0.206</v>
      </c>
      <c r="D8" s="78">
        <v>0.272</v>
      </c>
      <c r="E8" s="78">
        <v>2.72</v>
      </c>
      <c r="F8" s="78">
        <v>0.104</v>
      </c>
      <c r="G8" s="78">
        <v>0.304</v>
      </c>
      <c r="H8" s="79">
        <v>800.0</v>
      </c>
      <c r="I8" s="79">
        <v>0.0</v>
      </c>
      <c r="J8" s="79">
        <v>0.0</v>
      </c>
    </row>
    <row r="9">
      <c r="A9" s="78" t="s">
        <v>59</v>
      </c>
      <c r="B9" s="78" t="s">
        <v>105</v>
      </c>
      <c r="C9" s="78">
        <v>0.099</v>
      </c>
      <c r="D9" s="78">
        <v>0.119</v>
      </c>
      <c r="E9" s="78">
        <v>0.151</v>
      </c>
      <c r="F9" s="78">
        <v>0.011</v>
      </c>
      <c r="G9" s="78">
        <v>0.135</v>
      </c>
      <c r="H9" s="79">
        <v>292.0</v>
      </c>
      <c r="I9" s="79">
        <v>0.0</v>
      </c>
      <c r="J9" s="79">
        <v>0.0</v>
      </c>
    </row>
    <row r="10">
      <c r="A10" s="78" t="s">
        <v>50</v>
      </c>
      <c r="B10" s="78" t="s">
        <v>105</v>
      </c>
      <c r="C10" s="78">
        <v>0.341</v>
      </c>
      <c r="D10" s="78">
        <v>0.459</v>
      </c>
      <c r="E10" s="78">
        <v>4.912</v>
      </c>
      <c r="F10" s="78">
        <v>0.331</v>
      </c>
      <c r="G10" s="78">
        <v>0.437</v>
      </c>
      <c r="H10" s="79">
        <v>1615.0</v>
      </c>
      <c r="I10" s="79">
        <v>0.0</v>
      </c>
      <c r="J10" s="79">
        <v>0.0</v>
      </c>
    </row>
    <row r="11">
      <c r="A11" s="78" t="s">
        <v>51</v>
      </c>
      <c r="B11" s="78" t="s">
        <v>105</v>
      </c>
      <c r="C11" s="78">
        <v>0.157</v>
      </c>
      <c r="D11" s="78">
        <v>0.227</v>
      </c>
      <c r="E11" s="78">
        <v>2.922</v>
      </c>
      <c r="F11" s="78">
        <v>0.195</v>
      </c>
      <c r="G11" s="78">
        <v>0.217</v>
      </c>
      <c r="H11" s="79">
        <v>1323.0</v>
      </c>
      <c r="I11" s="79">
        <v>0.0</v>
      </c>
      <c r="J11" s="79">
        <v>0.0</v>
      </c>
    </row>
    <row r="12">
      <c r="A12" s="78" t="s">
        <v>58</v>
      </c>
      <c r="B12" s="78" t="s">
        <v>105</v>
      </c>
      <c r="C12" s="78">
        <v>0.146</v>
      </c>
      <c r="D12" s="78">
        <v>0.194</v>
      </c>
      <c r="E12" s="78">
        <v>3.077</v>
      </c>
      <c r="F12" s="78">
        <v>0.157</v>
      </c>
      <c r="G12" s="78">
        <v>0.194</v>
      </c>
      <c r="H12" s="79">
        <v>1001.0</v>
      </c>
      <c r="I12" s="79">
        <v>0.0</v>
      </c>
      <c r="J12" s="79">
        <v>0.0</v>
      </c>
    </row>
    <row r="13">
      <c r="A13" s="78" t="s">
        <v>60</v>
      </c>
      <c r="B13" s="78" t="s">
        <v>105</v>
      </c>
      <c r="C13" s="78">
        <v>0.088</v>
      </c>
      <c r="D13" s="78">
        <v>0.101</v>
      </c>
      <c r="E13" s="78">
        <v>0.125</v>
      </c>
      <c r="F13" s="78">
        <v>0.01</v>
      </c>
      <c r="G13" s="78">
        <v>0.115</v>
      </c>
      <c r="H13" s="79">
        <v>291.0</v>
      </c>
      <c r="I13" s="79">
        <v>0.0</v>
      </c>
      <c r="J13" s="79">
        <v>0.0</v>
      </c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>
      <c r="A16" s="80" t="s">
        <v>115</v>
      </c>
      <c r="B16" s="81"/>
      <c r="C16" s="81"/>
      <c r="D16" s="82"/>
      <c r="E16" s="76"/>
      <c r="F16" s="76"/>
      <c r="G16" s="76"/>
      <c r="H16" s="76"/>
      <c r="I16" s="76"/>
      <c r="J16" s="76"/>
    </row>
    <row r="17">
      <c r="A17" s="83" t="s">
        <v>43</v>
      </c>
      <c r="B17" s="87" t="s">
        <v>116</v>
      </c>
      <c r="C17" s="83" t="s">
        <v>45</v>
      </c>
      <c r="D17" s="83" t="s">
        <v>46</v>
      </c>
      <c r="E17" s="76"/>
      <c r="F17" s="76"/>
      <c r="G17" s="76"/>
      <c r="H17" s="76"/>
      <c r="I17" s="76"/>
      <c r="J17" s="76"/>
    </row>
    <row r="18">
      <c r="A18" s="83" t="s">
        <v>50</v>
      </c>
      <c r="B18" s="84">
        <f>3* 537.707253039415</f>
        <v>1613.121759</v>
      </c>
      <c r="C18" s="85">
        <f t="shared" ref="C18:C19" si="1">H10</f>
        <v>1615</v>
      </c>
      <c r="D18" s="86">
        <f t="shared" ref="D18:D30" si="2">1-B18/C18</f>
        <v>0.00116299745</v>
      </c>
      <c r="E18" s="76"/>
      <c r="F18" s="76"/>
      <c r="G18" s="76"/>
      <c r="H18" s="76"/>
      <c r="I18" s="76"/>
      <c r="J18" s="76"/>
    </row>
    <row r="19">
      <c r="A19" s="83" t="s">
        <v>51</v>
      </c>
      <c r="B19" s="84">
        <f>3*440.409955742118</f>
        <v>1321.229867</v>
      </c>
      <c r="C19" s="85">
        <f t="shared" si="1"/>
        <v>1323</v>
      </c>
      <c r="D19" s="86">
        <f t="shared" si="2"/>
        <v>0.001337968839</v>
      </c>
      <c r="E19" s="76"/>
      <c r="F19" s="76"/>
      <c r="G19" s="76"/>
      <c r="H19" s="76"/>
      <c r="I19" s="76"/>
      <c r="J19" s="76"/>
    </row>
    <row r="20">
      <c r="A20" s="83" t="s">
        <v>52</v>
      </c>
      <c r="B20" s="84">
        <f>3*301.124241456404</f>
        <v>903.3727244</v>
      </c>
      <c r="C20" s="85">
        <f>H7</f>
        <v>903</v>
      </c>
      <c r="D20" s="86">
        <f t="shared" si="2"/>
        <v>-0.0004127623136</v>
      </c>
      <c r="E20" s="76"/>
      <c r="F20" s="76"/>
      <c r="G20" s="76"/>
      <c r="H20" s="76"/>
      <c r="I20" s="76"/>
      <c r="J20" s="76"/>
    </row>
    <row r="21">
      <c r="A21" s="83" t="s">
        <v>53</v>
      </c>
      <c r="B21" s="84">
        <f t="shared" ref="B21:B22" si="3">3*281.124241456404</f>
        <v>843.3727244</v>
      </c>
      <c r="C21" s="85">
        <f>H6</f>
        <v>842</v>
      </c>
      <c r="D21" s="86">
        <f t="shared" si="2"/>
        <v>-0.001630313978</v>
      </c>
      <c r="E21" s="76"/>
      <c r="F21" s="76"/>
      <c r="G21" s="76"/>
      <c r="H21" s="76"/>
      <c r="I21" s="76"/>
      <c r="J21" s="76"/>
    </row>
    <row r="22">
      <c r="A22" s="83" t="s">
        <v>54</v>
      </c>
      <c r="B22" s="84">
        <f t="shared" si="3"/>
        <v>843.3727244</v>
      </c>
      <c r="C22" s="85">
        <f>H3</f>
        <v>844</v>
      </c>
      <c r="D22" s="86">
        <f t="shared" si="2"/>
        <v>0.000743217572</v>
      </c>
      <c r="E22" s="76"/>
      <c r="F22" s="76"/>
      <c r="G22" s="76"/>
      <c r="H22" s="76"/>
      <c r="I22" s="76"/>
      <c r="J22" s="76"/>
    </row>
    <row r="23">
      <c r="A23" s="83" t="s">
        <v>55</v>
      </c>
      <c r="B23" s="84">
        <f>3*174.193548387097</f>
        <v>522.5806452</v>
      </c>
      <c r="C23" s="85">
        <f>H2</f>
        <v>522</v>
      </c>
      <c r="D23" s="86">
        <f t="shared" si="2"/>
        <v>-0.001112347052</v>
      </c>
      <c r="E23" s="76"/>
      <c r="F23" s="76"/>
      <c r="G23" s="76"/>
      <c r="H23" s="76"/>
      <c r="I23" s="76"/>
      <c r="J23" s="76"/>
    </row>
    <row r="24">
      <c r="A24" s="83" t="s">
        <v>56</v>
      </c>
      <c r="B24" s="84">
        <f>3*266.216407355021</f>
        <v>798.6492221</v>
      </c>
      <c r="C24" s="85">
        <f>H8</f>
        <v>800</v>
      </c>
      <c r="D24" s="86">
        <f t="shared" si="2"/>
        <v>0.001688472419</v>
      </c>
      <c r="E24" s="76"/>
      <c r="F24" s="76"/>
      <c r="G24" s="76"/>
      <c r="H24" s="76"/>
      <c r="I24" s="76"/>
      <c r="J24" s="76"/>
    </row>
    <row r="25">
      <c r="A25" s="83" t="s">
        <v>57</v>
      </c>
      <c r="B25" s="84">
        <f>3*75</f>
        <v>225</v>
      </c>
      <c r="C25" s="85">
        <f>H5</f>
        <v>225</v>
      </c>
      <c r="D25" s="86">
        <f t="shared" si="2"/>
        <v>0</v>
      </c>
      <c r="E25" s="76"/>
      <c r="F25" s="76"/>
      <c r="G25" s="76"/>
      <c r="H25" s="76"/>
      <c r="I25" s="76"/>
      <c r="J25" s="76"/>
    </row>
    <row r="26">
      <c r="A26" s="83" t="s">
        <v>58</v>
      </c>
      <c r="B26" s="84">
        <f>3*333.479262672811</f>
        <v>1000.437788</v>
      </c>
      <c r="C26" s="85">
        <f>H12</f>
        <v>1001</v>
      </c>
      <c r="D26" s="86">
        <f t="shared" si="2"/>
        <v>0.0005616503312</v>
      </c>
      <c r="E26" s="76"/>
      <c r="F26" s="76"/>
      <c r="G26" s="76"/>
      <c r="H26" s="76"/>
      <c r="I26" s="76"/>
      <c r="J26" s="76"/>
    </row>
    <row r="27">
      <c r="A27" s="83" t="s">
        <v>59</v>
      </c>
      <c r="B27" s="84">
        <f t="shared" ref="B27:B29" si="4">3*97.2972972972973</f>
        <v>291.8918919</v>
      </c>
      <c r="C27" s="85">
        <f>H9</f>
        <v>292</v>
      </c>
      <c r="D27" s="86">
        <f t="shared" si="2"/>
        <v>0.0003702332469</v>
      </c>
      <c r="E27" s="76"/>
      <c r="F27" s="76"/>
      <c r="G27" s="76"/>
      <c r="H27" s="76"/>
      <c r="I27" s="76"/>
      <c r="J27" s="76"/>
    </row>
    <row r="28">
      <c r="A28" s="83" t="s">
        <v>60</v>
      </c>
      <c r="B28" s="84">
        <f t="shared" si="4"/>
        <v>291.8918919</v>
      </c>
      <c r="C28" s="85">
        <f>H13</f>
        <v>291</v>
      </c>
      <c r="D28" s="86">
        <f t="shared" si="2"/>
        <v>-0.003064920591</v>
      </c>
      <c r="E28" s="76"/>
      <c r="F28" s="76"/>
      <c r="G28" s="76"/>
      <c r="H28" s="76"/>
      <c r="I28" s="76"/>
      <c r="J28" s="76"/>
    </row>
    <row r="29">
      <c r="A29" s="83" t="s">
        <v>61</v>
      </c>
      <c r="B29" s="84">
        <f t="shared" si="4"/>
        <v>291.8918919</v>
      </c>
      <c r="C29" s="85">
        <f>H4</f>
        <v>291</v>
      </c>
      <c r="D29" s="86">
        <f t="shared" si="2"/>
        <v>-0.003064920591</v>
      </c>
      <c r="E29" s="76"/>
      <c r="F29" s="76"/>
      <c r="G29" s="76"/>
      <c r="H29" s="76"/>
      <c r="I29" s="76"/>
      <c r="J29" s="76"/>
    </row>
    <row r="30">
      <c r="A30" s="83"/>
      <c r="B30" s="84">
        <f t="shared" ref="B30:C30" si="5">SUM(B18:B29)</f>
        <v>8946.81313</v>
      </c>
      <c r="C30" s="84">
        <f t="shared" si="5"/>
        <v>8949</v>
      </c>
      <c r="D30" s="86">
        <f t="shared" si="2"/>
        <v>0.0002443702791</v>
      </c>
      <c r="E30" s="76"/>
      <c r="F30" s="76"/>
      <c r="G30" s="76"/>
      <c r="H30" s="76"/>
      <c r="I30" s="76"/>
      <c r="J30" s="76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</row>
    <row r="38">
      <c r="A38" s="61"/>
      <c r="B38" s="61"/>
      <c r="C38" s="61"/>
      <c r="D38" s="61"/>
      <c r="E38" s="61"/>
      <c r="F38" s="61"/>
      <c r="G38" s="61"/>
      <c r="H38" s="61"/>
      <c r="I38" s="61"/>
      <c r="J38" s="61"/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1"/>
    </row>
    <row r="40">
      <c r="A40" s="61"/>
      <c r="B40" s="61"/>
      <c r="C40" s="61"/>
      <c r="D40" s="61"/>
      <c r="E40" s="61"/>
      <c r="F40" s="61"/>
      <c r="G40" s="61"/>
      <c r="H40" s="61"/>
      <c r="I40" s="61"/>
      <c r="J40" s="61"/>
    </row>
    <row r="41">
      <c r="A41" s="61"/>
      <c r="B41" s="61"/>
      <c r="C41" s="61"/>
      <c r="D41" s="61"/>
      <c r="E41" s="61"/>
      <c r="F41" s="61"/>
      <c r="G41" s="61"/>
      <c r="H41" s="61"/>
      <c r="I41" s="61"/>
      <c r="J41" s="61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1"/>
    </row>
    <row r="43">
      <c r="A43" s="61"/>
      <c r="B43" s="61"/>
      <c r="C43" s="61"/>
      <c r="D43" s="61"/>
      <c r="E43" s="61"/>
      <c r="F43" s="61"/>
      <c r="G43" s="61"/>
      <c r="H43" s="61"/>
      <c r="I43" s="61"/>
      <c r="J43" s="61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1"/>
    </row>
    <row r="45">
      <c r="A45" s="61"/>
      <c r="B45" s="61"/>
      <c r="C45" s="61"/>
      <c r="D45" s="61"/>
      <c r="E45" s="61"/>
      <c r="F45" s="61"/>
      <c r="G45" s="61"/>
      <c r="H45" s="61"/>
      <c r="I45" s="61"/>
      <c r="J45" s="61"/>
    </row>
    <row r="46">
      <c r="A46" s="61"/>
      <c r="B46" s="61"/>
      <c r="C46" s="61"/>
      <c r="D46" s="61"/>
      <c r="E46" s="61"/>
      <c r="F46" s="61"/>
      <c r="G46" s="61"/>
      <c r="H46" s="61"/>
      <c r="I46" s="61"/>
      <c r="J46" s="61"/>
    </row>
    <row r="47">
      <c r="A47" s="61"/>
      <c r="B47" s="61"/>
      <c r="C47" s="61"/>
      <c r="D47" s="61"/>
      <c r="E47" s="61"/>
      <c r="F47" s="61"/>
      <c r="G47" s="61"/>
      <c r="H47" s="61"/>
      <c r="I47" s="61"/>
      <c r="J47" s="61"/>
    </row>
    <row r="48">
      <c r="A48" s="61"/>
      <c r="B48" s="61"/>
      <c r="C48" s="61"/>
      <c r="D48" s="61"/>
      <c r="E48" s="61"/>
      <c r="F48" s="61"/>
      <c r="G48" s="61"/>
      <c r="H48" s="61"/>
      <c r="I48" s="61"/>
      <c r="J48" s="61"/>
    </row>
    <row r="49">
      <c r="A49" s="61"/>
      <c r="B49" s="61"/>
      <c r="C49" s="61"/>
      <c r="D49" s="61"/>
      <c r="E49" s="61"/>
      <c r="F49" s="61"/>
      <c r="G49" s="61"/>
      <c r="H49" s="61"/>
      <c r="I49" s="61"/>
      <c r="J49" s="61"/>
    </row>
    <row r="50">
      <c r="A50" s="61"/>
      <c r="B50" s="61"/>
      <c r="C50" s="61"/>
      <c r="D50" s="61"/>
      <c r="E50" s="61"/>
      <c r="F50" s="61"/>
      <c r="G50" s="61"/>
      <c r="H50" s="61"/>
      <c r="I50" s="61"/>
      <c r="J50" s="61"/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1"/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3">
      <c r="A53" s="61"/>
      <c r="B53" s="61"/>
      <c r="C53" s="61"/>
      <c r="D53" s="61"/>
      <c r="E53" s="61"/>
      <c r="F53" s="61"/>
      <c r="G53" s="61"/>
      <c r="H53" s="61"/>
      <c r="I53" s="61"/>
      <c r="J53" s="61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1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1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1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1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1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</row>
  </sheetData>
  <mergeCells count="1">
    <mergeCell ref="A16:D16"/>
  </mergeCells>
  <drawing r:id="rId1"/>
</worksheet>
</file>