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activeX/activeX2.xml" ContentType="application/vnd.ms-office.activeX+xml"/>
  <Override PartName="/xl/activeX/activeX2.bin" ContentType="application/vnd.ms-office.activeX"/>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C:\Users\Yousefi\source\repos\emkansanjiV1\Templates\"/>
    </mc:Choice>
  </mc:AlternateContent>
  <bookViews>
    <workbookView xWindow="120" yWindow="15" windowWidth="13260" windowHeight="7275" tabRatio="757"/>
  </bookViews>
  <sheets>
    <sheet name="ورود اطلاعات" sheetId="16" r:id="rId1"/>
    <sheet name="IST" sheetId="7" r:id="rId2"/>
    <sheet name="امکانسنجی  " sheetId="12" r:id="rId3"/>
    <sheet name="نمونه اولیه" sheetId="6" state="hidden" r:id="rId4"/>
    <sheet name="فنرپیچی" sheetId="8" state="hidden" r:id="rId5"/>
    <sheet name="Fanar pichi_Garm" sheetId="17" state="hidden" r:id="rId6"/>
    <sheet name="Sang zani" sheetId="19" state="hidden" r:id="rId7"/>
    <sheet name="Fanar pichi_sard" sheetId="21" state="hidden" r:id="rId8"/>
    <sheet name="Set" sheetId="20" state="hidden" r:id="rId9"/>
  </sheets>
  <externalReferences>
    <externalReference r:id="rId10"/>
    <externalReference r:id="rId11"/>
    <externalReference r:id="rId12"/>
  </externalReferences>
  <definedNames>
    <definedName name="buyMandrel">'امکانسنجی  '!$X$34</definedName>
    <definedName name="buyMandrelCost">'امکانسنجی  '!$BL$39</definedName>
    <definedName name="buyMandrelDiameter">'امکانسنجی  '!$BL$41</definedName>
    <definedName name="buyMandrelLength">'امکانسنجی  '!$BL$36</definedName>
    <definedName name="buyMandrelPrice">'امکانسنجی  '!$BL$37</definedName>
    <definedName name="buyWire">'امکانسنجی  '!$AL$28</definedName>
    <definedName name="capacity">'امکانسنجی  '!$BA$50</definedName>
    <definedName name="cCD">'ورود اطلاعات'!$G$12</definedName>
    <definedName name="cDi">'ورود اطلاعات'!$G$8</definedName>
    <definedName name="cDiTol">'ورود اطلاعات'!$H$8</definedName>
    <definedName name="cEbteda">'ورود اطلاعات'!$G$14</definedName>
    <definedName name="cEnteha">'ورود اطلاعات'!$G$15</definedName>
    <definedName name="cF_1">'ورود اطلاعات'!$G$16</definedName>
    <definedName name="cF_2">'ورود اطلاعات'!$G$18</definedName>
    <definedName name="cF_3">'ورود اطلاعات'!$G$20</definedName>
    <definedName name="cF1_Tol">'ورود اطلاعات'!$H$16</definedName>
    <definedName name="cF2_Tol">'ورود اطلاعات'!$H$18</definedName>
    <definedName name="cF3_Tol">'ورود اطلاعات'!$H$20</definedName>
    <definedName name="cFUnit">'ورود اطلاعات'!$G$22</definedName>
    <definedName name="cGhotri">'ورود اطلاعات'!$G$24</definedName>
    <definedName name="cHardness">'ورود اطلاعات'!$G$25</definedName>
    <definedName name="cL_1">'ورود اطلاعات'!$G$17</definedName>
    <definedName name="cL_2">'ورود اطلاعات'!$G$19</definedName>
    <definedName name="cL_3">'ورود اطلاعات'!$G$21</definedName>
    <definedName name="cL0">'ورود اطلاعات'!$G$11</definedName>
    <definedName name="cL0Tol">'ورود اطلاعات'!$H$11</definedName>
    <definedName name="cMaterial">'ورود اطلاعات'!$G$5</definedName>
    <definedName name="cNa">'ورود اطلاعات'!$G$10</definedName>
    <definedName name="cNt">'ورود اطلاعات'!$G$9</definedName>
    <definedName name="cNtTol">'ورود اطلاعات'!$H$9</definedName>
    <definedName name="cOD">'ورود اطلاعات'!$G$7</definedName>
    <definedName name="cODTol">'ورود اطلاعات'!$H$7</definedName>
    <definedName name="coilingDirection">'ورود اطلاعات'!$K$12</definedName>
    <definedName name="comment">'امکانسنجی  '!$A$55</definedName>
    <definedName name="cRate">'ورود اطلاعات'!$G$13</definedName>
    <definedName name="cRateTol">'ورود اطلاعات'!$H$13</definedName>
    <definedName name="cTooli">'ورود اطلاعات'!$G$23</definedName>
    <definedName name="customerName">'ورود اطلاعات'!$D$3</definedName>
    <definedName name="customerProductCode">'ورود اطلاعات'!$D$12</definedName>
    <definedName name="cWired">'ورود اطلاعات'!$G$6</definedName>
    <definedName name="cWiredTol">'ورود اطلاعات'!$H$6</definedName>
    <definedName name="dueDate">'امکانسنجی  '!$M$47</definedName>
    <definedName name="dwgNo">'ورود اطلاعات'!$D$7</definedName>
    <definedName name="empty">'امکانسنجی  '!$AL$50</definedName>
    <definedName name="ESpName">'ورود اطلاعات'!$D$15</definedName>
    <definedName name="ESProductCode">'ورود اطلاعات'!$D$16</definedName>
    <definedName name="firstCoil">'ورود اطلاعات'!$K$14</definedName>
    <definedName name="Force1">'ورود اطلاعات'!$K$16</definedName>
    <definedName name="Force2">'ورود اطلاعات'!$K$18</definedName>
    <definedName name="Force3">'ورود اطلاعات'!$K$20</definedName>
    <definedName name="forceUnit">'ورود اطلاعات'!$K$22</definedName>
    <definedName name="ganjianSig">'امکانسنجی  '!$AP$68</definedName>
    <definedName name="grade">'ورود اطلاعات'!$D$11</definedName>
    <definedName name="hamedSig">'امکانسنجی  '!$AG$68</definedName>
    <definedName name="inspectionProcess">'امکانسنجی  '!$BY$2</definedName>
    <definedName name="inventoryWireD">'امکانسنجی  '!$F$30</definedName>
    <definedName name="inventoryWireLength">'امکانسنجی  '!$N$30</definedName>
    <definedName name="L0">'ورود اطلاعات'!$K$11</definedName>
    <definedName name="lastCoil">'ورود اطلاعات'!$K$15</definedName>
    <definedName name="Length1">'ورود اطلاعات'!$K$17</definedName>
    <definedName name="Length2">'ورود اطلاعات'!$K$19</definedName>
    <definedName name="Length3">'ورود اطلاعات'!$K$21</definedName>
    <definedName name="letterDate">'ورود اطلاعات'!$D$6</definedName>
    <definedName name="letterNo">'ورود اطلاعات'!$D$4</definedName>
    <definedName name="mandrel">'ورود اطلاعات'!$K$8</definedName>
    <definedName name="mandrelCode">'امکانسنجی  '!$J$38</definedName>
    <definedName name="material">'ورود اطلاعات'!$K$5</definedName>
    <definedName name="mnt">[1]Sheet4!$H$3</definedName>
    <definedName name="mohtashamiSig">'امکانسنجی  '!$AY$68</definedName>
    <definedName name="MyPic">CHOOSE(MyPicSelect,MyPic1,MyPic2,MyPic3,MyPic4)</definedName>
    <definedName name="MyPic1">[2]Pics!$B$2</definedName>
    <definedName name="MyPic2">[2]Pics!$B$3</definedName>
    <definedName name="MyPic3">[2]Pics!$B$4</definedName>
    <definedName name="MyPic4">[2]Pics!$B$5</definedName>
    <definedName name="MyPicSelect">[2]Pics!$B$1</definedName>
    <definedName name="Na">'ورود اطلاعات'!$K$10</definedName>
    <definedName name="nimsakht">'امکانسنجی  '!$X$51</definedName>
    <definedName name="notProducable">'امکانسنجی  '!$AG$61</definedName>
    <definedName name="Nt">'ورود اطلاعات'!$K$9</definedName>
    <definedName name="OD">'ورود اطلاعات'!$K$7</definedName>
    <definedName name="orderTypeCode">'امکانسنجی  '!$BY$3</definedName>
    <definedName name="otherInspection">'امکانسنجی  '!$BA$15</definedName>
    <definedName name="packageCostForEach">'امکانسنجی  '!$N$44</definedName>
    <definedName name="packageType">'امکانسنجی  '!$A$42</definedName>
    <definedName name="pDate">'ورود اطلاعات'!$D$9</definedName>
    <definedName name="pillingCost">'امکانسنجی  '!$BK$29</definedName>
    <definedName name="pillWire">'امکانسنجی  '!$Z$28</definedName>
    <definedName name="pName">'ورود اطلاعات'!$D$5</definedName>
    <definedName name="_xlnm.Print_Area" localSheetId="5">'Fanar pichi_Garm'!$A$1:$O$39</definedName>
    <definedName name="_xlnm.Print_Area" localSheetId="7">'Fanar pichi_sard'!$A$1:$O$35</definedName>
    <definedName name="_xlnm.Print_Area" localSheetId="6">'Sang zani'!$A$1:$Q$34</definedName>
    <definedName name="_xlnm.Print_Area" localSheetId="8">Set!$A$1:$Q$29</definedName>
    <definedName name="_xlnm.Print_Area" localSheetId="2">'امکانسنجی  '!$A$1:$BG$70</definedName>
    <definedName name="_xlnm.Print_Area" localSheetId="4">فنرپیچی!$A$1:$AI$45</definedName>
    <definedName name="_xlnm.Print_Area" localSheetId="3">'نمونه اولیه'!$A$1:$AD$45</definedName>
    <definedName name="producable">'امکانسنجی  '!$AG$60</definedName>
    <definedName name="productionLoss">'امکانسنجی  '!$I$53</definedName>
    <definedName name="productionProcess">'امکانسنجی  '!$BY$1</definedName>
    <definedName name="quantity">'ورود اطلاعات'!$D$8</definedName>
    <definedName name="range13">'Sang zani'!$R$3</definedName>
    <definedName name="rangShode">'امکانسنجی  '!$M$51</definedName>
    <definedName name="sampleQuantity">'امکانسنجی  '!$O$50</definedName>
    <definedName name="springIneachPackage">'امکانسنجی  '!$G$42</definedName>
    <definedName name="springRate">'ورود اطلاعات'!$K$13</definedName>
    <definedName name="springType">'ورود اطلاعات'!$K$4</definedName>
    <definedName name="standard">'ورود اطلاعات'!$D$10</definedName>
    <definedName name="whyNot">'امکانسنجی  '!$A$63</definedName>
    <definedName name="wireAvailable">'امکانسنجی  '!$H$28</definedName>
    <definedName name="wireD">'ورود اطلاعات'!$K$6</definedName>
    <definedName name="wireLength">'امکانسنجی  '!$BD$21</definedName>
  </definedNames>
  <calcPr calcId="162913"/>
</workbook>
</file>

<file path=xl/calcChain.xml><?xml version="1.0" encoding="utf-8"?>
<calcChain xmlns="http://schemas.openxmlformats.org/spreadsheetml/2006/main">
  <c r="AC7" i="12" l="1"/>
  <c r="AZ7" i="12"/>
  <c r="I7" i="12"/>
  <c r="AC6" i="12"/>
  <c r="AE25" i="12" l="1"/>
  <c r="AE21" i="12"/>
  <c r="AE18" i="12"/>
  <c r="C7" i="7"/>
  <c r="G17" i="16" l="1"/>
  <c r="G18" i="16"/>
  <c r="G19" i="16"/>
  <c r="G20" i="16"/>
  <c r="G21" i="16"/>
  <c r="G22" i="16"/>
  <c r="G16" i="16"/>
  <c r="G26" i="16" l="1"/>
  <c r="BS2" i="12"/>
  <c r="BA15" i="12" s="1"/>
  <c r="BW3" i="12"/>
  <c r="BR3" i="12" s="1"/>
  <c r="BX3" i="12"/>
  <c r="BV3" i="12" s="1"/>
  <c r="BU3" i="12" l="1"/>
  <c r="BT3" i="12"/>
  <c r="BS3" i="12"/>
  <c r="BO1" i="12"/>
  <c r="BX2" i="12"/>
  <c r="BW1" i="12"/>
  <c r="BT2" i="12"/>
  <c r="BU2" i="12"/>
  <c r="BV2" i="12"/>
  <c r="BW2" i="12"/>
  <c r="BP1" i="12"/>
  <c r="BQ1" i="12"/>
  <c r="BR1" i="12"/>
  <c r="BS1" i="12"/>
  <c r="BT1" i="12"/>
  <c r="BU1" i="12"/>
  <c r="BV1" i="12"/>
  <c r="BX1" i="12"/>
  <c r="G15" i="16" l="1"/>
  <c r="G14" i="16"/>
  <c r="G12" i="16"/>
  <c r="G11" i="16"/>
  <c r="G10" i="16"/>
  <c r="G9" i="16"/>
  <c r="G7" i="16"/>
  <c r="G6" i="16"/>
  <c r="G4" i="16"/>
  <c r="G8" i="16" l="1"/>
  <c r="D22" i="16"/>
  <c r="H21" i="20" l="1"/>
  <c r="F27" i="21" l="1"/>
  <c r="V21" i="20"/>
  <c r="J28" i="19"/>
  <c r="E28" i="19"/>
  <c r="Q33" i="17" l="1"/>
  <c r="F28" i="21" l="1"/>
  <c r="T28" i="21"/>
  <c r="T27" i="21"/>
  <c r="F19" i="21" l="1"/>
  <c r="F20" i="17"/>
  <c r="G19" i="21" l="1"/>
  <c r="F33" i="17" l="1"/>
  <c r="I38" i="17"/>
  <c r="E38" i="17"/>
  <c r="F22" i="19" l="1"/>
  <c r="G20" i="17"/>
  <c r="AN34" i="8" l="1"/>
  <c r="AP37" i="8" s="1"/>
  <c r="AR38" i="8"/>
  <c r="G37" i="8"/>
  <c r="L37" i="8"/>
  <c r="AP35" i="8"/>
  <c r="AP34" i="8"/>
  <c r="AR37" i="8" s="1"/>
  <c r="H8" i="12" l="1"/>
  <c r="I28" i="6" l="1"/>
  <c r="K28" i="6"/>
  <c r="I29" i="6"/>
  <c r="I23" i="6"/>
  <c r="I22" i="6"/>
  <c r="I25" i="6"/>
  <c r="K29" i="6"/>
  <c r="AZ9" i="12" l="1"/>
  <c r="H9" i="12"/>
  <c r="AZ6" i="12"/>
  <c r="D6" i="6" l="1"/>
  <c r="D3" i="17" l="1"/>
  <c r="D3" i="19" s="1"/>
  <c r="E3" i="20" s="1"/>
  <c r="D3" i="21"/>
  <c r="AC8" i="12"/>
  <c r="BH8" i="12" s="1"/>
  <c r="I6" i="12"/>
  <c r="K25" i="16" l="1"/>
  <c r="M25" i="16" s="1"/>
  <c r="M4" i="16"/>
  <c r="M6" i="16"/>
  <c r="M7" i="16"/>
  <c r="M9" i="16"/>
  <c r="M11" i="16"/>
  <c r="M12" i="16"/>
  <c r="M14" i="16"/>
  <c r="M15" i="16"/>
  <c r="M17" i="16"/>
  <c r="M18" i="16"/>
  <c r="M19" i="16"/>
  <c r="M20" i="16"/>
  <c r="M21" i="16"/>
  <c r="AM34" i="8" l="1"/>
  <c r="AO37" i="8" s="1"/>
  <c r="AK34" i="8"/>
  <c r="AK37" i="8" l="1"/>
  <c r="AM37" i="8" s="1"/>
  <c r="K5" i="16"/>
  <c r="G5" i="16" l="1"/>
  <c r="M5" i="16" s="1"/>
  <c r="G34" i="8"/>
  <c r="I18" i="7"/>
  <c r="Y68" i="12"/>
  <c r="A68" i="12"/>
  <c r="M16" i="16" l="1"/>
  <c r="N8" i="6"/>
  <c r="D7" i="6"/>
  <c r="I21" i="6"/>
  <c r="I18" i="6"/>
  <c r="I17" i="6"/>
  <c r="L6" i="16"/>
  <c r="AF11" i="6" s="1"/>
  <c r="J18" i="8"/>
  <c r="J11" i="8" s="1"/>
  <c r="F30" i="17" s="1"/>
  <c r="J9" i="8"/>
  <c r="B25" i="20" l="1"/>
  <c r="B24" i="20"/>
  <c r="B26" i="20"/>
  <c r="F23" i="21"/>
  <c r="F24" i="17"/>
  <c r="O3" i="19"/>
  <c r="N3" i="21"/>
  <c r="N3" i="17"/>
  <c r="F24" i="21"/>
  <c r="F25" i="17"/>
  <c r="I3" i="21"/>
  <c r="J3" i="19" s="1"/>
  <c r="K3" i="20" s="1"/>
  <c r="I3" i="17"/>
  <c r="N5" i="17"/>
  <c r="O5" i="19" s="1"/>
  <c r="P5" i="20" s="1"/>
  <c r="N5" i="21"/>
  <c r="F18" i="21"/>
  <c r="F19" i="17"/>
  <c r="E27" i="19" s="1"/>
  <c r="W50" i="12"/>
  <c r="BJ36" i="12"/>
  <c r="A37" i="12" s="1"/>
  <c r="A38" i="12" l="1"/>
  <c r="L34" i="12" l="1"/>
  <c r="BI28" i="12"/>
  <c r="A31" i="12" s="1"/>
  <c r="C13" i="7" l="1"/>
  <c r="AY31" i="12" l="1"/>
  <c r="Y31" i="12"/>
  <c r="AU31" i="12"/>
  <c r="O31" i="12"/>
  <c r="W31" i="12"/>
  <c r="X7" i="16"/>
  <c r="L9" i="16" s="1"/>
  <c r="AF15" i="6" l="1"/>
  <c r="AA12" i="16"/>
  <c r="AC11" i="16"/>
  <c r="AA11" i="16"/>
  <c r="AC9" i="16"/>
  <c r="AA9" i="16"/>
  <c r="AA8" i="16"/>
  <c r="AC8" i="16"/>
  <c r="AK29" i="6" l="1"/>
  <c r="AK27" i="6"/>
  <c r="AK26" i="6"/>
  <c r="AK30" i="6" l="1"/>
  <c r="AK35" i="6" s="1"/>
  <c r="AK36" i="6" s="1"/>
  <c r="Z8" i="16"/>
  <c r="Z6" i="16"/>
  <c r="Y8" i="16"/>
  <c r="Y9" i="16"/>
  <c r="Y6" i="16"/>
  <c r="W9" i="16"/>
  <c r="X9" i="16"/>
  <c r="K24" i="16" s="1"/>
  <c r="W8" i="16"/>
  <c r="X8" i="16"/>
  <c r="K23" i="16" s="1"/>
  <c r="M23" i="16" s="1"/>
  <c r="M24" i="16" l="1"/>
  <c r="AE20" i="6"/>
  <c r="F19" i="19" s="1"/>
  <c r="H26" i="20" s="1"/>
  <c r="AE19" i="6"/>
  <c r="F18" i="19" s="1"/>
  <c r="H25" i="20" s="1"/>
  <c r="AJ14" i="6"/>
  <c r="AJ15" i="6" s="1"/>
  <c r="K10" i="16"/>
  <c r="M10" i="16" s="1"/>
  <c r="I19" i="6" l="1"/>
  <c r="AX20" i="6"/>
  <c r="AX13" i="6"/>
  <c r="AX14" i="6"/>
  <c r="AX15" i="6"/>
  <c r="AX16" i="6"/>
  <c r="AX17" i="6"/>
  <c r="AX18" i="6"/>
  <c r="AX19" i="6"/>
  <c r="AX12" i="6"/>
  <c r="AB18" i="12"/>
  <c r="Y18" i="12"/>
  <c r="V18" i="12"/>
  <c r="S18" i="12"/>
  <c r="M18" i="12"/>
  <c r="J18" i="12"/>
  <c r="G18" i="12"/>
  <c r="P18" i="12" l="1"/>
  <c r="M8" i="16"/>
  <c r="AK21" i="12"/>
  <c r="AN22" i="12"/>
  <c r="AN21" i="12"/>
  <c r="AK22" i="12"/>
  <c r="AH22" i="12"/>
  <c r="AH21" i="12"/>
  <c r="AH20" i="12"/>
  <c r="AH18" i="12"/>
  <c r="AH19" i="12"/>
  <c r="AK19" i="12"/>
  <c r="AK18" i="12"/>
  <c r="AN19" i="12"/>
  <c r="AN18" i="12"/>
  <c r="AH25" i="12" l="1"/>
  <c r="AN25" i="12"/>
  <c r="AK25" i="12"/>
  <c r="AN23" i="12"/>
  <c r="AK23" i="12"/>
  <c r="AH23" i="12"/>
  <c r="AB23" i="12"/>
  <c r="Y23" i="12"/>
  <c r="V23" i="12"/>
  <c r="J23" i="12"/>
  <c r="G23" i="12"/>
  <c r="D23" i="12"/>
  <c r="AN20" i="12"/>
  <c r="AK20" i="12"/>
  <c r="AB20" i="12"/>
  <c r="Y20" i="12"/>
  <c r="V20" i="12"/>
  <c r="J20" i="12"/>
  <c r="G20" i="12"/>
  <c r="D20" i="12"/>
  <c r="AB21" i="12" l="1"/>
  <c r="Y21" i="12"/>
  <c r="V21" i="12"/>
  <c r="S21" i="12"/>
  <c r="BL50" i="12" s="1"/>
  <c r="BL51" i="12" s="1"/>
  <c r="P21" i="12"/>
  <c r="M21" i="12"/>
  <c r="J21" i="12"/>
  <c r="BK50" i="12" l="1"/>
  <c r="BK51" i="12" s="1"/>
  <c r="BJ50" i="12"/>
  <c r="BJ51" i="12" s="1"/>
  <c r="M25" i="12"/>
  <c r="Y34" i="12"/>
  <c r="T30" i="12"/>
  <c r="C6" i="7"/>
  <c r="C5" i="7"/>
  <c r="C4" i="7"/>
  <c r="H71" i="7" s="1"/>
  <c r="C3" i="7"/>
  <c r="BM54" i="12" l="1"/>
  <c r="BM51" i="12" s="1"/>
  <c r="BM52" i="12" s="1"/>
  <c r="I71" i="7"/>
  <c r="AK14" i="8"/>
  <c r="J3" i="7"/>
  <c r="G3" i="7" s="1"/>
  <c r="G14" i="7"/>
  <c r="G13" i="7"/>
  <c r="C14" i="7"/>
  <c r="H11" i="7"/>
  <c r="H10" i="7"/>
  <c r="Y25" i="12"/>
  <c r="V25" i="12"/>
  <c r="AB25" i="12"/>
  <c r="S25" i="12"/>
  <c r="P25" i="12"/>
  <c r="J25" i="12"/>
  <c r="D18" i="12"/>
  <c r="G21" i="12"/>
  <c r="G25" i="12" s="1"/>
  <c r="D21" i="12"/>
  <c r="C15" i="7" l="1"/>
  <c r="BD21" i="12" s="1"/>
  <c r="D25" i="12"/>
  <c r="AK13" i="8" l="1"/>
  <c r="J13" i="8" s="1"/>
  <c r="F18" i="17" s="1"/>
  <c r="J15" i="7"/>
  <c r="BA21" i="12" s="1"/>
  <c r="L31" i="12" l="1"/>
  <c r="T31" i="12" s="1"/>
  <c r="BD25" i="12"/>
  <c r="H68" i="12" l="1"/>
  <c r="G38" i="8" l="1"/>
  <c r="X38" i="8"/>
  <c r="J19" i="8"/>
  <c r="J26" i="8" s="1"/>
  <c r="B34" i="6"/>
  <c r="X39" i="8"/>
  <c r="J24" i="8"/>
  <c r="AD38" i="8"/>
  <c r="AD39" i="8"/>
  <c r="R38" i="8"/>
  <c r="R39" i="8"/>
  <c r="L38" i="8"/>
  <c r="G39" i="8"/>
  <c r="AD35" i="8"/>
  <c r="X34" i="8"/>
  <c r="L34" i="8"/>
  <c r="AD37" i="8"/>
  <c r="X37" i="8"/>
  <c r="R37" i="8"/>
  <c r="AD33" i="8"/>
  <c r="X33" i="8"/>
  <c r="R33" i="8"/>
  <c r="L33" i="8"/>
  <c r="G33" i="8"/>
  <c r="J25" i="8"/>
  <c r="J23" i="8"/>
  <c r="N29" i="8"/>
  <c r="N31" i="8" s="1"/>
  <c r="AQ19" i="6"/>
  <c r="AQ18" i="6"/>
  <c r="AQ17" i="6"/>
  <c r="AQ16" i="6"/>
  <c r="AQ15" i="6"/>
  <c r="AQ14" i="6"/>
  <c r="AQ13" i="6"/>
  <c r="J39" i="6"/>
  <c r="AD34" i="8"/>
  <c r="H18" i="7"/>
  <c r="L39" i="8" l="1"/>
  <c r="AJ19" i="8"/>
  <c r="H20" i="7"/>
  <c r="H35" i="7" s="1"/>
  <c r="AE12" i="6"/>
  <c r="I72" i="7"/>
  <c r="AE13" i="6"/>
  <c r="G71" i="7"/>
  <c r="G72" i="7" s="1"/>
  <c r="C9" i="7"/>
  <c r="AE11" i="6"/>
  <c r="J6" i="7"/>
  <c r="G4" i="7" s="1"/>
  <c r="J13" i="7" s="1"/>
  <c r="J12" i="7"/>
  <c r="J15" i="8"/>
  <c r="F27" i="17" s="1"/>
  <c r="AE15" i="6"/>
  <c r="AA14" i="7"/>
  <c r="N14" i="7"/>
  <c r="H72" i="7"/>
  <c r="Q35" i="17" l="1"/>
  <c r="F35" i="17" s="1"/>
  <c r="Q34" i="17"/>
  <c r="S34" i="17" s="1"/>
  <c r="F34" i="17" s="1"/>
  <c r="I11" i="6"/>
  <c r="AJ17" i="6"/>
  <c r="X5" i="16" s="1"/>
  <c r="I15" i="6"/>
  <c r="J20" i="8" s="1"/>
  <c r="A36" i="12"/>
  <c r="AK38" i="8"/>
  <c r="AK35" i="8"/>
  <c r="G35" i="8" s="1"/>
  <c r="AM38" i="8"/>
  <c r="R35" i="8" s="1"/>
  <c r="I35" i="6"/>
  <c r="J7" i="7"/>
  <c r="AD6" i="16"/>
  <c r="AB6" i="16"/>
  <c r="AP9" i="6"/>
  <c r="AW10" i="6"/>
  <c r="AW9" i="6"/>
  <c r="AW11" i="6"/>
  <c r="AP10" i="6"/>
  <c r="AJ13" i="6"/>
  <c r="I38" i="6"/>
  <c r="F20" i="19" s="1"/>
  <c r="H24" i="20" s="1"/>
  <c r="AJ11" i="6"/>
  <c r="J5" i="7"/>
  <c r="AJ14" i="8" s="1"/>
  <c r="AN38" i="8"/>
  <c r="X35" i="8" s="1"/>
  <c r="J10" i="7"/>
  <c r="AA18" i="7" s="1"/>
  <c r="AL35" i="8"/>
  <c r="L35" i="8" s="1"/>
  <c r="I20" i="6"/>
  <c r="AE14" i="6"/>
  <c r="J72" i="7"/>
  <c r="J73" i="7" s="1"/>
  <c r="R34" i="8"/>
  <c r="J14" i="7"/>
  <c r="J9" i="7"/>
  <c r="N8" i="7" s="1"/>
  <c r="J8" i="7" s="1"/>
  <c r="AA19" i="7"/>
  <c r="J11" i="7"/>
  <c r="AA17" i="7" s="1"/>
  <c r="F17" i="21" l="1"/>
  <c r="F17" i="17"/>
  <c r="F21" i="17"/>
  <c r="F20" i="21"/>
  <c r="AC6" i="16"/>
  <c r="AA6" i="16"/>
  <c r="AA5" i="16"/>
  <c r="AJ12" i="6"/>
  <c r="W6" i="16" s="1"/>
  <c r="X6" i="16" s="1"/>
  <c r="H19" i="7"/>
  <c r="J12" i="8"/>
  <c r="E25" i="19" l="1"/>
  <c r="H17" i="20"/>
  <c r="E26" i="19"/>
  <c r="H18" i="20"/>
  <c r="AJ16" i="6"/>
  <c r="AB5" i="16"/>
  <c r="AD5" i="16" s="1"/>
  <c r="AC5" i="16"/>
  <c r="I20" i="7"/>
  <c r="I19" i="7"/>
  <c r="I35" i="7" l="1"/>
  <c r="AQ21" i="12"/>
  <c r="AQ25" i="12" s="1"/>
  <c r="M14" i="7"/>
  <c r="L7" i="16" l="1"/>
  <c r="M20" i="12" s="1"/>
  <c r="M23" i="12" l="1"/>
  <c r="L8" i="16"/>
  <c r="P20" i="12" s="1"/>
  <c r="AF13" i="6"/>
  <c r="I13" i="6" l="1"/>
  <c r="AF14" i="6"/>
  <c r="I14" i="6" s="1"/>
  <c r="P23" i="12"/>
  <c r="F21" i="21" l="1"/>
  <c r="F22" i="17"/>
  <c r="J21" i="8"/>
  <c r="J22" i="8"/>
  <c r="J19" i="7"/>
  <c r="L13" i="16"/>
  <c r="J22" i="6"/>
  <c r="J34" i="6" s="1"/>
  <c r="D8" i="7"/>
  <c r="AE23" i="12" l="1"/>
  <c r="AE20" i="12"/>
  <c r="AF34" i="6"/>
  <c r="AF35" i="6" s="1"/>
  <c r="J24" i="6"/>
  <c r="J26" i="6" s="1"/>
  <c r="J28" i="6" s="1"/>
  <c r="M22" i="16"/>
  <c r="C8" i="7"/>
  <c r="AB17" i="7" l="1"/>
  <c r="J4" i="7"/>
  <c r="AJ18" i="6"/>
  <c r="W5" i="16" s="1"/>
  <c r="L11" i="16" s="1"/>
  <c r="AB18" i="7"/>
  <c r="J18" i="7"/>
  <c r="J20" i="7" s="1"/>
  <c r="J35" i="7" s="1"/>
  <c r="K13" i="16"/>
  <c r="S20" i="12" l="1"/>
  <c r="S23" i="12"/>
  <c r="AA10" i="16"/>
  <c r="Z10" i="16"/>
  <c r="AC10" i="16"/>
  <c r="X10" i="16"/>
  <c r="G13" i="16"/>
  <c r="M13" i="16" s="1"/>
  <c r="AB19" i="7"/>
  <c r="I30" i="6"/>
  <c r="I32" i="6" s="1"/>
  <c r="J21" i="7"/>
  <c r="H21" i="7"/>
  <c r="C19" i="7"/>
  <c r="I26" i="6" s="1"/>
  <c r="N13" i="7"/>
  <c r="AA16" i="7"/>
  <c r="I21" i="7"/>
  <c r="N12" i="7"/>
  <c r="C18" i="7"/>
  <c r="I24" i="6" s="1"/>
  <c r="AT21" i="12"/>
  <c r="AT25" i="12" s="1"/>
  <c r="AF12" i="6" l="1"/>
  <c r="I12" i="6" s="1"/>
  <c r="J31" i="8" s="1"/>
  <c r="L18" i="7"/>
  <c r="L19" i="7"/>
  <c r="J22" i="7"/>
  <c r="J23" i="7"/>
  <c r="AC16" i="7"/>
  <c r="AB16" i="7"/>
  <c r="AC15" i="7"/>
  <c r="AB15" i="7"/>
  <c r="AA15" i="7"/>
  <c r="K19" i="7"/>
  <c r="K18" i="7"/>
  <c r="I23" i="7"/>
  <c r="I22" i="7"/>
  <c r="H22" i="7"/>
  <c r="H23" i="7"/>
  <c r="AE34" i="6"/>
  <c r="K27" i="7" l="1"/>
  <c r="AA21" i="7"/>
  <c r="K20" i="7"/>
  <c r="K35" i="7" s="1"/>
  <c r="K26" i="7"/>
  <c r="K21" i="7"/>
  <c r="AB21" i="7"/>
  <c r="AB20" i="7"/>
  <c r="L21" i="7"/>
  <c r="I34" i="6"/>
  <c r="AE35" i="6"/>
  <c r="AF27" i="6"/>
  <c r="I27" i="6" s="1"/>
  <c r="AA20" i="7"/>
  <c r="L20" i="7"/>
  <c r="L35" i="7" s="1"/>
  <c r="L23" i="7" l="1"/>
  <c r="L22" i="7"/>
  <c r="K23" i="7"/>
  <c r="K22" i="7"/>
</calcChain>
</file>

<file path=xl/comments1.xml><?xml version="1.0" encoding="utf-8"?>
<comments xmlns="http://schemas.openxmlformats.org/spreadsheetml/2006/main">
  <authors>
    <author>Shayanian</author>
  </authors>
  <commentList>
    <comment ref="AA5" authorId="0" shapeId="0">
      <text>
        <r>
          <rPr>
            <b/>
            <sz val="9"/>
            <color indexed="81"/>
            <rFont val="Tahoma"/>
            <family val="2"/>
          </rPr>
          <t>Shayanian:</t>
        </r>
        <r>
          <rPr>
            <sz val="9"/>
            <color indexed="81"/>
            <rFont val="Tahoma"/>
            <family val="2"/>
          </rPr>
          <t xml:space="preserve">
خط سرد</t>
        </r>
      </text>
    </comment>
    <comment ref="AB5" authorId="0" shapeId="0">
      <text>
        <r>
          <rPr>
            <b/>
            <sz val="9"/>
            <color indexed="81"/>
            <rFont val="Tahoma"/>
            <family val="2"/>
          </rPr>
          <t>Shayanian:</t>
        </r>
        <r>
          <rPr>
            <sz val="9"/>
            <color indexed="81"/>
            <rFont val="Tahoma"/>
            <family val="2"/>
          </rPr>
          <t xml:space="preserve">
خط گرم</t>
        </r>
      </text>
    </comment>
    <comment ref="AC5" authorId="0" shapeId="0">
      <text>
        <r>
          <rPr>
            <b/>
            <sz val="9"/>
            <color indexed="81"/>
            <rFont val="Tahoma"/>
            <family val="2"/>
          </rPr>
          <t>Shayanian:</t>
        </r>
        <r>
          <rPr>
            <sz val="9"/>
            <color indexed="81"/>
            <rFont val="Tahoma"/>
            <family val="2"/>
          </rPr>
          <t xml:space="preserve">
خط سرد</t>
        </r>
      </text>
    </comment>
    <comment ref="AD5" authorId="0" shapeId="0">
      <text>
        <r>
          <rPr>
            <b/>
            <sz val="9"/>
            <color indexed="81"/>
            <rFont val="Tahoma"/>
            <family val="2"/>
          </rPr>
          <t>Shayanian:</t>
        </r>
        <r>
          <rPr>
            <sz val="9"/>
            <color indexed="81"/>
            <rFont val="Tahoma"/>
            <family val="2"/>
          </rPr>
          <t xml:space="preserve">
خط گرم</t>
        </r>
      </text>
    </comment>
    <comment ref="Y6" authorId="0" shapeId="0">
      <text>
        <r>
          <rPr>
            <b/>
            <sz val="9"/>
            <color indexed="81"/>
            <rFont val="Tahoma"/>
            <family val="2"/>
          </rPr>
          <t>Shayanian:</t>
        </r>
        <r>
          <rPr>
            <sz val="9"/>
            <color indexed="81"/>
            <rFont val="Tahoma"/>
            <family val="2"/>
          </rPr>
          <t xml:space="preserve">
1.5% De
</t>
        </r>
      </text>
    </comment>
    <comment ref="AA6" authorId="0" shapeId="0">
      <text>
        <r>
          <rPr>
            <b/>
            <sz val="9"/>
            <color indexed="81"/>
            <rFont val="Tahoma"/>
            <family val="2"/>
          </rPr>
          <t>Shayanian:</t>
        </r>
        <r>
          <rPr>
            <sz val="9"/>
            <color indexed="81"/>
            <rFont val="Tahoma"/>
            <family val="2"/>
          </rPr>
          <t xml:space="preserve">
d&lt;=15 mm</t>
        </r>
      </text>
    </comment>
    <comment ref="AB6" authorId="0" shapeId="0">
      <text>
        <r>
          <rPr>
            <b/>
            <sz val="9"/>
            <color indexed="81"/>
            <rFont val="Tahoma"/>
            <family val="2"/>
          </rPr>
          <t>Shayanian:</t>
        </r>
        <r>
          <rPr>
            <sz val="9"/>
            <color indexed="81"/>
            <rFont val="Tahoma"/>
            <family val="2"/>
          </rPr>
          <t xml:space="preserve">
d&gt;15mm
</t>
        </r>
      </text>
    </comment>
    <comment ref="AC6" authorId="0" shapeId="0">
      <text>
        <r>
          <rPr>
            <b/>
            <sz val="9"/>
            <color indexed="81"/>
            <rFont val="Tahoma"/>
            <family val="2"/>
          </rPr>
          <t>Shayanian:</t>
        </r>
        <r>
          <rPr>
            <sz val="9"/>
            <color indexed="81"/>
            <rFont val="Tahoma"/>
            <family val="2"/>
          </rPr>
          <t xml:space="preserve">
d&lt;=15 mm</t>
        </r>
      </text>
    </comment>
    <comment ref="AD6" authorId="0" shapeId="0">
      <text>
        <r>
          <rPr>
            <b/>
            <sz val="9"/>
            <color indexed="81"/>
            <rFont val="Tahoma"/>
            <family val="2"/>
          </rPr>
          <t>Shayanian:</t>
        </r>
        <r>
          <rPr>
            <sz val="9"/>
            <color indexed="81"/>
            <rFont val="Tahoma"/>
            <family val="2"/>
          </rPr>
          <t xml:space="preserve">
d&gt;15mm</t>
        </r>
      </text>
    </comment>
    <comment ref="X7" authorId="0" shapeId="0">
      <text>
        <r>
          <rPr>
            <b/>
            <sz val="9"/>
            <color indexed="81"/>
            <rFont val="Tahoma"/>
            <family val="2"/>
          </rPr>
          <t>Shayanian:</t>
        </r>
        <r>
          <rPr>
            <sz val="9"/>
            <color indexed="81"/>
            <rFont val="Tahoma"/>
            <family val="2"/>
          </rPr>
          <t xml:space="preserve">
0.012 Nt</t>
        </r>
      </text>
    </comment>
    <comment ref="W8" authorId="0" shapeId="0">
      <text>
        <r>
          <rPr>
            <b/>
            <sz val="9"/>
            <color indexed="81"/>
            <rFont val="Tahoma"/>
            <family val="2"/>
          </rPr>
          <t>Shayanian:</t>
        </r>
        <r>
          <rPr>
            <sz val="9"/>
            <color indexed="81"/>
            <rFont val="Tahoma"/>
            <family val="2"/>
          </rPr>
          <t xml:space="preserve">
5% L</t>
        </r>
      </text>
    </comment>
    <comment ref="X8" authorId="0" shapeId="0">
      <text>
        <r>
          <rPr>
            <b/>
            <sz val="9"/>
            <color indexed="81"/>
            <rFont val="Tahoma"/>
            <family val="2"/>
          </rPr>
          <t>Shayanian:</t>
        </r>
        <r>
          <rPr>
            <sz val="9"/>
            <color indexed="81"/>
            <rFont val="Tahoma"/>
            <family val="2"/>
          </rPr>
          <t xml:space="preserve">
3% L</t>
        </r>
      </text>
    </comment>
    <comment ref="W9" authorId="0" shapeId="0">
      <text>
        <r>
          <rPr>
            <b/>
            <sz val="9"/>
            <color indexed="81"/>
            <rFont val="Tahoma"/>
            <family val="2"/>
          </rPr>
          <t>Shayanian:
3% De</t>
        </r>
      </text>
    </comment>
    <comment ref="X9" authorId="0" shapeId="0">
      <text>
        <r>
          <rPr>
            <b/>
            <sz val="9"/>
            <color indexed="81"/>
            <rFont val="Tahoma"/>
            <family val="2"/>
          </rPr>
          <t>Shayanian:</t>
        </r>
        <r>
          <rPr>
            <sz val="9"/>
            <color indexed="81"/>
            <rFont val="Tahoma"/>
            <family val="2"/>
          </rPr>
          <t xml:space="preserve">
0.025 De</t>
        </r>
      </text>
    </comment>
    <comment ref="Y9" authorId="0" shapeId="0">
      <text>
        <r>
          <rPr>
            <b/>
            <sz val="9"/>
            <color indexed="81"/>
            <rFont val="Tahoma"/>
            <family val="2"/>
          </rPr>
          <t>Shayanian:</t>
        </r>
        <r>
          <rPr>
            <sz val="9"/>
            <color indexed="81"/>
            <rFont val="Tahoma"/>
            <family val="2"/>
          </rPr>
          <t xml:space="preserve">
3% De</t>
        </r>
      </text>
    </comment>
  </commentList>
</comments>
</file>

<file path=xl/connections.xml><?xml version="1.0" encoding="utf-8"?>
<connections xmlns="http://schemas.openxmlformats.org/spreadsheetml/2006/main">
  <connection id="1" sourceFile="C:\Users\Shayanian\Desktop\Pre.Pr.xlsx" keepAlive="1" name="Pre.Pr" type="5" refreshedVersion="0" new="1" background="1">
    <dbPr connection="Provider=Microsoft.ACE.OLEDB.12.0;Password=&quot;&quot;;User ID=Admin;Data Source=C:\Users\Shayanian\Desktop\Pre.Pr.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<sst xmlns="http://schemas.openxmlformats.org/spreadsheetml/2006/main" count="1208" uniqueCount="604">
  <si>
    <t>F2</t>
  </si>
  <si>
    <t>F3</t>
  </si>
  <si>
    <t>Nt</t>
  </si>
  <si>
    <t>N</t>
  </si>
  <si>
    <t>Kg</t>
  </si>
  <si>
    <t>F1</t>
  </si>
  <si>
    <t>R</t>
  </si>
  <si>
    <t>d</t>
  </si>
  <si>
    <t>Pmax</t>
  </si>
  <si>
    <t>تنش</t>
  </si>
  <si>
    <t>mm</t>
  </si>
  <si>
    <t>طول مفتول</t>
  </si>
  <si>
    <t>شفت</t>
  </si>
  <si>
    <t>نیرو</t>
  </si>
  <si>
    <t>طول</t>
  </si>
  <si>
    <t>تغییر طول</t>
  </si>
  <si>
    <t>از تنش حداکثر</t>
  </si>
  <si>
    <t>deflection</t>
  </si>
  <si>
    <t>stress</t>
  </si>
  <si>
    <t>stress % solid</t>
  </si>
  <si>
    <t>load</t>
  </si>
  <si>
    <t>length</t>
  </si>
  <si>
    <t>استحکام کششی</t>
  </si>
  <si>
    <t xml:space="preserve"> ± </t>
  </si>
  <si>
    <t xml:space="preserve">  نام محصول: </t>
  </si>
  <si>
    <t xml:space="preserve"> تاریخ:</t>
  </si>
  <si>
    <t xml:space="preserve">  شماره فنی:</t>
  </si>
  <si>
    <t xml:space="preserve">  شماره سفارش:</t>
  </si>
  <si>
    <t xml:space="preserve"> نام مشتری:</t>
  </si>
  <si>
    <t>ردیف</t>
  </si>
  <si>
    <t>کد مشخصه</t>
  </si>
  <si>
    <t>محدوده پذیرش</t>
  </si>
  <si>
    <t>واحد</t>
  </si>
  <si>
    <t>نمونه</t>
  </si>
  <si>
    <t>حد مرکزی</t>
  </si>
  <si>
    <t>محدوده تلورانس</t>
  </si>
  <si>
    <t>قطر مفتول</t>
  </si>
  <si>
    <t>طول آزاد</t>
  </si>
  <si>
    <t>قطر خارجی</t>
  </si>
  <si>
    <t>قطر داخلی</t>
  </si>
  <si>
    <t>Di</t>
  </si>
  <si>
    <t>تعداد کل حلقه</t>
  </si>
  <si>
    <t>گام فنر</t>
  </si>
  <si>
    <t>ثابت</t>
  </si>
  <si>
    <t>گام ابتدا</t>
  </si>
  <si>
    <t>بسته و سنگ خورده</t>
  </si>
  <si>
    <t>باز</t>
  </si>
  <si>
    <t>باز و سنگ خورده</t>
  </si>
  <si>
    <t>گام انتها</t>
  </si>
  <si>
    <t>انحراف طولی</t>
  </si>
  <si>
    <t xml:space="preserve">Max= </t>
  </si>
  <si>
    <t>انحراف قطری</t>
  </si>
  <si>
    <t>جهت پیچش</t>
  </si>
  <si>
    <t>نیروی 1</t>
  </si>
  <si>
    <t>L1</t>
  </si>
  <si>
    <t>نیروی 2</t>
  </si>
  <si>
    <t>L2</t>
  </si>
  <si>
    <t>نیروی 3</t>
  </si>
  <si>
    <t>L3</t>
  </si>
  <si>
    <t>HRC</t>
  </si>
  <si>
    <t>آلمن تست</t>
  </si>
  <si>
    <t>سالت اسپری</t>
  </si>
  <si>
    <t>بدون خوردگی</t>
  </si>
  <si>
    <t>200 H</t>
  </si>
  <si>
    <t>ضخامت لبه سنگ خورده</t>
  </si>
  <si>
    <t>ترکیابی</t>
  </si>
  <si>
    <t>بدون ترک</t>
  </si>
  <si>
    <t>توضیحات:</t>
  </si>
  <si>
    <t>بازرس کنترل کیفیت</t>
  </si>
  <si>
    <t>مدیر کنترل کیفیت</t>
  </si>
  <si>
    <t>تعداد حلقه</t>
  </si>
  <si>
    <t>ریت</t>
  </si>
  <si>
    <t>میلیمتر</t>
  </si>
  <si>
    <t>دور</t>
  </si>
  <si>
    <t>طول بسته</t>
  </si>
  <si>
    <t>حلقه فعال</t>
  </si>
  <si>
    <t>شاخص فنر</t>
  </si>
  <si>
    <t>زاویه پیچشی</t>
  </si>
  <si>
    <t>قطر متوسط</t>
  </si>
  <si>
    <t>محیط یک حلقه</t>
  </si>
  <si>
    <t>وزن فنر</t>
  </si>
  <si>
    <t>Solid load</t>
  </si>
  <si>
    <t>Solid length</t>
  </si>
  <si>
    <t>Helix Angel</t>
  </si>
  <si>
    <t>Spring Pitch</t>
  </si>
  <si>
    <t>Mean diameter</t>
  </si>
  <si>
    <t>Index spring</t>
  </si>
  <si>
    <t>Active coil</t>
  </si>
  <si>
    <t>Solid stress</t>
  </si>
  <si>
    <t>Weight</t>
  </si>
  <si>
    <t>نیروی 4</t>
  </si>
  <si>
    <t>F4</t>
  </si>
  <si>
    <t>L4</t>
  </si>
  <si>
    <t>سختی مفتول</t>
  </si>
  <si>
    <t>s0</t>
  </si>
  <si>
    <t>w</t>
  </si>
  <si>
    <t>(2*pi*قطر متوسط)/گام</t>
  </si>
  <si>
    <t>مقدار</t>
  </si>
  <si>
    <t>آیتم</t>
  </si>
  <si>
    <t>Item</t>
  </si>
  <si>
    <t>پارامتر</t>
  </si>
  <si>
    <t>محیط</t>
  </si>
  <si>
    <t>&lt;8</t>
  </si>
  <si>
    <t>8&gt;</t>
  </si>
  <si>
    <t>UP TO 8</t>
  </si>
  <si>
    <t>0.40 - 0.50</t>
  </si>
  <si>
    <t>مشخصه</t>
  </si>
  <si>
    <t>Pre-Stressed</t>
  </si>
  <si>
    <t>Stressed</t>
  </si>
  <si>
    <t>dynamic</t>
  </si>
  <si>
    <t>statick</t>
  </si>
  <si>
    <t>تغییرات برای تولیدات آتی:</t>
  </si>
  <si>
    <t>اطلاعات نیرو</t>
  </si>
  <si>
    <t>ابعاد در مرحله فنرپیچی</t>
  </si>
  <si>
    <t>مشخصات برنامه</t>
  </si>
  <si>
    <t>جنس مواد</t>
  </si>
  <si>
    <t>قطر شفت</t>
  </si>
  <si>
    <t>طول شفت</t>
  </si>
  <si>
    <t>گام اصلی</t>
  </si>
  <si>
    <t>تغییر در طول آزاد</t>
  </si>
  <si>
    <t>فنرپیچی</t>
  </si>
  <si>
    <t>سنگ اولیه</t>
  </si>
  <si>
    <t>ست 1</t>
  </si>
  <si>
    <t>ست 2</t>
  </si>
  <si>
    <t>-</t>
  </si>
  <si>
    <t>Ø</t>
  </si>
  <si>
    <t>شکل ابتدا</t>
  </si>
  <si>
    <t>شکل انتها</t>
  </si>
  <si>
    <t>سخت کاری مجدد</t>
  </si>
  <si>
    <t>L</t>
  </si>
  <si>
    <t>C.D</t>
  </si>
  <si>
    <t>تمپرینگ</t>
  </si>
  <si>
    <t>شات پینینگ</t>
  </si>
  <si>
    <t>ست</t>
  </si>
  <si>
    <t>سنگ نهایی</t>
  </si>
  <si>
    <t>رنگ</t>
  </si>
  <si>
    <t>خنک شدن</t>
  </si>
  <si>
    <t>سختکاری مجدد</t>
  </si>
  <si>
    <t>t=45'</t>
  </si>
  <si>
    <t>ALMN=0.45</t>
  </si>
  <si>
    <t xml:space="preserve">طولی </t>
  </si>
  <si>
    <t>عرضی</t>
  </si>
  <si>
    <t>P1=مناسب</t>
  </si>
  <si>
    <t>P2=مناسب</t>
  </si>
  <si>
    <t>در محیط</t>
  </si>
  <si>
    <t>نام عملیات</t>
  </si>
  <si>
    <t>مشخصه فرآیند</t>
  </si>
  <si>
    <t>تغییرات برای تولید آتی:</t>
  </si>
  <si>
    <t xml:space="preserve"> </t>
  </si>
  <si>
    <t>مخزن کوئنچ</t>
  </si>
  <si>
    <t>دمای تمپر</t>
  </si>
  <si>
    <t>تعداد ست</t>
  </si>
  <si>
    <t>ماشین ست</t>
  </si>
  <si>
    <t>50CrV4</t>
  </si>
  <si>
    <t>تاریخ بررسی:</t>
  </si>
  <si>
    <t>نوع فنر</t>
  </si>
  <si>
    <t>عدد</t>
  </si>
  <si>
    <t>کششی</t>
  </si>
  <si>
    <t>فشاری</t>
  </si>
  <si>
    <t>شاخک دار</t>
  </si>
  <si>
    <t>موجود می باشد</t>
  </si>
  <si>
    <t>موجود نمی باشد</t>
  </si>
  <si>
    <t>طول استاتیک</t>
  </si>
  <si>
    <t>Min static</t>
  </si>
  <si>
    <t>طول دینامیک</t>
  </si>
  <si>
    <t>Min dynamic</t>
  </si>
  <si>
    <t>نقطه 1</t>
  </si>
  <si>
    <t>نقطه 2</t>
  </si>
  <si>
    <t>1/R</t>
  </si>
  <si>
    <t>هزینه شفت</t>
  </si>
  <si>
    <t>تلورانس دلخواه</t>
  </si>
  <si>
    <t>تلورانس ضریب سختی</t>
  </si>
  <si>
    <t>تلورانس ضریب نرمی</t>
  </si>
  <si>
    <t>از استحکام کششی</t>
  </si>
  <si>
    <t xml:space="preserve"> % tensil</t>
  </si>
  <si>
    <t>عرض</t>
  </si>
  <si>
    <t>ارتفاع</t>
  </si>
  <si>
    <t>قیمت کل</t>
  </si>
  <si>
    <t>قیمت بسته بندی هر فنر</t>
  </si>
  <si>
    <t>تومان</t>
  </si>
  <si>
    <t>ریال است.</t>
  </si>
  <si>
    <t>عدد فنر.</t>
  </si>
  <si>
    <t>هر پالت شامل</t>
  </si>
  <si>
    <t>اجرت</t>
  </si>
  <si>
    <t>قیمت شفت</t>
  </si>
  <si>
    <t xml:space="preserve"> کد تولید:</t>
  </si>
  <si>
    <t>No.</t>
  </si>
  <si>
    <t>ریت دلخواه</t>
  </si>
  <si>
    <t>سختی دلخواه فنر</t>
  </si>
  <si>
    <t>جهندگی بلند مدت</t>
  </si>
  <si>
    <t>جهندگی کوتاه مدت</t>
  </si>
  <si>
    <t>نیرو جهندگی دلخواه</t>
  </si>
  <si>
    <t>تاییدیه مواد</t>
  </si>
  <si>
    <t>سختی مفتول خام</t>
  </si>
  <si>
    <t>طول آزاد روی شفت</t>
  </si>
  <si>
    <t>پرس بزرگ</t>
  </si>
  <si>
    <t>ایجاد محصول/فرآیند جدید</t>
  </si>
  <si>
    <t>تغییر در محصول/فرآیند موجود</t>
  </si>
  <si>
    <t>محصول قبلی</t>
  </si>
  <si>
    <t>ENERGY SAZ CO</t>
  </si>
  <si>
    <t>امکان سنجی ساخت</t>
  </si>
  <si>
    <t xml:space="preserve">زمان تقریبی تحویل قطعه: </t>
  </si>
  <si>
    <t>ظرفیت سنجی</t>
  </si>
  <si>
    <t>تعدادمورد نیاز مطابق قرارداد/سفارش:</t>
  </si>
  <si>
    <t>عدد نمونه</t>
  </si>
  <si>
    <t>عدد انبوه</t>
  </si>
  <si>
    <t>ظرفیت خالی:</t>
  </si>
  <si>
    <t>ظرفیت موجود:</t>
  </si>
  <si>
    <t xml:space="preserve">وضعیت موجودی محصول بصورت </t>
  </si>
  <si>
    <t>عدد فنر رنگ شده و</t>
  </si>
  <si>
    <t>عدد فنر بصورت نیم ساخت است</t>
  </si>
  <si>
    <t>شماره نقشه/فنی:</t>
  </si>
  <si>
    <t>کد قطعه مشتری :</t>
  </si>
  <si>
    <t>شماره سفارش:</t>
  </si>
  <si>
    <t>تعداد سفارش:</t>
  </si>
  <si>
    <t>فرآیند تولید:</t>
  </si>
  <si>
    <t>فنرزنی سرد</t>
  </si>
  <si>
    <t>فنرزنی گرم</t>
  </si>
  <si>
    <t>تنش گیری</t>
  </si>
  <si>
    <t>شاتپینینگ</t>
  </si>
  <si>
    <t>سنگ زنی</t>
  </si>
  <si>
    <t>پلاک</t>
  </si>
  <si>
    <t>روز از زمان تایید قطعه</t>
  </si>
  <si>
    <t>دلایل عدم تولید:</t>
  </si>
  <si>
    <t>هزینه پیل و پولیش</t>
  </si>
  <si>
    <t xml:space="preserve">    صفحه:          1   از   1</t>
  </si>
  <si>
    <t>وجود دارد</t>
  </si>
  <si>
    <t>بنابر بررسی های صورت گرفته امکان ساخت این فنر:</t>
  </si>
  <si>
    <t>وجود ندارد</t>
  </si>
  <si>
    <t>سفارش شفت</t>
  </si>
  <si>
    <t xml:space="preserve">تعداد </t>
  </si>
  <si>
    <t>عدد فنر به عنوان ضایعات فرآیند تولید در آنالیز قیمت لحاظ شود.</t>
  </si>
  <si>
    <t>بسته بندی و حمل فنر:</t>
  </si>
  <si>
    <t>هزینه بسته بندی و حمل به ازای هر فنر</t>
  </si>
  <si>
    <t>گردش کار</t>
  </si>
  <si>
    <t>نام محصول مشتری:</t>
  </si>
  <si>
    <t>نام محصول انرژی ساز:</t>
  </si>
  <si>
    <t>شایانیان</t>
  </si>
  <si>
    <t>انصاری</t>
  </si>
  <si>
    <t>ورود به سیستم</t>
  </si>
  <si>
    <t>سفارش</t>
  </si>
  <si>
    <t>گنجیان</t>
  </si>
  <si>
    <t>محتشمی راد</t>
  </si>
  <si>
    <t>نوع سفارش:</t>
  </si>
  <si>
    <t>اصلی</t>
  </si>
  <si>
    <t>اصلاحیه</t>
  </si>
  <si>
    <t>نام مشتری</t>
  </si>
  <si>
    <t>شماره نامه</t>
  </si>
  <si>
    <t>تعداد</t>
  </si>
  <si>
    <t>نام فنر</t>
  </si>
  <si>
    <t>شماره نقشه</t>
  </si>
  <si>
    <t>تاریخ نامه</t>
  </si>
  <si>
    <t>تاریخ بررسی</t>
  </si>
  <si>
    <t>مشخصات محصول مشتری</t>
  </si>
  <si>
    <t>تلرانس</t>
  </si>
  <si>
    <t xml:space="preserve">طول 1 </t>
  </si>
  <si>
    <t xml:space="preserve">طول 2 </t>
  </si>
  <si>
    <t xml:space="preserve">طول 3 </t>
  </si>
  <si>
    <t>پیچشی</t>
  </si>
  <si>
    <t>بسته</t>
  </si>
  <si>
    <t>قلابدار</t>
  </si>
  <si>
    <t>مشخصات محصول انرژی ساز</t>
  </si>
  <si>
    <t>واحد نیرو</t>
  </si>
  <si>
    <t>Type</t>
  </si>
  <si>
    <r>
      <t>D</t>
    </r>
    <r>
      <rPr>
        <b/>
        <vertAlign val="subscript"/>
        <sz val="9"/>
        <color theme="1"/>
        <rFont val="Times New Roman"/>
        <family val="1"/>
      </rPr>
      <t>e</t>
    </r>
  </si>
  <si>
    <r>
      <t>L</t>
    </r>
    <r>
      <rPr>
        <b/>
        <vertAlign val="subscript"/>
        <sz val="9"/>
        <color theme="1"/>
        <rFont val="Times New Roman"/>
        <family val="1"/>
      </rPr>
      <t>0</t>
    </r>
  </si>
  <si>
    <t>R.H</t>
  </si>
  <si>
    <t>L.H</t>
  </si>
  <si>
    <t>مشتری</t>
  </si>
  <si>
    <t>سازمان</t>
  </si>
  <si>
    <t>Ref.</t>
  </si>
  <si>
    <t>نتیجه</t>
  </si>
  <si>
    <t>تعداد حلقه کل</t>
  </si>
  <si>
    <t>تعداد حلقه فعال</t>
  </si>
  <si>
    <t>Mat.</t>
  </si>
  <si>
    <r>
      <t>P</t>
    </r>
    <r>
      <rPr>
        <b/>
        <vertAlign val="subscript"/>
        <sz val="9"/>
        <color theme="1"/>
        <rFont val="Times New Roman"/>
        <family val="1"/>
      </rPr>
      <t>1</t>
    </r>
  </si>
  <si>
    <r>
      <t>P</t>
    </r>
    <r>
      <rPr>
        <b/>
        <vertAlign val="subscript"/>
        <sz val="9"/>
        <color theme="1"/>
        <rFont val="Times New Roman"/>
        <family val="1"/>
      </rPr>
      <t>2</t>
    </r>
    <r>
      <rPr>
        <sz val="11"/>
        <color theme="1"/>
        <rFont val="Calibri"/>
        <family val="2"/>
        <scheme val="minor"/>
      </rPr>
      <t/>
    </r>
  </si>
  <si>
    <r>
      <t>P</t>
    </r>
    <r>
      <rPr>
        <b/>
        <vertAlign val="subscript"/>
        <sz val="9"/>
        <color theme="1"/>
        <rFont val="Times New Roman"/>
        <family val="1"/>
      </rPr>
      <t>3</t>
    </r>
    <r>
      <rPr>
        <sz val="11"/>
        <color theme="1"/>
        <rFont val="Calibri"/>
        <family val="2"/>
        <scheme val="minor"/>
      </rPr>
      <t/>
    </r>
  </si>
  <si>
    <r>
      <t>S</t>
    </r>
    <r>
      <rPr>
        <b/>
        <vertAlign val="subscript"/>
        <sz val="10"/>
        <color theme="1"/>
        <rFont val="Times New Roman"/>
        <family val="1"/>
      </rPr>
      <t>stress</t>
    </r>
  </si>
  <si>
    <r>
      <t>Fc</t>
    </r>
    <r>
      <rPr>
        <b/>
        <vertAlign val="subscript"/>
        <sz val="9"/>
        <color theme="1"/>
        <rFont val="Times New Roman"/>
        <family val="1"/>
      </rPr>
      <t>theo</t>
    </r>
  </si>
  <si>
    <r>
      <t>D</t>
    </r>
    <r>
      <rPr>
        <b/>
        <vertAlign val="subscript"/>
        <sz val="9"/>
        <color theme="1"/>
        <rFont val="Times New Roman"/>
        <family val="1"/>
      </rPr>
      <t>i</t>
    </r>
  </si>
  <si>
    <t>IST</t>
  </si>
  <si>
    <r>
      <t>N</t>
    </r>
    <r>
      <rPr>
        <b/>
        <vertAlign val="subscript"/>
        <sz val="9"/>
        <color theme="1"/>
        <rFont val="Times New Roman"/>
        <family val="1"/>
      </rPr>
      <t>t</t>
    </r>
  </si>
  <si>
    <t>W (Kg)</t>
  </si>
  <si>
    <t>W.L</t>
  </si>
  <si>
    <t>a حلقه های انتهایی</t>
  </si>
  <si>
    <t>b حلقه های وسط</t>
  </si>
  <si>
    <t xml:space="preserve">    نیروی بسته</t>
  </si>
  <si>
    <t>مقدار افزایش قطر</t>
  </si>
  <si>
    <t>End type</t>
  </si>
  <si>
    <t>Dm</t>
  </si>
  <si>
    <t>خط سرد</t>
  </si>
  <si>
    <t>&lt;=8</t>
  </si>
  <si>
    <t>8&lt;  &lt;=14</t>
  </si>
  <si>
    <t>&gt;14</t>
  </si>
  <si>
    <t>خط گرم</t>
  </si>
  <si>
    <t>OVER 8 (&lt;=8)</t>
  </si>
  <si>
    <t>L0</t>
  </si>
  <si>
    <t>D</t>
  </si>
  <si>
    <t>e1</t>
  </si>
  <si>
    <t>e2</t>
  </si>
  <si>
    <t>n</t>
  </si>
  <si>
    <t>kf</t>
  </si>
  <si>
    <t>aF</t>
  </si>
  <si>
    <t>گرم</t>
  </si>
  <si>
    <t>سرد</t>
  </si>
  <si>
    <t>Al</t>
  </si>
  <si>
    <t>45-51</t>
  </si>
  <si>
    <t>Hardness</t>
  </si>
  <si>
    <t>ks1</t>
  </si>
  <si>
    <t>ks2</t>
  </si>
  <si>
    <t>su</t>
  </si>
  <si>
    <t>ku</t>
  </si>
  <si>
    <t>ke</t>
  </si>
  <si>
    <t>ce</t>
  </si>
  <si>
    <t>m</t>
  </si>
  <si>
    <t>cs</t>
  </si>
  <si>
    <t>y</t>
  </si>
  <si>
    <t>ks2max</t>
  </si>
  <si>
    <t>ضخامت لبه</t>
  </si>
  <si>
    <t>نوع استاندارد</t>
  </si>
  <si>
    <t>Din 2096-1</t>
  </si>
  <si>
    <t>Din 15800</t>
  </si>
  <si>
    <t>UIC 822</t>
  </si>
  <si>
    <t>BS 13298</t>
  </si>
  <si>
    <t>گرید</t>
  </si>
  <si>
    <t>BS 1726-1</t>
  </si>
  <si>
    <t>CD</t>
  </si>
  <si>
    <t>فرآیند بازرسی:</t>
  </si>
  <si>
    <t>جداسازی 100% نیرو</t>
  </si>
  <si>
    <t>بازرسی 100%</t>
  </si>
  <si>
    <t>تاییدیه قبل از ارسال</t>
  </si>
  <si>
    <t>تلورانس سختگیرانه مشتری</t>
  </si>
  <si>
    <t>تست خزش</t>
  </si>
  <si>
    <t>سایر:</t>
  </si>
  <si>
    <t>وضعیت مفتول</t>
  </si>
  <si>
    <t>موجود است</t>
  </si>
  <si>
    <t>نیاز به پیل و پولیش دارد</t>
  </si>
  <si>
    <t>نیاز به خرید دارد</t>
  </si>
  <si>
    <t>مفتول با قطر</t>
  </si>
  <si>
    <t>میلیمتر و به طول</t>
  </si>
  <si>
    <r>
      <rPr>
        <sz val="9"/>
        <color theme="1"/>
        <rFont val="B Titr"/>
        <charset val="178"/>
      </rPr>
      <t>کد سند:</t>
    </r>
    <r>
      <rPr>
        <sz val="10"/>
        <color theme="1"/>
        <rFont val="B Titr"/>
        <charset val="178"/>
      </rPr>
      <t xml:space="preserve">      </t>
    </r>
    <r>
      <rPr>
        <b/>
        <sz val="11"/>
        <color theme="1"/>
        <rFont val="Times New Roman"/>
        <family val="1"/>
      </rPr>
      <t xml:space="preserve">QMS-F/203-02 </t>
    </r>
  </si>
  <si>
    <t>کد کالا انبار:</t>
  </si>
  <si>
    <t>مندرل</t>
  </si>
  <si>
    <r>
      <t xml:space="preserve">T=250 </t>
    </r>
    <r>
      <rPr>
        <sz val="11"/>
        <color theme="1"/>
        <rFont val="Calibri"/>
        <family val="2"/>
      </rPr>
      <t>°</t>
    </r>
    <r>
      <rPr>
        <sz val="9.35"/>
        <color theme="1"/>
        <rFont val="Calibri"/>
        <family val="2"/>
        <charset val="178"/>
      </rPr>
      <t xml:space="preserve"> C</t>
    </r>
  </si>
  <si>
    <r>
      <t xml:space="preserve">&gt;30 </t>
    </r>
    <r>
      <rPr>
        <sz val="11"/>
        <color theme="1"/>
        <rFont val="Calibri"/>
        <family val="2"/>
      </rPr>
      <t>µmm</t>
    </r>
  </si>
  <si>
    <t>ظرفیت کامل پالت</t>
  </si>
  <si>
    <t>انحرافات</t>
  </si>
  <si>
    <t>سختی</t>
  </si>
  <si>
    <t>بسته و فورج شده</t>
  </si>
  <si>
    <t>De</t>
  </si>
  <si>
    <t>تلرانس نیرویی</t>
  </si>
  <si>
    <t>دلخواه</t>
  </si>
  <si>
    <t>مقادیر دلخواه</t>
  </si>
  <si>
    <t>گزارش کیفی نمونه های اولیه</t>
  </si>
  <si>
    <r>
      <rPr>
        <b/>
        <sz val="12"/>
        <color theme="1"/>
        <rFont val="B Titr"/>
        <charset val="178"/>
      </rPr>
      <t xml:space="preserve">کد سند:  </t>
    </r>
    <r>
      <rPr>
        <b/>
        <sz val="12"/>
        <color theme="1"/>
        <rFont val="B Nazanin"/>
        <charset val="178"/>
      </rPr>
      <t xml:space="preserve">    </t>
    </r>
    <r>
      <rPr>
        <b/>
        <sz val="12"/>
        <color theme="1"/>
        <rFont val="Times New Roman"/>
        <family val="1"/>
      </rPr>
      <t>QMS-F/68-03</t>
    </r>
  </si>
  <si>
    <t>صفحه:        2 از 2</t>
  </si>
  <si>
    <r>
      <rPr>
        <b/>
        <sz val="12"/>
        <color theme="1"/>
        <rFont val="B Titr"/>
        <charset val="178"/>
      </rPr>
      <t xml:space="preserve">کد سند:       </t>
    </r>
    <r>
      <rPr>
        <b/>
        <sz val="12"/>
        <color theme="1"/>
        <rFont val="B Nazanin"/>
        <charset val="178"/>
      </rPr>
      <t xml:space="preserve"> </t>
    </r>
    <r>
      <rPr>
        <b/>
        <sz val="12"/>
        <color theme="1"/>
        <rFont val="Times New Roman"/>
        <family val="1"/>
      </rPr>
      <t xml:space="preserve">QMS-F/68-03 </t>
    </r>
  </si>
  <si>
    <t>صفحه:           1 از 2</t>
  </si>
  <si>
    <t>مقدار دلخواه</t>
  </si>
  <si>
    <t>مناسب باشد</t>
  </si>
  <si>
    <t>حداقل</t>
  </si>
  <si>
    <t>ارتباط با مشتری و تاییدیه</t>
  </si>
  <si>
    <t xml:space="preserve">  OK              NOK</t>
  </si>
  <si>
    <t>دمای فنرپیچی</t>
  </si>
  <si>
    <t>پرس کوچک</t>
  </si>
  <si>
    <t xml:space="preserve">پرس </t>
  </si>
  <si>
    <t>مشخصات سفارش مشتری</t>
  </si>
  <si>
    <t>Bow</t>
  </si>
  <si>
    <t>Grade 1</t>
  </si>
  <si>
    <t>Grade 2</t>
  </si>
  <si>
    <t>کد</t>
  </si>
  <si>
    <t>کدانبار</t>
  </si>
  <si>
    <t>فسفاته و رنگ</t>
  </si>
  <si>
    <t>علامت</t>
  </si>
  <si>
    <r>
      <t>A</t>
    </r>
    <r>
      <rPr>
        <vertAlign val="subscript"/>
        <sz val="11"/>
        <color theme="0" tint="-0.34998626667073579"/>
        <rFont val="Calibri"/>
        <family val="2"/>
        <charset val="178"/>
        <scheme val="minor"/>
      </rPr>
      <t>D</t>
    </r>
  </si>
  <si>
    <r>
      <t>N</t>
    </r>
    <r>
      <rPr>
        <vertAlign val="subscript"/>
        <sz val="13"/>
        <color theme="1"/>
        <rFont val="Times New Roman"/>
        <family val="1"/>
      </rPr>
      <t>t</t>
    </r>
  </si>
  <si>
    <r>
      <t>D</t>
    </r>
    <r>
      <rPr>
        <vertAlign val="subscript"/>
        <sz val="13"/>
        <color theme="1"/>
        <rFont val="Times New Roman"/>
        <family val="1"/>
      </rPr>
      <t>e</t>
    </r>
  </si>
  <si>
    <r>
      <t>D</t>
    </r>
    <r>
      <rPr>
        <vertAlign val="subscript"/>
        <sz val="13"/>
        <color theme="1"/>
        <rFont val="Times New Roman"/>
        <family val="1"/>
      </rPr>
      <t>i</t>
    </r>
  </si>
  <si>
    <t>Sc</t>
  </si>
  <si>
    <t>افزایش قطر خارجی</t>
  </si>
  <si>
    <r>
      <t>ΔD</t>
    </r>
    <r>
      <rPr>
        <vertAlign val="subscript"/>
        <sz val="11"/>
        <color theme="1"/>
        <rFont val="Times New Roman"/>
        <family val="1"/>
      </rPr>
      <t>e</t>
    </r>
  </si>
  <si>
    <t>ma</t>
  </si>
  <si>
    <t>mb</t>
  </si>
  <si>
    <t>تعداد نیروها</t>
  </si>
  <si>
    <r>
      <t>L</t>
    </r>
    <r>
      <rPr>
        <vertAlign val="subscript"/>
        <sz val="13"/>
        <color theme="1"/>
        <rFont val="Times New Roman"/>
        <family val="1"/>
      </rPr>
      <t>0</t>
    </r>
  </si>
  <si>
    <r>
      <t>e</t>
    </r>
    <r>
      <rPr>
        <vertAlign val="subscript"/>
        <sz val="13"/>
        <color theme="1"/>
        <rFont val="Times New Roman"/>
        <family val="1"/>
      </rPr>
      <t>1</t>
    </r>
  </si>
  <si>
    <r>
      <t>e</t>
    </r>
    <r>
      <rPr>
        <vertAlign val="subscript"/>
        <sz val="13"/>
        <color theme="1"/>
        <rFont val="Times New Roman"/>
        <family val="1"/>
      </rPr>
      <t>2</t>
    </r>
  </si>
  <si>
    <r>
      <t>L: 0.1</t>
    </r>
    <r>
      <rPr>
        <sz val="14"/>
        <color theme="1"/>
        <rFont val="Calibri"/>
        <family val="2"/>
      </rPr>
      <t>×</t>
    </r>
    <r>
      <rPr>
        <sz val="11.9"/>
        <color theme="1"/>
        <rFont val="Times New Roman"/>
        <family val="1"/>
      </rPr>
      <t xml:space="preserve"> </t>
    </r>
    <r>
      <rPr>
        <sz val="14"/>
        <color theme="1"/>
        <rFont val="Times New Roman"/>
        <family val="1"/>
      </rPr>
      <t>P</t>
    </r>
  </si>
  <si>
    <t>کد قطعه</t>
  </si>
  <si>
    <t>دستورالعمل اپراتوری محصول و فرآیند</t>
  </si>
  <si>
    <t>کد سند:</t>
  </si>
  <si>
    <t xml:space="preserve">فنر لول  </t>
  </si>
  <si>
    <t>نام محصـول:</t>
  </si>
  <si>
    <r>
      <t>مواد اوليه:</t>
    </r>
    <r>
      <rPr>
        <b/>
        <sz val="11"/>
        <color theme="1"/>
        <rFont val="Times New Roman"/>
        <family val="1"/>
      </rPr>
      <t/>
    </r>
  </si>
  <si>
    <t>نام و كد ماشين:</t>
  </si>
  <si>
    <t>SPR-M-02</t>
  </si>
  <si>
    <t>SAE 9254</t>
  </si>
  <si>
    <t>شماره بازبيني: 0</t>
  </si>
  <si>
    <t>نام مشتري:</t>
  </si>
  <si>
    <t>SPR-M-01</t>
  </si>
  <si>
    <t xml:space="preserve">شرح فرآيند توليد: </t>
  </si>
  <si>
    <r>
      <t>نكات ويژه وايمني</t>
    </r>
    <r>
      <rPr>
        <sz val="12"/>
        <color theme="1"/>
        <rFont val="B Nazanin"/>
        <charset val="178"/>
      </rPr>
      <t>:</t>
    </r>
  </si>
  <si>
    <t>1- در هنگام كار از وسايل ايمني (دستكش نسوز -  عينك) استفاده نمایيد.                     2- با هوشياري كامل با دستگاه كار كنيد و از عجله كردن پرهيز نمایید.
3- از ايستادن در جهت حركت مندرل اجتناب كنيد.                                                4- در هنگام ارسال آسانسور به طرف پايين از مخزن كوئنچ فاصله بگيريد.  
5- حداكثر فاصله را از مفتول و فنر گداخته حفظ نمایید.</t>
  </si>
  <si>
    <t>شماره</t>
  </si>
  <si>
    <t>اهميت</t>
  </si>
  <si>
    <t>حدود مجاز</t>
  </si>
  <si>
    <t>روش كنترل</t>
  </si>
  <si>
    <t>ابزار كنترلي</t>
  </si>
  <si>
    <t xml:space="preserve">   دقت</t>
  </si>
  <si>
    <t>نمونه گيري</t>
  </si>
  <si>
    <t xml:space="preserve">  طرح واكنش</t>
  </si>
  <si>
    <t>تناوب</t>
  </si>
  <si>
    <t>A</t>
  </si>
  <si>
    <t>اندازه گيري</t>
  </si>
  <si>
    <t>كوليس</t>
  </si>
  <si>
    <t>0.01mm</t>
  </si>
  <si>
    <t>تعويض مفتول</t>
  </si>
  <si>
    <t>B</t>
  </si>
  <si>
    <t>متر</t>
  </si>
  <si>
    <t>1mm</t>
  </si>
  <si>
    <t>جهت پيچش</t>
  </si>
  <si>
    <t>مشاهده</t>
  </si>
  <si>
    <t>چشمي</t>
  </si>
  <si>
    <t>---</t>
  </si>
  <si>
    <t>setup</t>
  </si>
  <si>
    <t>تغيير جهت</t>
  </si>
  <si>
    <t>طول آزاد فنر</t>
  </si>
  <si>
    <t>گيج</t>
  </si>
  <si>
    <r>
      <t xml:space="preserve"> </t>
    </r>
    <r>
      <rPr>
        <sz val="11.5"/>
        <color theme="1"/>
        <rFont val="B Nazanin"/>
        <charset val="178"/>
      </rPr>
      <t>تنظيم مجدد</t>
    </r>
  </si>
  <si>
    <t>----</t>
  </si>
  <si>
    <t>تنظيم مجدد</t>
  </si>
  <si>
    <r>
      <t xml:space="preserve">قطر خارجي </t>
    </r>
    <r>
      <rPr>
        <b/>
        <sz val="13"/>
        <color theme="1"/>
        <rFont val="Times New Roman"/>
        <family val="1"/>
      </rPr>
      <t xml:space="preserve"> </t>
    </r>
  </si>
  <si>
    <t>C</t>
  </si>
  <si>
    <t>تمامي گامها</t>
  </si>
  <si>
    <t>مطابق نقشه</t>
  </si>
  <si>
    <t>قطر خارجي شفت</t>
  </si>
  <si>
    <t>تغيير شفت</t>
  </si>
  <si>
    <t>رولر هدايت مفتول</t>
  </si>
  <si>
    <t xml:space="preserve">مناسب </t>
  </si>
  <si>
    <t>تغيير رولر</t>
  </si>
  <si>
    <t>سرعت پيچش</t>
  </si>
  <si>
    <t>80 - 120</t>
  </si>
  <si>
    <t>تغيير سرعت</t>
  </si>
  <si>
    <t>شماره اجراي برنامه</t>
  </si>
  <si>
    <t>تغيير برنامه</t>
  </si>
  <si>
    <t>موقعيت كلمپ</t>
  </si>
  <si>
    <t>مناسب جهت پيچش</t>
  </si>
  <si>
    <t>تغيير موقعيت</t>
  </si>
  <si>
    <t xml:space="preserve">دماي مخزن  هيدروليك </t>
  </si>
  <si>
    <t>Max= 45 cº</t>
  </si>
  <si>
    <t>دما سنج</t>
  </si>
  <si>
    <r>
      <t>1 cº</t>
    </r>
    <r>
      <rPr>
        <sz val="11.5"/>
        <color theme="1"/>
        <rFont val="B Nazanin"/>
        <charset val="178"/>
      </rPr>
      <t xml:space="preserve"> </t>
    </r>
  </si>
  <si>
    <t xml:space="preserve"> هر ساعت</t>
  </si>
  <si>
    <t>خنك كردن روغن</t>
  </si>
  <si>
    <t xml:space="preserve">دماي كوره </t>
  </si>
  <si>
    <t>ترمومتر</t>
  </si>
  <si>
    <t>تنظيم دما</t>
  </si>
  <si>
    <t>زمان ماندن مفتول در كوره</t>
  </si>
  <si>
    <t>ساعت</t>
  </si>
  <si>
    <t>1΄</t>
  </si>
  <si>
    <t>تنظيم زمان</t>
  </si>
  <si>
    <t>زمان كوئنچ</t>
  </si>
  <si>
    <t xml:space="preserve">تنظيم زمان  </t>
  </si>
  <si>
    <t>دماي مخزن كوئنچ</t>
  </si>
  <si>
    <t>Max= 85 cº</t>
  </si>
  <si>
    <t>دماسنج</t>
  </si>
  <si>
    <t>درجه است.</t>
  </si>
  <si>
    <t>14-15</t>
  </si>
  <si>
    <t>18-19</t>
  </si>
  <si>
    <r>
      <t>نكات ويژه و ايمني</t>
    </r>
    <r>
      <rPr>
        <sz val="12"/>
        <color theme="1"/>
        <rFont val="B Nazanin"/>
        <charset val="178"/>
      </rPr>
      <t>:</t>
    </r>
  </si>
  <si>
    <t>SETUP</t>
  </si>
  <si>
    <t>شکل ظاهری</t>
  </si>
  <si>
    <t>هماهنگی حلقه ها</t>
  </si>
  <si>
    <t>برنامه دستگاه</t>
  </si>
  <si>
    <t>طبق برنامه محصول</t>
  </si>
  <si>
    <t>مشاهده آيتمها</t>
  </si>
  <si>
    <t>فشار فیدر رولرها</t>
  </si>
  <si>
    <t>مشاهده فشار رگلاتور</t>
  </si>
  <si>
    <t>فشار سنج</t>
  </si>
  <si>
    <t>1 bar</t>
  </si>
  <si>
    <t>تنظيم فشار</t>
  </si>
  <si>
    <t>فشار هیدرولیک</t>
  </si>
  <si>
    <t>مشاهده فشار سنج</t>
  </si>
  <si>
    <t>5 bar</t>
  </si>
  <si>
    <t>تيزي ابزار برش</t>
  </si>
  <si>
    <t>تيز نمودن ابزار</t>
  </si>
  <si>
    <t>سرعت كويلر</t>
  </si>
  <si>
    <t>مشاهده سرعت</t>
  </si>
  <si>
    <t>رئومتر</t>
  </si>
  <si>
    <t>تنظيم سرعت</t>
  </si>
  <si>
    <t xml:space="preserve">وضعيت فينگر </t>
  </si>
  <si>
    <t xml:space="preserve">مشاهده  </t>
  </si>
  <si>
    <t>تنظيم موقعيت</t>
  </si>
  <si>
    <t>بستن انتهای مفتول</t>
  </si>
  <si>
    <t>انتهای مفتول بسته باشد</t>
  </si>
  <si>
    <t>دستور العمل اپراتوری محصول و فرآیند</t>
  </si>
  <si>
    <t>در اين مرحله فنرهاي شات شده توسط لیفتراك در كنار دستگاه سنگ زنی قرار گرفته و برای رسیدن به طول مشخص و ضخامت لبه مناسب سنگ زده می شوند.</t>
  </si>
  <si>
    <t xml:space="preserve">1- در هنگام كار از دستكش مناسب استفاده كنيد.                                             2- برای جابجایی فنرها از جرثقیل استفاده نمایید.
3- هنگام عملیات سنگ زنی درب محافظ ماشین را ببندید.                                  </t>
  </si>
  <si>
    <t>انحراف طولي</t>
  </si>
  <si>
    <t>چسباندن به سطح عمودي و فيلر زدن</t>
  </si>
  <si>
    <t>فيلر</t>
  </si>
  <si>
    <t>انحراف قطري</t>
  </si>
  <si>
    <t>فشار پيش روي</t>
  </si>
  <si>
    <t>فشار هيدروليك جكها</t>
  </si>
  <si>
    <t xml:space="preserve"> 25-45  bar</t>
  </si>
  <si>
    <t xml:space="preserve">قطر مفتول: </t>
  </si>
  <si>
    <t xml:space="preserve">تعداد حلقه: </t>
  </si>
  <si>
    <t>جهت پیچش:</t>
  </si>
  <si>
    <r>
      <rPr>
        <b/>
        <sz val="12"/>
        <color theme="1"/>
        <rFont val="B Nazanin"/>
        <charset val="178"/>
      </rPr>
      <t>توضیحات</t>
    </r>
    <r>
      <rPr>
        <b/>
        <sz val="14"/>
        <color theme="1"/>
        <rFont val="B Nazanin"/>
        <charset val="178"/>
      </rPr>
      <t xml:space="preserve"> :</t>
    </r>
  </si>
  <si>
    <r>
      <t xml:space="preserve">مواد اوليه: </t>
    </r>
    <r>
      <rPr>
        <b/>
        <sz val="11"/>
        <color theme="1"/>
        <rFont val="Times New Roman"/>
        <family val="1"/>
      </rPr>
      <t/>
    </r>
  </si>
  <si>
    <t xml:space="preserve">1- در هنگام كار از دستكش مخصوص استفاده كنيد.                                                               2-  فنرها را دركنار دستگاه تا ارتفاع زياد نچينيد.  </t>
  </si>
  <si>
    <t>3- از بردن دست و پا در قسمت درب متحرك دستگاه خوداري نماييد.</t>
  </si>
  <si>
    <t>قرار دادن در گيج كنترلي</t>
  </si>
  <si>
    <t>اندازه گیری</t>
  </si>
  <si>
    <t>کولیس</t>
  </si>
  <si>
    <t>0.01 mm</t>
  </si>
  <si>
    <t>شمارش تعداد حلقه ها</t>
  </si>
  <si>
    <t>عدم دفرمگي حلقه ها و تيزي لبه ها</t>
  </si>
  <si>
    <t>مطابق نمونه مشاهده</t>
  </si>
  <si>
    <t>فشار هيدروليك</t>
  </si>
  <si>
    <t>میزان فشردگی</t>
  </si>
  <si>
    <t>جك به انتها برسد</t>
  </si>
  <si>
    <t>سنسور الكترونيكي</t>
  </si>
  <si>
    <t>تنظيم فشردگي</t>
  </si>
  <si>
    <t xml:space="preserve">صفحه:    1   از   1                         </t>
  </si>
  <si>
    <t>QMS-I/82-01</t>
  </si>
  <si>
    <r>
      <t xml:space="preserve">نام مرحله / فرآيند: </t>
    </r>
    <r>
      <rPr>
        <b/>
        <sz val="10"/>
        <color theme="1"/>
        <rFont val="B Nazanin"/>
        <charset val="178"/>
      </rPr>
      <t>فنرپيچي</t>
    </r>
  </si>
  <si>
    <r>
      <t xml:space="preserve">تصويب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</si>
  <si>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t xml:space="preserve">شماره فني: </t>
  </si>
  <si>
    <r>
      <t xml:space="preserve">تهيه كننده: </t>
    </r>
    <r>
      <rPr>
        <b/>
        <sz val="10"/>
        <color theme="1"/>
        <rFont val="B Nazanin"/>
        <charset val="178"/>
      </rPr>
      <t>علیرضا محمدیان</t>
    </r>
  </si>
  <si>
    <r>
      <t xml:space="preserve">تاييد كننده: </t>
    </r>
    <r>
      <rPr>
        <b/>
        <sz val="10"/>
        <color theme="1"/>
        <rFont val="B Nazanin"/>
        <charset val="178"/>
      </rPr>
      <t>مسعود شایانیان</t>
    </r>
  </si>
  <si>
    <t>±</t>
  </si>
  <si>
    <t xml:space="preserve">قطر خارجي  </t>
  </si>
  <si>
    <t>شكل ابتدا</t>
  </si>
  <si>
    <t>شكل انتها</t>
  </si>
  <si>
    <t>زمان پیش گرم</t>
  </si>
  <si>
    <t>کوئنچ</t>
  </si>
  <si>
    <t>دمای پیش گرم</t>
  </si>
  <si>
    <t xml:space="preserve">   - بدون خط، اثر و بیرون زدگی</t>
  </si>
  <si>
    <t xml:space="preserve">   - دمای عملیات تمپرینگ</t>
  </si>
  <si>
    <t>ok</t>
  </si>
  <si>
    <t xml:space="preserve">مفتول سايز شده، مطابق با زمان و دمای مشخص شده در جدول ذیل (ردیف 7 و 8) در کوره پیش گرم قرار می گيرد. سپس مفتول سرخ شده توسط انبر به سمت دستگاه فنرپیچی حمل و برروی ماندرل قرار می گیرد و توسط کلمپ روی ماندرل نگاه داشته می شود. برنامه از پیش نوشته شده اجرا شده و پس از فرمینگ، فنر توسط انبر روی آسانسور قرار گرفته و به مخزن کوئنچ منتقل و سرد می گردد.   </t>
  </si>
  <si>
    <t>ابتدا مفتولهاي سخت شده توسط ليفتراك بر روي دستگاه كويلر قرار گرفته و سپس مفتول توسط رولرهاي هدايت كننده بطرف قسمت پيچش و دو بازو يا فينگر ها هدايت مي شود. آنگاه با توجه به برنامه داده شده به دستگاه كه بصورت CNC كنترل مي شود پس از چك شدن آيتمهاي كنترلي فرآيند و محصول اقدام به فنرپيچي مي شود.</t>
  </si>
  <si>
    <t>نكات ويژه و ايمني:</t>
  </si>
  <si>
    <t xml:space="preserve">1- استفاده از دستكش برزنتي، گوشي ايمني و كفش ايمني در هنگام كار                             2- بازكردن قيدهاي مفتول در هنگامي كه كويلر در موقعيت افقي قرار مي گيرد
3- عدم قرارگرفتن در پشت كويلر در زمان شارژ مفتول                                                  4- استفاده از حفاظ پلاستيكي در زمان توليد فنر  
5- عدم نزدیک کردن دست در قسمت فنر پيچي هنگام كاركردن دستگاه </t>
  </si>
  <si>
    <t>تغيير جهت پیچش</t>
  </si>
  <si>
    <t>تيز بودن و عدم پليسه</t>
  </si>
  <si>
    <t>گیج</t>
  </si>
  <si>
    <t>چشمی</t>
  </si>
  <si>
    <t>Max</t>
  </si>
  <si>
    <t>Min</t>
  </si>
  <si>
    <t xml:space="preserve">صفحه:        1   از   1                   </t>
  </si>
  <si>
    <t>QMS-I/81-01</t>
  </si>
  <si>
    <t>كد مرحله/فرآيند:</t>
  </si>
  <si>
    <r>
      <t>تهيه كننده:</t>
    </r>
    <r>
      <rPr>
        <b/>
        <sz val="10"/>
        <color theme="1"/>
        <rFont val="B Nazanin"/>
        <charset val="178"/>
      </rPr>
      <t xml:space="preserve"> علیرضا محمدیان</t>
    </r>
  </si>
  <si>
    <t>0.1mm</t>
  </si>
  <si>
    <t>1bar</t>
  </si>
  <si>
    <t xml:space="preserve">صفحه:          1  از  1                 </t>
  </si>
  <si>
    <t>QMS-I/123-01</t>
  </si>
  <si>
    <t>شماره فني:</t>
  </si>
  <si>
    <t>در اين مرحله فنرهاي شات شده توسط لیفتراك در كنار دستگاه ست قرار گرفته و جهت نشست نهايي فنر و خارج شدن تنش هاي ايجاده شده از عمليات شات پين 1 تا 3 بار توسط جكهاي دستگاه كاملاً به طول مرده (بسته) مي رسد.</t>
  </si>
  <si>
    <r>
      <t xml:space="preserve">تصويب كننده: </t>
    </r>
    <r>
      <rPr>
        <b/>
        <sz val="10"/>
        <color theme="1"/>
        <rFont val="B Nazanin"/>
        <charset val="178"/>
      </rPr>
      <t>رضا محتشمي راد</t>
    </r>
  </si>
  <si>
    <t xml:space="preserve">عملیات ست:       </t>
  </si>
  <si>
    <t>مشخصات فرآیندی</t>
  </si>
  <si>
    <r>
      <t xml:space="preserve">نام و كد ورودي فرآيند: </t>
    </r>
    <r>
      <rPr>
        <b/>
        <sz val="10"/>
        <color theme="1"/>
        <rFont val="B Nazanin"/>
        <charset val="178"/>
      </rPr>
      <t>مواد اوليه (10)</t>
    </r>
  </si>
  <si>
    <t>كد مرحله / فرآيند: 15</t>
  </si>
  <si>
    <t>45 - 50</t>
  </si>
  <si>
    <t>كد مرحله / فرآيند: 40</t>
  </si>
  <si>
    <t>آروین تبریز</t>
  </si>
  <si>
    <t>ندارد</t>
  </si>
  <si>
    <t>0318.000000.0008</t>
  </si>
  <si>
    <t>Y25-LSD1</t>
  </si>
  <si>
    <t>45-50</t>
  </si>
  <si>
    <t>مشخصات محصول سازمان</t>
  </si>
  <si>
    <t>فرایند تولید</t>
  </si>
  <si>
    <t>فرایند بازرسی</t>
  </si>
  <si>
    <t>نوع سفارش</t>
  </si>
  <si>
    <t>0000000000</t>
  </si>
  <si>
    <t>31</t>
  </si>
  <si>
    <t>00000-</t>
  </si>
  <si>
    <t>اعداد داخل این کادر را تغییر ندهید</t>
  </si>
  <si>
    <t>نام مشتری:</t>
  </si>
  <si>
    <t>شماره نامه:</t>
  </si>
  <si>
    <t xml:space="preserve">توضیحات: سخت کاری مجدد انجام شود.
</t>
  </si>
  <si>
    <r>
      <t>3- گام نیم حلقه پشت ابتدا و انتها  10-9</t>
    </r>
    <r>
      <rPr>
        <b/>
        <sz val="13"/>
        <color theme="1"/>
        <rFont val="Times New Roman"/>
        <family val="1"/>
      </rPr>
      <t xml:space="preserve">
 </t>
    </r>
    <r>
      <rPr>
        <b/>
        <sz val="13"/>
        <color theme="1"/>
        <rFont val="B Nazanin"/>
        <charset val="178"/>
      </rPr>
      <t xml:space="preserve">4-گام اصلی فنر 44-43 </t>
    </r>
    <r>
      <rPr>
        <b/>
        <sz val="13"/>
        <color theme="1"/>
        <rFont val="Times New Roman"/>
        <family val="1"/>
      </rPr>
      <t xml:space="preserve">                      </t>
    </r>
  </si>
  <si>
    <r>
      <t xml:space="preserve">نام مرحله / فرآيند: </t>
    </r>
    <r>
      <rPr>
        <b/>
        <sz val="10"/>
        <color theme="1"/>
        <rFont val="B Nazanin"/>
        <charset val="178"/>
      </rPr>
      <t>سنگ زنی/ست</t>
    </r>
  </si>
  <si>
    <r>
      <t xml:space="preserve">نام وكد ماشين: </t>
    </r>
    <r>
      <rPr>
        <b/>
        <sz val="10"/>
        <color theme="1"/>
        <rFont val="B Nazanin"/>
        <charset val="178"/>
      </rPr>
      <t>سنگ زنی</t>
    </r>
    <r>
      <rPr>
        <sz val="10"/>
        <color theme="1"/>
        <rFont val="B Nazanin"/>
        <charset val="178"/>
      </rPr>
      <t xml:space="preserve"> </t>
    </r>
    <r>
      <rPr>
        <b/>
        <sz val="10"/>
        <color theme="1"/>
        <rFont val="Times New Roman"/>
        <family val="1"/>
      </rPr>
      <t>SPR-M-02</t>
    </r>
  </si>
  <si>
    <r>
      <t>نام و كد ورودي فرآيند: فنر شات شده</t>
    </r>
    <r>
      <rPr>
        <b/>
        <sz val="10"/>
        <color theme="1"/>
        <rFont val="B Nazanin"/>
        <charset val="178"/>
      </rPr>
      <t xml:space="preserve"> (35)</t>
    </r>
  </si>
  <si>
    <r>
      <t>100</t>
    </r>
    <r>
      <rPr>
        <sz val="11"/>
        <color theme="1"/>
        <rFont val="B Nazanin"/>
        <charset val="178"/>
      </rPr>
      <t xml:space="preserve"> قطعه</t>
    </r>
  </si>
  <si>
    <r>
      <t xml:space="preserve">رجوع به </t>
    </r>
    <r>
      <rPr>
        <sz val="11"/>
        <color theme="1"/>
        <rFont val="Times New Roman"/>
        <family val="1"/>
      </rPr>
      <t>Q.C</t>
    </r>
  </si>
  <si>
    <r>
      <t xml:space="preserve">مطابق با نمونه شاهد
</t>
    </r>
    <r>
      <rPr>
        <sz val="11"/>
        <color theme="1"/>
        <rFont val="Times New Roman"/>
        <family val="1"/>
      </rPr>
      <t>S2-01</t>
    </r>
  </si>
  <si>
    <r>
      <t xml:space="preserve"> </t>
    </r>
    <r>
      <rPr>
        <sz val="11.5"/>
        <color theme="1"/>
        <rFont val="B Nazanin"/>
        <charset val="178"/>
      </rPr>
      <t>تنظيم مجدد
جداسازی ضایعات</t>
    </r>
  </si>
  <si>
    <r>
      <t xml:space="preserve">مطابق با نمونه شاهد
</t>
    </r>
    <r>
      <rPr>
        <sz val="11"/>
        <color theme="1"/>
        <rFont val="Times New Roman"/>
        <family val="1"/>
      </rPr>
      <t>S2-02</t>
    </r>
  </si>
  <si>
    <r>
      <t>گام فنر در انتها (</t>
    </r>
    <r>
      <rPr>
        <sz val="12"/>
        <color theme="1"/>
        <rFont val="B Nazanin"/>
        <charset val="178"/>
      </rPr>
      <t>A</t>
    </r>
    <r>
      <rPr>
        <sz val="13"/>
        <color theme="1"/>
        <rFont val="B Nazanin"/>
        <charset val="178"/>
      </rPr>
      <t>)</t>
    </r>
  </si>
  <si>
    <r>
      <t>گام فنر در انتها (</t>
    </r>
    <r>
      <rPr>
        <sz val="12"/>
        <color theme="1"/>
        <rFont val="B Nazanin"/>
        <charset val="178"/>
      </rPr>
      <t>B</t>
    </r>
    <r>
      <rPr>
        <sz val="13"/>
        <color theme="1"/>
        <rFont val="B Nazanin"/>
        <charset val="178"/>
      </rPr>
      <t>)</t>
    </r>
  </si>
  <si>
    <r>
      <rPr>
        <b/>
        <sz val="10"/>
        <color theme="1"/>
        <rFont val="Times New Roman"/>
        <family val="1"/>
      </rPr>
      <t>50CrV4</t>
    </r>
    <r>
      <rPr>
        <sz val="10"/>
        <color theme="1"/>
        <rFont val="B Nazanin"/>
        <charset val="178"/>
      </rPr>
      <t xml:space="preserve"> </t>
    </r>
    <r>
      <rPr>
        <b/>
        <sz val="10"/>
        <color theme="1"/>
        <rFont val="B Nazanin"/>
        <charset val="178"/>
      </rPr>
      <t>يا معادل آن</t>
    </r>
  </si>
  <si>
    <r>
      <t xml:space="preserve">نام مرحله / فرآيند: </t>
    </r>
    <r>
      <rPr>
        <b/>
        <sz val="10"/>
        <color theme="1"/>
        <rFont val="B Nazanin"/>
        <charset val="178"/>
      </rPr>
      <t>ست</t>
    </r>
  </si>
  <si>
    <r>
      <t xml:space="preserve">نام وكد ماشين: </t>
    </r>
    <r>
      <rPr>
        <b/>
        <sz val="10"/>
        <color theme="1"/>
        <rFont val="B Nazanin"/>
        <charset val="178"/>
      </rPr>
      <t xml:space="preserve">ست </t>
    </r>
    <r>
      <rPr>
        <b/>
        <sz val="10"/>
        <color theme="1"/>
        <rFont val="Times New Roman"/>
        <family val="1"/>
      </rPr>
      <t>SPR-M-02</t>
    </r>
  </si>
  <si>
    <r>
      <t xml:space="preserve">نام و كد ورودي فرآيند: </t>
    </r>
    <r>
      <rPr>
        <b/>
        <sz val="10"/>
        <color theme="1"/>
        <rFont val="B Nazanin"/>
        <charset val="178"/>
      </rPr>
      <t xml:space="preserve"> فنر شات شده (35)</t>
    </r>
  </si>
  <si>
    <r>
      <t xml:space="preserve">تاييد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</si>
  <si>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r>
      <t>1</t>
    </r>
    <r>
      <rPr>
        <sz val="11"/>
        <color theme="1"/>
        <rFont val="B Nazanin"/>
        <charset val="178"/>
      </rPr>
      <t xml:space="preserve"> قطعه</t>
    </r>
  </si>
  <si>
    <r>
      <rPr>
        <sz val="11"/>
        <color theme="1"/>
        <rFont val="Times New Roman"/>
        <family val="1"/>
      </rPr>
      <t>0.01</t>
    </r>
    <r>
      <rPr>
        <sz val="11"/>
        <color theme="1"/>
        <rFont val="B Nazanin"/>
        <charset val="178"/>
      </rPr>
      <t xml:space="preserve"> دور</t>
    </r>
  </si>
  <si>
    <t>استاندارد تولید: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</si>
</sst>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00"/>
    <numFmt numFmtId="165" formatCode="0.0"/>
    <numFmt numFmtId="166" formatCode="000\ \±\ \1"/>
    <numFmt numFmtId="167" formatCode="00&quot;/&quot;00&quot;/&quot;00"/>
    <numFmt numFmtId="168" formatCode="_(* #,##0_);_(* \(#,##0\);_(* &quot;-&quot;??_);_(@_)"/>
    <numFmt numFmtId="169" formatCode="0.0000"/>
    <numFmt numFmtId="170" formatCode="0.000"/>
    <numFmt numFmtId="171" formatCode="000,000"/>
    <numFmt numFmtId="172" formatCode="000"/>
    <numFmt numFmtId="173" formatCode="0&quot; ± 1&quot;\ "/>
    <numFmt numFmtId="174" formatCode="000\-000&quot; mm&quot;\ "/>
  </numFmts>
  <fonts count="122" x14ac:knownFonts="1">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0"/>
      <name val="Calibri"/>
      <family val="2"/>
      <charset val="178"/>
      <scheme val="minor"/>
    </font>
    <font>
      <sz val="11"/>
      <color theme="1"/>
      <name val="B Nazanin"/>
      <charset val="178"/>
    </font>
    <font>
      <sz val="10"/>
      <color theme="1"/>
      <name val="B Titr"/>
      <charset val="178"/>
    </font>
    <font>
      <b/>
      <sz val="12"/>
      <color theme="1"/>
      <name val="B Nazanin"/>
      <charset val="178"/>
    </font>
    <font>
      <b/>
      <sz val="11"/>
      <color theme="1"/>
      <name val="B Nazanin"/>
      <charset val="178"/>
    </font>
    <font>
      <sz val="11"/>
      <color theme="0" tint="-0.34998626667073579"/>
      <name val="Calibri"/>
      <family val="2"/>
      <charset val="178"/>
      <scheme val="minor"/>
    </font>
    <font>
      <sz val="12"/>
      <color theme="1"/>
      <name val="B Nazanin"/>
      <charset val="178"/>
    </font>
    <font>
      <sz val="13"/>
      <color theme="1"/>
      <name val="B Nazanin"/>
      <charset val="178"/>
    </font>
    <font>
      <b/>
      <sz val="14"/>
      <color theme="1"/>
      <name val="B Nazanin"/>
      <charset val="178"/>
    </font>
    <font>
      <sz val="13"/>
      <color theme="1"/>
      <name val="Calibri"/>
      <family val="2"/>
      <charset val="178"/>
      <scheme val="minor"/>
    </font>
    <font>
      <sz val="13"/>
      <color theme="1"/>
      <name val="Times New Roman"/>
      <family val="1"/>
    </font>
    <font>
      <b/>
      <sz val="14"/>
      <color theme="0" tint="-0.34998626667073579"/>
      <name val="B Nazanin"/>
      <charset val="178"/>
    </font>
    <font>
      <sz val="13"/>
      <color theme="0" tint="-0.34998626667073579"/>
      <name val="B Nazanin"/>
      <charset val="178"/>
    </font>
    <font>
      <sz val="11"/>
      <color theme="0" tint="-0.34998626667073579"/>
      <name val="Calibri"/>
      <family val="2"/>
      <scheme val="minor"/>
    </font>
    <font>
      <sz val="14"/>
      <color theme="1"/>
      <name val="B Nazanin"/>
      <charset val="178"/>
    </font>
    <font>
      <sz val="14"/>
      <color theme="1"/>
      <name val="Times New Roman"/>
      <family val="1"/>
    </font>
    <font>
      <sz val="11"/>
      <color theme="1"/>
      <name val="Times New Roman"/>
      <family val="1"/>
    </font>
    <font>
      <sz val="9"/>
      <color theme="1"/>
      <name val="B Titr"/>
      <charset val="178"/>
    </font>
    <font>
      <b/>
      <sz val="10"/>
      <color theme="1"/>
      <name val="Times New Roman"/>
      <family val="1"/>
    </font>
    <font>
      <b/>
      <sz val="10"/>
      <color theme="1"/>
      <name val="B Nazanin"/>
      <charset val="178"/>
    </font>
    <font>
      <b/>
      <sz val="9"/>
      <color theme="1"/>
      <name val="B Nazanin"/>
      <charset val="178"/>
    </font>
    <font>
      <b/>
      <sz val="12"/>
      <color theme="1"/>
      <name val="Times New Roman"/>
      <family val="1"/>
    </font>
    <font>
      <b/>
      <sz val="12"/>
      <color theme="1"/>
      <name val="B Titr"/>
      <charset val="178"/>
    </font>
    <font>
      <b/>
      <sz val="14"/>
      <color theme="1"/>
      <name val="B Titr"/>
      <charset val="178"/>
    </font>
    <font>
      <sz val="12"/>
      <color theme="1"/>
      <name val="Calibri"/>
      <family val="2"/>
      <scheme val="minor"/>
    </font>
    <font>
      <sz val="12"/>
      <color theme="1"/>
      <name val="B Titr"/>
      <charset val="178"/>
    </font>
    <font>
      <b/>
      <sz val="14"/>
      <color theme="1"/>
      <name val="Times New Roman"/>
      <family val="1"/>
    </font>
    <font>
      <sz val="14"/>
      <color theme="1"/>
      <name val="B Titr"/>
      <charset val="178"/>
    </font>
    <font>
      <b/>
      <sz val="11"/>
      <color theme="1"/>
      <name val="Times New Roman"/>
      <family val="1"/>
    </font>
    <font>
      <b/>
      <sz val="12"/>
      <color rgb="FFFF0000"/>
      <name val="B Nazanin"/>
      <charset val="178"/>
    </font>
    <font>
      <b/>
      <sz val="16"/>
      <color theme="1"/>
      <name val="Calibri"/>
      <family val="2"/>
      <scheme val="minor"/>
    </font>
    <font>
      <sz val="13"/>
      <color theme="0" tint="-0.34998626667073579"/>
      <name val="Calibri"/>
      <family val="2"/>
      <charset val="178"/>
      <scheme val="minor"/>
    </font>
    <font>
      <sz val="10"/>
      <color theme="1"/>
      <name val="Times New Roman"/>
      <family val="1"/>
    </font>
    <font>
      <b/>
      <sz val="8"/>
      <color theme="1"/>
      <name val="Times New Roman"/>
      <family val="1"/>
    </font>
    <font>
      <b/>
      <sz val="10"/>
      <color theme="1"/>
      <name val="B Traffic"/>
      <charset val="178"/>
    </font>
    <font>
      <b/>
      <sz val="9"/>
      <color theme="1"/>
      <name val="B Traffic"/>
      <charset val="178"/>
    </font>
    <font>
      <b/>
      <sz val="8"/>
      <color theme="1"/>
      <name val="B Traffic"/>
      <charset val="178"/>
    </font>
    <font>
      <b/>
      <sz val="6"/>
      <color rgb="FFFF0000"/>
      <name val="Times New Roman"/>
      <family val="1"/>
    </font>
    <font>
      <b/>
      <sz val="5"/>
      <color theme="1"/>
      <name val="B Traffic"/>
      <charset val="178"/>
    </font>
    <font>
      <b/>
      <u/>
      <sz val="8"/>
      <color theme="1"/>
      <name val="B Traffic"/>
      <charset val="178"/>
    </font>
    <font>
      <b/>
      <sz val="12"/>
      <color theme="0" tint="-0.34998626667073579"/>
      <name val="B Nazanin"/>
      <charset val="178"/>
    </font>
    <font>
      <sz val="13"/>
      <color theme="0" tint="-0.34998626667073579"/>
      <name val="Times New Roman"/>
      <family val="1"/>
    </font>
    <font>
      <sz val="14"/>
      <color theme="0" tint="-0.34998626667073579"/>
      <name val="Times New Roman"/>
      <family val="1"/>
    </font>
    <font>
      <sz val="14"/>
      <color theme="0" tint="-0.34998626667073579"/>
      <name val="B Nazanin"/>
      <charset val="178"/>
    </font>
    <font>
      <b/>
      <sz val="10"/>
      <color theme="0"/>
      <name val="B Nazanin"/>
      <charset val="178"/>
    </font>
    <font>
      <sz val="12"/>
      <color theme="1"/>
      <name val="Calibri"/>
      <family val="2"/>
      <charset val="178"/>
      <scheme val="minor"/>
    </font>
    <font>
      <sz val="10"/>
      <color theme="1"/>
      <name val="Calibri"/>
      <family val="2"/>
    </font>
    <font>
      <b/>
      <sz val="16"/>
      <color rgb="FFFF0000"/>
      <name val="Calibri"/>
      <family val="2"/>
      <scheme val="minor"/>
    </font>
    <font>
      <sz val="10"/>
      <name val="Arial"/>
      <family val="2"/>
    </font>
    <font>
      <b/>
      <sz val="16"/>
      <color theme="1"/>
      <name val="B Titr"/>
      <charset val="178"/>
    </font>
    <font>
      <sz val="11"/>
      <color theme="1"/>
      <name val="Calibri"/>
      <family val="2"/>
    </font>
    <font>
      <sz val="14"/>
      <color theme="1"/>
      <name val="Calibri"/>
      <family val="2"/>
      <charset val="178"/>
      <scheme val="minor"/>
    </font>
    <font>
      <sz val="12"/>
      <color theme="1"/>
      <name val="Times New Roman"/>
      <family val="1"/>
    </font>
    <font>
      <b/>
      <sz val="14"/>
      <color theme="1"/>
      <name val="Calibri"/>
      <family val="2"/>
      <scheme val="minor"/>
    </font>
    <font>
      <b/>
      <sz val="16"/>
      <color theme="1"/>
      <name val="B Nazanin"/>
      <charset val="178"/>
    </font>
    <font>
      <b/>
      <sz val="9"/>
      <color theme="1"/>
      <name val="Times New Roman"/>
      <family val="1"/>
    </font>
    <font>
      <b/>
      <vertAlign val="subscript"/>
      <sz val="9"/>
      <color theme="1"/>
      <name val="Times New Roman"/>
      <family val="1"/>
    </font>
    <font>
      <b/>
      <vertAlign val="subscript"/>
      <sz val="10"/>
      <color theme="1"/>
      <name val="Times New Roman"/>
      <family val="1"/>
    </font>
    <font>
      <sz val="11"/>
      <color rgb="FFFF0000"/>
      <name val="Times New Roman"/>
      <family val="1"/>
    </font>
    <font>
      <sz val="11"/>
      <color rgb="FFFF0000"/>
      <name val="B Nazanin"/>
      <charset val="178"/>
    </font>
    <font>
      <b/>
      <sz val="10"/>
      <color theme="1"/>
      <name val="Webdings"/>
      <family val="1"/>
      <charset val="2"/>
    </font>
    <font>
      <sz val="9"/>
      <color indexed="81"/>
      <name val="Tahoma"/>
      <family val="2"/>
    </font>
    <font>
      <b/>
      <sz val="9"/>
      <color indexed="81"/>
      <name val="Tahoma"/>
      <family val="2"/>
    </font>
    <font>
      <sz val="11"/>
      <color theme="0"/>
      <name val="Times New Roman"/>
      <family val="1"/>
    </font>
    <font>
      <b/>
      <sz val="5"/>
      <color rgb="FFFF0000"/>
      <name val="Times New Roman"/>
      <family val="1"/>
    </font>
    <font>
      <sz val="5"/>
      <color theme="1"/>
      <name val="Calibri"/>
      <family val="2"/>
      <charset val="178"/>
      <scheme val="minor"/>
    </font>
    <font>
      <sz val="5"/>
      <color theme="1"/>
      <name val="B Nazanin"/>
      <charset val="178"/>
    </font>
    <font>
      <sz val="5"/>
      <color theme="1"/>
      <name val="Times New Roman"/>
      <family val="1"/>
    </font>
    <font>
      <b/>
      <sz val="5"/>
      <color theme="1"/>
      <name val="B Nazanin"/>
      <charset val="178"/>
    </font>
    <font>
      <sz val="8"/>
      <color theme="1"/>
      <name val="B Traffic"/>
      <charset val="178"/>
    </font>
    <font>
      <b/>
      <sz val="12"/>
      <color theme="0"/>
      <name val="B Nazanin"/>
      <charset val="178"/>
    </font>
    <font>
      <sz val="9.35"/>
      <color theme="1"/>
      <name val="Calibri"/>
      <family val="2"/>
      <charset val="178"/>
    </font>
    <font>
      <sz val="11"/>
      <color rgb="FFFF0000"/>
      <name val="Calibri"/>
      <family val="2"/>
      <scheme val="minor"/>
    </font>
    <font>
      <sz val="11"/>
      <color rgb="FF00B050"/>
      <name val="Calibri"/>
      <family val="2"/>
      <charset val="178"/>
      <scheme val="minor"/>
    </font>
    <font>
      <sz val="9"/>
      <color theme="1"/>
      <name val="Calibri"/>
      <family val="2"/>
      <charset val="178"/>
      <scheme val="minor"/>
    </font>
    <font>
      <sz val="11"/>
      <color theme="1"/>
      <name val="B Titr"/>
      <charset val="178"/>
    </font>
    <font>
      <sz val="11"/>
      <color rgb="FFFF0000"/>
      <name val="Calibri"/>
      <family val="2"/>
      <charset val="178"/>
      <scheme val="minor"/>
    </font>
    <font>
      <b/>
      <sz val="12"/>
      <color theme="1"/>
      <name val="B Traffic"/>
      <charset val="178"/>
    </font>
    <font>
      <b/>
      <sz val="11"/>
      <color theme="1"/>
      <name val="B Traffic"/>
      <charset val="178"/>
    </font>
    <font>
      <sz val="12"/>
      <color rgb="FFFF0000"/>
      <name val="Webdings"/>
      <family val="1"/>
      <charset val="2"/>
    </font>
    <font>
      <sz val="11"/>
      <color theme="2" tint="-9.9978637043366805E-2"/>
      <name val="Calibri"/>
      <family val="2"/>
      <charset val="178"/>
      <scheme val="minor"/>
    </font>
    <font>
      <u/>
      <sz val="11"/>
      <color theme="10"/>
      <name val="Calibri"/>
      <family val="2"/>
      <charset val="178"/>
      <scheme val="minor"/>
    </font>
    <font>
      <vertAlign val="subscript"/>
      <sz val="11"/>
      <color theme="0" tint="-0.34998626667073579"/>
      <name val="Calibri"/>
      <family val="2"/>
      <charset val="178"/>
      <scheme val="minor"/>
    </font>
    <font>
      <b/>
      <sz val="11"/>
      <color theme="0" tint="-0.34998626667073579"/>
      <name val="Calibri"/>
      <family val="2"/>
      <charset val="178"/>
      <scheme val="minor"/>
    </font>
    <font>
      <vertAlign val="subscript"/>
      <sz val="13"/>
      <color theme="1"/>
      <name val="Times New Roman"/>
      <family val="1"/>
    </font>
    <font>
      <b/>
      <sz val="10"/>
      <color rgb="FFFF0000"/>
      <name val="B Nazanin"/>
      <charset val="178"/>
    </font>
    <font>
      <vertAlign val="subscript"/>
      <sz val="11"/>
      <color theme="1"/>
      <name val="Times New Roman"/>
      <family val="1"/>
    </font>
    <font>
      <sz val="13"/>
      <color theme="1"/>
      <name val="Calibri"/>
      <family val="2"/>
      <scheme val="minor"/>
    </font>
    <font>
      <b/>
      <sz val="14"/>
      <color theme="8" tint="-0.249977111117893"/>
      <name val="B Nazanin"/>
      <charset val="178"/>
    </font>
    <font>
      <b/>
      <sz val="12"/>
      <color theme="8" tint="-0.249977111117893"/>
      <name val="B Nazanin"/>
      <charset val="178"/>
    </font>
    <font>
      <b/>
      <sz val="11"/>
      <color theme="8" tint="-0.249977111117893"/>
      <name val="B Nazanin"/>
      <charset val="178"/>
    </font>
    <font>
      <sz val="14"/>
      <color theme="1"/>
      <name val="Calibri"/>
      <family val="2"/>
    </font>
    <font>
      <sz val="11.9"/>
      <color theme="1"/>
      <name val="Times New Roman"/>
      <family val="1"/>
    </font>
    <font>
      <sz val="5"/>
      <color theme="0" tint="-0.34998626667073579"/>
      <name val="Calibri"/>
      <family val="2"/>
      <charset val="178"/>
      <scheme val="minor"/>
    </font>
    <font>
      <b/>
      <sz val="13"/>
      <color theme="1"/>
      <name val="B Nazanin"/>
      <charset val="178"/>
    </font>
    <font>
      <sz val="1"/>
      <color theme="1"/>
      <name val="B Nazanin"/>
      <charset val="178"/>
    </font>
    <font>
      <sz val="9"/>
      <color theme="1"/>
      <name val="B Nazanin"/>
      <charset val="178"/>
    </font>
    <font>
      <sz val="10"/>
      <color theme="1"/>
      <name val="B Nazanin"/>
      <charset val="178"/>
    </font>
    <font>
      <sz val="11.5"/>
      <color theme="1"/>
      <name val="B Nazanin"/>
      <charset val="178"/>
    </font>
    <font>
      <sz val="11.5"/>
      <color theme="1"/>
      <name val="Times New Roman"/>
      <family val="1"/>
    </font>
    <font>
      <b/>
      <sz val="13"/>
      <color theme="1"/>
      <name val="Times New Roman"/>
      <family val="1"/>
    </font>
    <font>
      <i/>
      <sz val="11.5"/>
      <color theme="1"/>
      <name val="B Nazanin"/>
      <charset val="178"/>
    </font>
    <font>
      <b/>
      <sz val="12"/>
      <name val="B Nazanin"/>
      <charset val="178"/>
    </font>
    <font>
      <b/>
      <sz val="14"/>
      <color rgb="FFFF0000"/>
      <name val="Calibri"/>
      <family val="2"/>
      <scheme val="minor"/>
    </font>
    <font>
      <b/>
      <sz val="9"/>
      <color theme="1"/>
      <name val="B Titr"/>
      <charset val="178"/>
    </font>
    <font>
      <sz val="10"/>
      <color theme="1"/>
      <name val="Calibri"/>
      <family val="2"/>
      <charset val="178"/>
      <scheme val="minor"/>
    </font>
    <font>
      <b/>
      <sz val="10"/>
      <color theme="1"/>
      <name val="Calibri"/>
      <family val="2"/>
      <scheme val="minor"/>
    </font>
    <font>
      <sz val="8"/>
      <color theme="1"/>
      <name val="Calibri"/>
      <family val="2"/>
      <scheme val="minor"/>
    </font>
    <font>
      <sz val="10"/>
      <color rgb="FF9D9D9D"/>
      <name val="Calibri"/>
      <family val="2"/>
      <charset val="178"/>
      <scheme val="minor"/>
    </font>
    <font>
      <sz val="10"/>
      <color rgb="FFFF0000"/>
      <name val="Calibri"/>
      <family val="2"/>
      <charset val="178"/>
      <scheme val="minor"/>
    </font>
    <font>
      <b/>
      <sz val="10"/>
      <color rgb="FFFF0000"/>
      <name val="Calibri"/>
      <family val="2"/>
      <scheme val="minor"/>
    </font>
    <font>
      <b/>
      <sz val="8"/>
      <name val="B Traffic"/>
      <charset val="178"/>
    </font>
    <font>
      <sz val="16"/>
      <color theme="1"/>
      <name val="B Titr"/>
      <charset val="178"/>
    </font>
    <font>
      <b/>
      <sz val="10"/>
      <name val="B Nazanin"/>
      <charset val="178"/>
    </font>
    <font>
      <b/>
      <sz val="8"/>
      <color theme="0"/>
      <name val="B Traffic"/>
      <charset val="178"/>
    </font>
    <font>
      <b/>
      <sz val="12"/>
      <color theme="0"/>
      <name val="Times New Roman"/>
      <family val="1"/>
    </font>
    <font>
      <sz val="9"/>
      <color theme="1"/>
      <name val="Times New Roman"/>
      <family val="1"/>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0.249977111117893"/>
        <bgColor indexed="64"/>
      </patternFill>
    </fill>
    <fill>
      <gradientFill degree="90">
        <stop position="0">
          <color theme="0"/>
        </stop>
        <stop position="1">
          <color rgb="FF786F44"/>
        </stop>
      </gradientFill>
    </fill>
    <fill>
      <patternFill patternType="solid">
        <fgColor rgb="FFE6E6E6"/>
        <bgColor indexed="64"/>
      </patternFill>
    </fill>
    <fill>
      <patternFill patternType="solid">
        <fgColor theme="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right/>
      <top style="thin">
        <color theme="0"/>
      </top>
      <bottom style="thin">
        <color theme="0"/>
      </bottom>
      <diagonal/>
    </border>
    <border>
      <left/>
      <right style="thin">
        <color theme="0"/>
      </right>
      <top style="thin">
        <color theme="0"/>
      </top>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0"/>
      </left>
      <right/>
      <top/>
      <bottom/>
      <diagonal/>
    </border>
    <border>
      <left style="thin">
        <color theme="0"/>
      </left>
      <right/>
      <top/>
      <bottom style="thin">
        <color theme="0"/>
      </bottom>
      <diagonal/>
    </border>
    <border>
      <left style="thin">
        <color theme="1"/>
      </left>
      <right/>
      <top style="thin">
        <color theme="1"/>
      </top>
      <bottom style="thin">
        <color theme="1"/>
      </bottom>
      <diagonal/>
    </border>
    <border>
      <left/>
      <right style="thin">
        <color theme="0"/>
      </right>
      <top/>
      <bottom/>
      <diagonal/>
    </border>
    <border>
      <left style="thin">
        <color theme="1"/>
      </left>
      <right style="thin">
        <color theme="1"/>
      </right>
      <top/>
      <bottom style="thin">
        <color theme="1"/>
      </bottom>
      <diagonal/>
    </border>
    <border>
      <left/>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rgb="FFFFFF00"/>
      </left>
      <right style="thin">
        <color rgb="FFFFFF00"/>
      </right>
      <top style="thin">
        <color rgb="FFFFFF00"/>
      </top>
      <bottom style="thin">
        <color rgb="FFFFFF00"/>
      </bottom>
      <diagonal/>
    </border>
    <border>
      <left/>
      <right/>
      <top/>
      <bottom style="thin">
        <color theme="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top style="thin">
        <color indexed="64"/>
      </top>
      <bottom style="thin">
        <color indexed="64"/>
      </bottom>
      <diagonal/>
    </border>
    <border>
      <left/>
      <right style="thin">
        <color rgb="FFFFFF00"/>
      </right>
      <top style="thin">
        <color rgb="FFFFFF00"/>
      </top>
      <bottom style="thin">
        <color rgb="FFFFFF00"/>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theme="0" tint="-0.34998626667073579"/>
      </right>
      <top style="thin">
        <color theme="0" tint="-0.34998626667073579"/>
      </top>
      <bottom style="thin">
        <color theme="0" tint="-0.34998626667073579"/>
      </bottom>
      <diagonal/>
    </border>
    <border>
      <left/>
      <right/>
      <top/>
      <bottom style="thin">
        <color theme="0"/>
      </bottom>
      <diagonal/>
    </border>
    <border>
      <left/>
      <right/>
      <top style="thin">
        <color theme="0"/>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right style="thin">
        <color theme="2" tint="-9.9978637043366805E-2"/>
      </right>
      <top/>
      <bottom/>
      <diagonal/>
    </border>
    <border>
      <left/>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style="thin">
        <color theme="2" tint="-9.9978637043366805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4" fillId="0" borderId="0" applyFont="0" applyFill="0" applyBorder="0" applyAlignment="0" applyProtection="0"/>
    <xf numFmtId="43" fontId="4" fillId="0" borderId="0" applyFont="0" applyFill="0" applyBorder="0" applyAlignment="0" applyProtection="0"/>
    <xf numFmtId="0" fontId="53" fillId="0" borderId="0"/>
    <xf numFmtId="0" fontId="86" fillId="0" borderId="0" applyNumberFormat="0" applyFill="0" applyBorder="0" applyAlignment="0" applyProtection="0"/>
  </cellStyleXfs>
  <cellXfs count="1041">
    <xf numFmtId="0" fontId="0" fillId="0" borderId="0" xfId="0"/>
    <xf numFmtId="0" fontId="10" fillId="0" borderId="0" xfId="0" applyFont="1"/>
    <xf numFmtId="0" fontId="14"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xf>
    <xf numFmtId="0" fontId="8" fillId="0" borderId="0" xfId="0" applyFont="1" applyAlignment="1">
      <alignment vertical="center"/>
    </xf>
    <xf numFmtId="0" fontId="30" fillId="0" borderId="0" xfId="0" applyFont="1" applyAlignment="1">
      <alignment horizontal="center"/>
    </xf>
    <xf numFmtId="0" fontId="7" fillId="0" borderId="0" xfId="0" applyFont="1" applyAlignment="1">
      <alignment horizontal="center"/>
    </xf>
    <xf numFmtId="0" fontId="8" fillId="0" borderId="10" xfId="0" applyFont="1" applyBorder="1" applyAlignment="1">
      <alignment vertical="center"/>
    </xf>
    <xf numFmtId="0" fontId="8" fillId="0" borderId="0"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36" fillId="0" borderId="0" xfId="0" applyFont="1"/>
    <xf numFmtId="0" fontId="18" fillId="0" borderId="0" xfId="0" applyFont="1"/>
    <xf numFmtId="0" fontId="9" fillId="0" borderId="0" xfId="0" applyFont="1" applyBorder="1" applyAlignment="1">
      <alignment vertical="center"/>
    </xf>
    <xf numFmtId="0" fontId="0" fillId="0" borderId="40" xfId="0" applyBorder="1" applyAlignment="1">
      <alignment horizontal="center" vertical="center"/>
    </xf>
    <xf numFmtId="0" fontId="41" fillId="0" borderId="8" xfId="0" applyFont="1" applyBorder="1" applyAlignment="1">
      <alignment horizontal="right" vertical="center"/>
    </xf>
    <xf numFmtId="0" fontId="41" fillId="0" borderId="0" xfId="0" applyFont="1" applyBorder="1" applyAlignment="1">
      <alignment horizontal="right" vertical="center"/>
    </xf>
    <xf numFmtId="0" fontId="0" fillId="0" borderId="0" xfId="0" applyBorder="1" applyAlignment="1">
      <alignment horizontal="center"/>
    </xf>
    <xf numFmtId="0" fontId="0" fillId="0" borderId="0" xfId="0" applyBorder="1"/>
    <xf numFmtId="0" fontId="41" fillId="0" borderId="0" xfId="0" applyFont="1" applyBorder="1" applyAlignment="1">
      <alignment vertical="center"/>
    </xf>
    <xf numFmtId="0" fontId="41" fillId="0" borderId="38" xfId="0" applyFont="1" applyBorder="1" applyAlignment="1">
      <alignment horizontal="right" vertical="center"/>
    </xf>
    <xf numFmtId="0" fontId="0" fillId="0" borderId="42" xfId="0" applyBorder="1"/>
    <xf numFmtId="0" fontId="42" fillId="0" borderId="13" xfId="0" applyFont="1" applyBorder="1" applyAlignment="1">
      <alignment horizontal="center" vertical="center"/>
    </xf>
    <xf numFmtId="0" fontId="42" fillId="0" borderId="0" xfId="0" applyFont="1" applyBorder="1" applyAlignment="1">
      <alignment horizontal="center" vertical="center"/>
    </xf>
    <xf numFmtId="0" fontId="43" fillId="0" borderId="8" xfId="0" applyFont="1" applyBorder="1" applyAlignment="1">
      <alignment horizontal="right" vertical="center"/>
    </xf>
    <xf numFmtId="0" fontId="41" fillId="0" borderId="13" xfId="0" applyFont="1" applyBorder="1" applyAlignment="1">
      <alignment vertical="center"/>
    </xf>
    <xf numFmtId="0" fontId="41" fillId="0" borderId="14" xfId="0" applyFont="1" applyBorder="1" applyAlignment="1">
      <alignment vertical="center"/>
    </xf>
    <xf numFmtId="0" fontId="41" fillId="0" borderId="4" xfId="0" applyFont="1" applyBorder="1" applyAlignment="1">
      <alignment vertical="center"/>
    </xf>
    <xf numFmtId="0" fontId="5" fillId="0" borderId="19"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10" fillId="0" borderId="0" xfId="0" applyFont="1" applyBorder="1"/>
    <xf numFmtId="0" fontId="36" fillId="0" borderId="0" xfId="0" applyFont="1" applyBorder="1"/>
    <xf numFmtId="0" fontId="0" fillId="0" borderId="18" xfId="0" applyFont="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165" fontId="0" fillId="0" borderId="15" xfId="0" applyNumberFormat="1" applyFont="1" applyBorder="1" applyAlignment="1" applyProtection="1">
      <alignment horizontal="center" vertical="center"/>
      <protection locked="0"/>
    </xf>
    <xf numFmtId="0" fontId="0" fillId="0" borderId="15" xfId="0" applyFont="1" applyBorder="1" applyProtection="1">
      <protection locked="0"/>
    </xf>
    <xf numFmtId="2" fontId="0" fillId="0" borderId="15" xfId="0" applyNumberFormat="1"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17"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168" fontId="0" fillId="0" borderId="1" xfId="2" applyNumberFormat="1" applyFont="1" applyBorder="1" applyAlignment="1" applyProtection="1">
      <alignment horizontal="center" vertical="center"/>
      <protection locked="0"/>
    </xf>
    <xf numFmtId="2" fontId="0" fillId="0" borderId="1" xfId="0" applyNumberFormat="1" applyFont="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0" fontId="0" fillId="0" borderId="19" xfId="0" applyFont="1" applyBorder="1" applyAlignment="1" applyProtection="1">
      <alignment horizontal="right" vertical="center"/>
      <protection locked="0"/>
    </xf>
    <xf numFmtId="0" fontId="0" fillId="0" borderId="25" xfId="0" applyFont="1" applyBorder="1" applyAlignment="1" applyProtection="1">
      <alignment horizontal="center" vertical="center"/>
      <protection hidden="1"/>
    </xf>
    <xf numFmtId="0" fontId="0" fillId="0" borderId="19" xfId="0" applyFont="1" applyBorder="1" applyAlignment="1" applyProtection="1">
      <alignment horizontal="center" vertical="center"/>
      <protection hidden="1"/>
    </xf>
    <xf numFmtId="0" fontId="0" fillId="0" borderId="15" xfId="0" applyFont="1" applyBorder="1" applyAlignment="1" applyProtection="1">
      <alignment horizontal="center" vertical="center"/>
      <protection hidden="1"/>
    </xf>
    <xf numFmtId="0" fontId="0" fillId="0" borderId="15" xfId="0" applyFont="1" applyBorder="1" applyProtection="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9" fillId="4" borderId="17" xfId="0" applyFont="1" applyFill="1" applyBorder="1" applyAlignment="1" applyProtection="1">
      <alignment horizontal="center" vertical="center"/>
      <protection hidden="1"/>
    </xf>
    <xf numFmtId="0" fontId="21" fillId="4" borderId="17" xfId="0" applyFont="1" applyFill="1" applyBorder="1" applyAlignment="1" applyProtection="1">
      <alignment horizontal="center" vertical="center"/>
      <protection hidden="1"/>
    </xf>
    <xf numFmtId="0" fontId="25" fillId="4" borderId="17" xfId="0" applyFont="1" applyFill="1" applyBorder="1" applyAlignment="1" applyProtection="1">
      <alignment horizontal="center" vertical="center"/>
      <protection hidden="1"/>
    </xf>
    <xf numFmtId="0" fontId="51" fillId="0" borderId="0" xfId="0" applyFont="1" applyAlignment="1">
      <alignment horizontal="center"/>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8" fillId="0" borderId="0"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0" xfId="0" applyFont="1" applyBorder="1" applyAlignment="1" applyProtection="1">
      <alignment vertical="center"/>
      <protection locked="0"/>
    </xf>
    <xf numFmtId="0" fontId="41" fillId="0" borderId="43" xfId="0" applyFont="1" applyBorder="1" applyAlignment="1" applyProtection="1">
      <alignment horizontal="right" vertical="center"/>
      <protection locked="0"/>
    </xf>
    <xf numFmtId="0" fontId="41" fillId="0" borderId="41" xfId="0" applyFont="1" applyBorder="1" applyAlignment="1" applyProtection="1">
      <alignment horizontal="right" vertical="center"/>
      <protection locked="0"/>
    </xf>
    <xf numFmtId="0" fontId="41" fillId="0" borderId="45" xfId="0" applyFont="1" applyBorder="1" applyAlignment="1" applyProtection="1">
      <alignment horizontal="right" vertical="center"/>
      <protection locked="0"/>
    </xf>
    <xf numFmtId="0" fontId="41" fillId="0" borderId="11" xfId="0" applyFont="1" applyBorder="1" applyAlignment="1" applyProtection="1">
      <alignment horizontal="right" vertical="center"/>
      <protection locked="0"/>
    </xf>
    <xf numFmtId="0" fontId="41" fillId="0" borderId="8" xfId="0" applyFont="1" applyBorder="1" applyAlignment="1" applyProtection="1">
      <alignment vertical="center"/>
      <protection locked="0"/>
    </xf>
    <xf numFmtId="0" fontId="41" fillId="0" borderId="9" xfId="0" applyFont="1" applyBorder="1" applyAlignment="1" applyProtection="1">
      <alignment vertical="center"/>
      <protection locked="0"/>
    </xf>
    <xf numFmtId="0" fontId="41" fillId="0" borderId="11" xfId="0" applyFont="1" applyBorder="1" applyAlignment="1" applyProtection="1">
      <alignment vertical="center"/>
      <protection locked="0"/>
    </xf>
    <xf numFmtId="0" fontId="8" fillId="0" borderId="0" xfId="0" applyFont="1" applyAlignment="1" applyProtection="1">
      <alignment vertical="center"/>
      <protection locked="0"/>
    </xf>
    <xf numFmtId="0" fontId="52" fillId="0" borderId="40" xfId="0" applyFont="1" applyBorder="1" applyAlignment="1" applyProtection="1">
      <alignment horizontal="center" vertical="center"/>
      <protection locked="0"/>
    </xf>
    <xf numFmtId="0" fontId="40" fillId="0" borderId="8" xfId="0" applyFont="1" applyBorder="1" applyAlignment="1" applyProtection="1">
      <alignment vertical="center"/>
      <protection locked="0"/>
    </xf>
    <xf numFmtId="0" fontId="40" fillId="0" borderId="9" xfId="0" applyFont="1" applyBorder="1" applyAlignment="1" applyProtection="1">
      <alignment vertical="center"/>
      <protection locked="0"/>
    </xf>
    <xf numFmtId="0" fontId="40" fillId="0" borderId="0" xfId="0" applyFont="1" applyBorder="1" applyAlignment="1" applyProtection="1">
      <alignment vertical="center"/>
      <protection locked="0"/>
    </xf>
    <xf numFmtId="0" fontId="40" fillId="0" borderId="11"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12" xfId="0" applyFont="1" applyBorder="1" applyAlignment="1">
      <alignment vertical="center"/>
    </xf>
    <xf numFmtId="0" fontId="40" fillId="0" borderId="0" xfId="0" applyFont="1" applyBorder="1" applyAlignment="1">
      <alignment horizontal="right" vertical="center"/>
    </xf>
    <xf numFmtId="0" fontId="41" fillId="0" borderId="0" xfId="0" applyFont="1" applyBorder="1" applyAlignment="1">
      <alignment horizontal="right" vertical="center"/>
    </xf>
    <xf numFmtId="0" fontId="0" fillId="0" borderId="34"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31" xfId="0" applyFont="1" applyBorder="1" applyAlignment="1" applyProtection="1">
      <alignment horizontal="center" vertical="center"/>
      <protection locked="0"/>
    </xf>
    <xf numFmtId="0" fontId="0" fillId="0" borderId="25"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vertical="center"/>
      <protection locked="0"/>
    </xf>
    <xf numFmtId="0" fontId="22" fillId="4" borderId="22" xfId="0" applyFont="1" applyFill="1" applyBorder="1" applyAlignment="1" applyProtection="1">
      <alignment horizontal="center" vertical="center"/>
      <protection hidden="1"/>
    </xf>
    <xf numFmtId="0" fontId="22" fillId="4" borderId="23"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0" fillId="0" borderId="25" xfId="0" applyFont="1" applyBorder="1" applyProtection="1">
      <protection hidden="1"/>
    </xf>
    <xf numFmtId="0" fontId="23" fillId="4" borderId="24" xfId="0" applyFont="1" applyFill="1" applyBorder="1" applyAlignment="1" applyProtection="1">
      <alignment horizontal="center" vertical="center"/>
      <protection hidden="1"/>
    </xf>
    <xf numFmtId="0" fontId="6" fillId="3" borderId="22" xfId="0" applyFont="1" applyFill="1" applyBorder="1" applyAlignment="1" applyProtection="1">
      <alignment horizontal="center" vertical="center"/>
      <protection hidden="1"/>
    </xf>
    <xf numFmtId="0" fontId="6" fillId="0" borderId="24" xfId="0" applyFont="1" applyBorder="1" applyAlignment="1" applyProtection="1">
      <alignment horizontal="center" vertical="center"/>
      <protection hidden="1"/>
    </xf>
    <xf numFmtId="0" fontId="6" fillId="0" borderId="22" xfId="0" applyFont="1" applyBorder="1" applyAlignment="1" applyProtection="1">
      <alignment horizontal="center" vertical="center"/>
      <protection hidden="1"/>
    </xf>
    <xf numFmtId="0" fontId="21" fillId="0" borderId="24" xfId="0" applyFont="1" applyBorder="1" applyAlignment="1" applyProtection="1">
      <alignment horizontal="center" vertical="center"/>
      <protection hidden="1"/>
    </xf>
    <xf numFmtId="0" fontId="0" fillId="0" borderId="19" xfId="0" applyFont="1" applyBorder="1" applyProtection="1">
      <protection hidden="1"/>
    </xf>
    <xf numFmtId="0" fontId="6" fillId="0" borderId="21" xfId="0" applyFont="1" applyBorder="1" applyAlignment="1" applyProtection="1">
      <alignment horizontal="center" vertical="center"/>
      <protection hidden="1"/>
    </xf>
    <xf numFmtId="0" fontId="0" fillId="0" borderId="31" xfId="0" applyFont="1" applyBorder="1" applyAlignment="1" applyProtection="1">
      <alignment horizontal="center" vertical="center"/>
      <protection hidden="1"/>
    </xf>
    <xf numFmtId="2" fontId="0" fillId="0" borderId="15" xfId="0" applyNumberFormat="1" applyFont="1" applyBorder="1" applyAlignment="1" applyProtection="1">
      <alignment horizontal="center" vertical="center"/>
      <protection hidden="1"/>
    </xf>
    <xf numFmtId="2" fontId="0" fillId="0" borderId="19" xfId="0" applyNumberFormat="1" applyFont="1" applyBorder="1" applyAlignment="1" applyProtection="1">
      <alignment horizontal="center" vertical="center"/>
      <protection hidden="1"/>
    </xf>
    <xf numFmtId="164" fontId="0" fillId="0" borderId="19" xfId="0" applyNumberFormat="1" applyFont="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21" fillId="0" borderId="16" xfId="0" applyFont="1" applyFill="1" applyBorder="1" applyAlignment="1" applyProtection="1">
      <alignment horizontal="center" vertical="center"/>
      <protection hidden="1"/>
    </xf>
    <xf numFmtId="164" fontId="0" fillId="0" borderId="25" xfId="0" applyNumberFormat="1"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21" fillId="0" borderId="15" xfId="0" applyFont="1" applyFill="1" applyBorder="1" applyAlignment="1" applyProtection="1">
      <alignment horizontal="center" vertical="center"/>
      <protection hidden="1"/>
    </xf>
    <xf numFmtId="2" fontId="0" fillId="0" borderId="25" xfId="0" applyNumberFormat="1" applyFont="1" applyBorder="1" applyAlignment="1" applyProtection="1">
      <alignment horizontal="center" vertical="center"/>
      <protection hidden="1"/>
    </xf>
    <xf numFmtId="0" fontId="21" fillId="4" borderId="1" xfId="0" applyFont="1" applyFill="1" applyBorder="1" applyAlignment="1" applyProtection="1">
      <alignment horizontal="center" vertical="center"/>
      <protection hidden="1"/>
    </xf>
    <xf numFmtId="0" fontId="24" fillId="4" borderId="17" xfId="0" applyFont="1" applyFill="1" applyBorder="1" applyAlignment="1" applyProtection="1">
      <alignment horizontal="center" vertical="center"/>
      <protection hidden="1"/>
    </xf>
    <xf numFmtId="0" fontId="0" fillId="0" borderId="16" xfId="0" applyFont="1" applyBorder="1" applyAlignment="1" applyProtection="1">
      <alignment horizontal="center" vertical="center"/>
      <protection hidden="1"/>
    </xf>
    <xf numFmtId="0" fontId="0" fillId="0" borderId="32" xfId="0" applyFont="1" applyBorder="1" applyAlignment="1" applyProtection="1">
      <alignment horizontal="center" vertical="center"/>
      <protection hidden="1"/>
    </xf>
    <xf numFmtId="0" fontId="0" fillId="0" borderId="0" xfId="0" applyFont="1" applyProtection="1">
      <protection hidden="1"/>
    </xf>
    <xf numFmtId="0" fontId="0" fillId="0" borderId="0" xfId="0" applyFont="1"/>
    <xf numFmtId="0" fontId="11" fillId="0" borderId="0" xfId="0" applyFont="1" applyFill="1" applyBorder="1" applyAlignment="1" applyProtection="1">
      <alignment horizontal="center" vertical="center"/>
      <protection hidden="1"/>
    </xf>
    <xf numFmtId="0" fontId="28"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horizontal="right" vertical="center"/>
      <protection hidden="1"/>
    </xf>
    <xf numFmtId="0" fontId="3" fillId="0" borderId="46" xfId="0" applyFont="1" applyBorder="1" applyProtection="1">
      <protection hidden="1"/>
    </xf>
    <xf numFmtId="0" fontId="6" fillId="0" borderId="0"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1" fillId="0" borderId="0" xfId="0" applyFont="1"/>
    <xf numFmtId="0" fontId="64" fillId="0" borderId="22" xfId="0" applyFont="1" applyBorder="1" applyAlignment="1" applyProtection="1">
      <alignment horizontal="center" vertical="center"/>
      <protection hidden="1"/>
    </xf>
    <xf numFmtId="0" fontId="63" fillId="0" borderId="24" xfId="0" applyFont="1" applyBorder="1" applyAlignment="1" applyProtection="1">
      <alignment horizontal="center" vertical="center"/>
      <protection hidden="1"/>
    </xf>
    <xf numFmtId="0" fontId="6" fillId="0" borderId="22" xfId="0" applyFont="1" applyBorder="1" applyAlignment="1" applyProtection="1">
      <alignment horizontal="right" vertical="center"/>
      <protection hidden="1"/>
    </xf>
    <xf numFmtId="0" fontId="0" fillId="0" borderId="26" xfId="0" applyFont="1" applyFill="1" applyBorder="1" applyAlignment="1" applyProtection="1">
      <alignment horizontal="center" vertical="center"/>
      <protection hidden="1"/>
    </xf>
    <xf numFmtId="0" fontId="0" fillId="0" borderId="20" xfId="0" applyFont="1" applyFill="1" applyBorder="1" applyAlignment="1" applyProtection="1">
      <alignment horizontal="center" vertical="center"/>
      <protection hidden="1"/>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25" xfId="0" applyBorder="1" applyAlignment="1">
      <alignment horizontal="center" vertical="center"/>
    </xf>
    <xf numFmtId="0" fontId="13" fillId="0"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2" fontId="29" fillId="0" borderId="1" xfId="0" applyNumberFormat="1" applyFont="1" applyFill="1" applyBorder="1" applyAlignment="1" applyProtection="1">
      <alignment horizontal="center" vertical="center"/>
      <protection hidden="1"/>
    </xf>
    <xf numFmtId="0" fontId="20" fillId="0" borderId="1" xfId="0" quotePrefix="1"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2" fontId="13" fillId="0" borderId="1" xfId="0" applyNumberFormat="1" applyFont="1" applyFill="1" applyBorder="1" applyAlignment="1" applyProtection="1">
      <alignment horizontal="center" vertical="center"/>
      <protection hidden="1"/>
    </xf>
    <xf numFmtId="0" fontId="0" fillId="0" borderId="0" xfId="0" applyFont="1" applyAlignment="1" applyProtection="1">
      <alignment horizontal="center" vertical="center"/>
      <protection hidden="1"/>
    </xf>
    <xf numFmtId="0" fontId="14" fillId="0" borderId="0" xfId="0" applyFont="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55"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readingOrder="1"/>
      <protection hidden="1"/>
    </xf>
    <xf numFmtId="0" fontId="3" fillId="0" borderId="0" xfId="0" applyFont="1" applyFill="1" applyBorder="1" applyAlignment="1" applyProtection="1">
      <alignment horizontal="center" vertical="center" readingOrder="1"/>
      <protection hidden="1"/>
    </xf>
    <xf numFmtId="0" fontId="6" fillId="0" borderId="0"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readingOrder="2"/>
      <protection hidden="1"/>
    </xf>
    <xf numFmtId="0" fontId="0" fillId="0" borderId="0" xfId="0" applyAlignment="1">
      <alignment horizontal="center" vertical="center"/>
    </xf>
    <xf numFmtId="0" fontId="0" fillId="0" borderId="0" xfId="0" applyFont="1" applyAlignment="1" applyProtection="1">
      <alignment horizontal="center"/>
      <protection hidden="1"/>
    </xf>
    <xf numFmtId="168" fontId="0" fillId="0" borderId="0" xfId="2" applyNumberFormat="1" applyFont="1" applyBorder="1" applyAlignment="1" applyProtection="1">
      <alignment horizontal="center" vertical="center"/>
      <protection hidden="1"/>
    </xf>
    <xf numFmtId="0" fontId="23" fillId="0" borderId="0" xfId="0" applyFont="1" applyBorder="1" applyAlignment="1" applyProtection="1">
      <alignment horizontal="center" vertical="center"/>
      <protection locked="0"/>
    </xf>
    <xf numFmtId="0" fontId="40" fillId="0" borderId="0" xfId="0" applyFont="1" applyBorder="1" applyAlignment="1">
      <alignment horizontal="right" vertical="center"/>
    </xf>
    <xf numFmtId="0" fontId="68" fillId="0" borderId="21" xfId="0" applyFont="1" applyBorder="1" applyAlignment="1" applyProtection="1">
      <alignment horizontal="center" vertical="center"/>
      <protection hidden="1"/>
    </xf>
    <xf numFmtId="14" fontId="24" fillId="0" borderId="0" xfId="0" applyNumberFormat="1" applyFont="1" applyBorder="1" applyAlignment="1" applyProtection="1">
      <alignment horizontal="center" vertical="center" readingOrder="1"/>
      <protection locked="0"/>
    </xf>
    <xf numFmtId="0" fontId="0" fillId="0" borderId="0" xfId="0" applyBorder="1" applyProtection="1">
      <protection locked="0"/>
    </xf>
    <xf numFmtId="0" fontId="6" fillId="3" borderId="0"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1" fillId="0" borderId="0" xfId="0" applyFont="1" applyBorder="1" applyProtection="1">
      <protection locked="0"/>
    </xf>
    <xf numFmtId="0" fontId="23" fillId="4" borderId="0" xfId="0" applyFont="1" applyFill="1" applyBorder="1" applyAlignment="1" applyProtection="1">
      <alignment horizontal="center" vertical="center"/>
      <protection locked="0"/>
    </xf>
    <xf numFmtId="0" fontId="21" fillId="0" borderId="0" xfId="0" applyFont="1" applyBorder="1"/>
    <xf numFmtId="0" fontId="40" fillId="0" borderId="4" xfId="0" applyFont="1" applyBorder="1" applyAlignment="1">
      <alignment horizontal="center" vertical="center"/>
    </xf>
    <xf numFmtId="0" fontId="21" fillId="0" borderId="0" xfId="0" applyFont="1" applyBorder="1" applyAlignment="1" applyProtection="1">
      <alignment horizontal="center" vertical="center"/>
      <protection hidden="1"/>
    </xf>
    <xf numFmtId="0" fontId="24" fillId="0" borderId="0" xfId="0" applyFont="1" applyBorder="1" applyAlignment="1" applyProtection="1">
      <alignment horizontal="center" vertical="center" readingOrder="2"/>
      <protection locked="0"/>
    </xf>
    <xf numFmtId="0" fontId="69" fillId="0" borderId="0" xfId="0" applyFont="1" applyBorder="1" applyAlignment="1">
      <alignment horizontal="center" vertical="center"/>
    </xf>
    <xf numFmtId="0" fontId="70" fillId="0" borderId="0" xfId="0" applyFont="1"/>
    <xf numFmtId="0" fontId="71" fillId="3" borderId="0" xfId="0" applyFont="1" applyFill="1" applyBorder="1" applyAlignment="1" applyProtection="1">
      <alignment horizontal="center" vertical="center"/>
      <protection locked="0"/>
    </xf>
    <xf numFmtId="0" fontId="72" fillId="0" borderId="0" xfId="0" applyFont="1" applyBorder="1" applyAlignment="1" applyProtection="1">
      <alignment horizontal="center" vertical="center"/>
      <protection hidden="1"/>
    </xf>
    <xf numFmtId="0" fontId="70" fillId="0" borderId="0" xfId="0" applyFont="1" applyBorder="1" applyProtection="1">
      <protection locked="0"/>
    </xf>
    <xf numFmtId="0" fontId="73" fillId="4" borderId="0" xfId="0" applyFont="1" applyFill="1" applyBorder="1" applyAlignment="1" applyProtection="1">
      <alignment horizontal="center" vertical="center"/>
      <protection locked="0"/>
    </xf>
    <xf numFmtId="0" fontId="73" fillId="0" borderId="0" xfId="0" applyFont="1" applyBorder="1" applyAlignment="1" applyProtection="1">
      <alignment horizontal="center" vertical="center" readingOrder="2"/>
      <protection locked="0"/>
    </xf>
    <xf numFmtId="0" fontId="70" fillId="0" borderId="0" xfId="0" applyFont="1" applyBorder="1"/>
    <xf numFmtId="0" fontId="41" fillId="0" borderId="0" xfId="0" applyFont="1" applyBorder="1" applyAlignment="1">
      <alignment horizontal="center" vertical="center"/>
    </xf>
    <xf numFmtId="0" fontId="6" fillId="0" borderId="0" xfId="0" applyFont="1" applyBorder="1" applyAlignment="1" applyProtection="1">
      <alignment horizontal="center" vertical="center"/>
      <protection locked="0"/>
    </xf>
    <xf numFmtId="0" fontId="74" fillId="0" borderId="0" xfId="0" applyFont="1"/>
    <xf numFmtId="0" fontId="74" fillId="3" borderId="0" xfId="0" applyFont="1" applyFill="1" applyBorder="1" applyAlignment="1" applyProtection="1">
      <alignment horizontal="center" vertical="center"/>
      <protection locked="0"/>
    </xf>
    <xf numFmtId="0" fontId="74" fillId="0" borderId="0" xfId="0" applyFont="1" applyBorder="1" applyAlignment="1" applyProtection="1">
      <alignment horizontal="center" vertical="center"/>
      <protection hidden="1"/>
    </xf>
    <xf numFmtId="0" fontId="74" fillId="0" borderId="0" xfId="0" applyFont="1" applyBorder="1" applyProtection="1">
      <protection locked="0"/>
    </xf>
    <xf numFmtId="0" fontId="41" fillId="4" borderId="0" xfId="0" applyFont="1" applyFill="1" applyBorder="1" applyAlignment="1" applyProtection="1">
      <alignment horizontal="center" vertical="center"/>
      <protection locked="0"/>
    </xf>
    <xf numFmtId="0" fontId="41" fillId="0" borderId="0" xfId="0" applyFont="1" applyBorder="1" applyAlignment="1" applyProtection="1">
      <alignment horizontal="center" vertical="center" readingOrder="2"/>
      <protection locked="0"/>
    </xf>
    <xf numFmtId="0" fontId="74" fillId="0" borderId="0" xfId="0" applyFont="1" applyBorder="1"/>
    <xf numFmtId="0" fontId="69" fillId="0" borderId="10" xfId="0" applyFont="1" applyBorder="1" applyAlignment="1">
      <alignment horizontal="center" vertical="center"/>
    </xf>
    <xf numFmtId="0" fontId="69" fillId="0" borderId="11" xfId="0" applyFont="1" applyBorder="1" applyAlignment="1">
      <alignment horizontal="center" vertical="center"/>
    </xf>
    <xf numFmtId="0" fontId="9" fillId="0" borderId="40" xfId="0" applyFont="1" applyBorder="1" applyAlignment="1">
      <alignment horizontal="center" vertical="center"/>
    </xf>
    <xf numFmtId="0" fontId="8" fillId="0" borderId="13" xfId="0" applyFont="1" applyBorder="1" applyAlignment="1">
      <alignment horizontal="center" vertical="center"/>
    </xf>
    <xf numFmtId="0" fontId="8" fillId="0" borderId="13" xfId="0" applyFont="1" applyBorder="1" applyAlignment="1">
      <alignment horizontal="right" vertical="center"/>
    </xf>
    <xf numFmtId="0" fontId="11" fillId="0" borderId="13" xfId="0" applyFont="1" applyBorder="1" applyAlignment="1">
      <alignment horizontal="right" vertical="center"/>
    </xf>
    <xf numFmtId="167" fontId="8" fillId="0" borderId="13" xfId="0" applyNumberFormat="1" applyFont="1" applyBorder="1" applyAlignment="1">
      <alignment horizontal="right" vertical="center"/>
    </xf>
    <xf numFmtId="0" fontId="6" fillId="3" borderId="40" xfId="0" applyFont="1" applyFill="1"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0" fontId="40" fillId="0" borderId="4" xfId="0" applyFont="1" applyBorder="1" applyAlignment="1">
      <alignment vertical="center"/>
    </xf>
    <xf numFmtId="0" fontId="40" fillId="0" borderId="2" xfId="0" applyFont="1" applyBorder="1" applyAlignment="1">
      <alignment vertical="center"/>
    </xf>
    <xf numFmtId="0" fontId="34" fillId="0" borderId="0" xfId="0" applyFont="1" applyBorder="1" applyAlignment="1" applyProtection="1">
      <alignment vertical="center"/>
      <protection locked="0"/>
    </xf>
    <xf numFmtId="0" fontId="50" fillId="0" borderId="0" xfId="0" applyFont="1" applyBorder="1" applyAlignment="1">
      <alignment horizontal="right" vertical="center"/>
    </xf>
    <xf numFmtId="0" fontId="0" fillId="0" borderId="0" xfId="0" applyFont="1" applyBorder="1"/>
    <xf numFmtId="0" fontId="14" fillId="0" borderId="0" xfId="0" applyFont="1" applyBorder="1"/>
    <xf numFmtId="0" fontId="0" fillId="0" borderId="0" xfId="0" applyFont="1" applyBorder="1" applyAlignment="1">
      <alignment horizontal="center" vertical="center"/>
    </xf>
    <xf numFmtId="0" fontId="13" fillId="0" borderId="1" xfId="0" applyFont="1" applyFill="1" applyBorder="1" applyAlignment="1" applyProtection="1">
      <alignment horizontal="center" vertical="center"/>
      <protection hidden="1"/>
    </xf>
    <xf numFmtId="0" fontId="9" fillId="0" borderId="52" xfId="0" applyFont="1" applyBorder="1" applyAlignment="1">
      <alignment horizontal="center" vertical="center"/>
    </xf>
    <xf numFmtId="4" fontId="0" fillId="0" borderId="40" xfId="0" applyNumberFormat="1" applyBorder="1" applyAlignment="1">
      <alignment horizontal="center" vertical="center"/>
    </xf>
    <xf numFmtId="0" fontId="0" fillId="0" borderId="53" xfId="0" applyFont="1" applyBorder="1" applyAlignment="1" applyProtection="1">
      <alignment horizontal="center" vertical="center"/>
      <protection locked="0"/>
    </xf>
    <xf numFmtId="0" fontId="58" fillId="0" borderId="1" xfId="0" applyFont="1" applyFill="1" applyBorder="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57" fillId="0" borderId="1" xfId="0" applyFont="1" applyFill="1" applyBorder="1" applyAlignment="1" applyProtection="1">
      <alignment horizontal="center" vertical="center"/>
      <protection hidden="1"/>
    </xf>
    <xf numFmtId="0" fontId="59" fillId="0" borderId="1" xfId="0" applyFont="1" applyFill="1" applyBorder="1" applyAlignment="1" applyProtection="1">
      <alignment horizontal="center" vertical="center"/>
      <protection hidden="1"/>
    </xf>
    <xf numFmtId="0" fontId="59" fillId="0" borderId="1" xfId="0" applyNumberFormat="1" applyFont="1" applyFill="1" applyBorder="1" applyAlignment="1" applyProtection="1">
      <alignment horizontal="center" vertical="center"/>
      <protection hidden="1"/>
    </xf>
    <xf numFmtId="0" fontId="78" fillId="0" borderId="0" xfId="0" applyFont="1" applyFill="1" applyBorder="1" applyAlignment="1" applyProtection="1">
      <alignment horizontal="center" vertical="center"/>
      <protection hidden="1"/>
    </xf>
    <xf numFmtId="2" fontId="0" fillId="0" borderId="17" xfId="0" applyNumberFormat="1" applyBorder="1" applyAlignment="1">
      <alignment horizontal="center" vertical="center"/>
    </xf>
    <xf numFmtId="0" fontId="0" fillId="0" borderId="54" xfId="0" applyBorder="1" applyAlignment="1">
      <alignment horizontal="center" vertical="center"/>
    </xf>
    <xf numFmtId="0" fontId="0" fillId="0" borderId="17" xfId="0" applyFont="1" applyBorder="1" applyAlignment="1">
      <alignment horizontal="center" vertical="center"/>
    </xf>
    <xf numFmtId="0" fontId="0" fillId="0" borderId="27" xfId="0" applyBorder="1" applyAlignment="1">
      <alignment horizontal="center" vertical="center"/>
    </xf>
    <xf numFmtId="0" fontId="10" fillId="0" borderId="0" xfId="0" applyFont="1" applyAlignment="1" applyProtection="1">
      <alignment horizontal="center" vertical="center"/>
      <protection hidden="1"/>
    </xf>
    <xf numFmtId="0" fontId="10" fillId="2" borderId="46" xfId="0" applyFont="1" applyFill="1" applyBorder="1" applyProtection="1">
      <protection hidden="1"/>
    </xf>
    <xf numFmtId="2" fontId="10" fillId="2" borderId="46" xfId="0" applyNumberFormat="1" applyFont="1" applyFill="1" applyBorder="1" applyAlignment="1" applyProtection="1">
      <alignment horizontal="center" vertical="center"/>
      <protection hidden="1"/>
    </xf>
    <xf numFmtId="0" fontId="10" fillId="0" borderId="46" xfId="0" applyFont="1" applyBorder="1" applyAlignment="1" applyProtection="1">
      <alignment horizontal="center" vertical="center"/>
      <protection hidden="1"/>
    </xf>
    <xf numFmtId="168" fontId="10" fillId="0" borderId="46" xfId="2" applyNumberFormat="1" applyFont="1" applyBorder="1" applyAlignment="1" applyProtection="1">
      <alignment horizontal="center" vertical="center"/>
      <protection hidden="1"/>
    </xf>
    <xf numFmtId="0" fontId="10" fillId="0" borderId="46" xfId="0" applyFont="1" applyBorder="1" applyAlignment="1">
      <alignment horizontal="center" vertical="center"/>
    </xf>
    <xf numFmtId="0" fontId="10" fillId="2" borderId="55" xfId="0" applyFont="1" applyFill="1" applyBorder="1" applyAlignment="1" applyProtection="1">
      <alignment horizontal="center" vertical="center"/>
      <protection hidden="1"/>
    </xf>
    <xf numFmtId="2" fontId="10" fillId="2" borderId="55" xfId="0" applyNumberFormat="1" applyFont="1" applyFill="1" applyBorder="1" applyAlignment="1" applyProtection="1">
      <alignment horizontal="center" vertical="center"/>
      <protection hidden="1"/>
    </xf>
    <xf numFmtId="170" fontId="10" fillId="2" borderId="55" xfId="0" applyNumberFormat="1" applyFont="1" applyFill="1" applyBorder="1" applyAlignment="1" applyProtection="1">
      <alignment horizontal="center" vertical="center"/>
      <protection hidden="1"/>
    </xf>
    <xf numFmtId="0" fontId="0" fillId="0" borderId="19" xfId="0" applyFont="1" applyBorder="1" applyProtection="1">
      <protection locked="0"/>
    </xf>
    <xf numFmtId="1" fontId="0" fillId="0" borderId="17" xfId="0" applyNumberFormat="1" applyFont="1" applyBorder="1" applyAlignment="1" applyProtection="1">
      <alignment horizontal="center" vertical="center"/>
      <protection locked="0"/>
    </xf>
    <xf numFmtId="0" fontId="0" fillId="0" borderId="56" xfId="0" applyFont="1" applyBorder="1" applyAlignment="1" applyProtection="1">
      <alignment horizontal="center" vertical="center"/>
      <protection locked="0"/>
    </xf>
    <xf numFmtId="0" fontId="79" fillId="0" borderId="15" xfId="0" applyFont="1" applyBorder="1" applyAlignment="1" applyProtection="1">
      <alignment horizontal="center" vertical="center"/>
      <protection hidden="1"/>
    </xf>
    <xf numFmtId="0" fontId="79" fillId="0" borderId="15" xfId="0" applyFont="1" applyBorder="1" applyAlignment="1" applyProtection="1">
      <alignment horizontal="center" vertical="center"/>
      <protection locked="0"/>
    </xf>
    <xf numFmtId="0" fontId="79" fillId="0" borderId="20" xfId="0" applyFont="1" applyBorder="1" applyAlignment="1" applyProtection="1">
      <alignment horizontal="center" vertical="center"/>
      <protection locked="0"/>
    </xf>
    <xf numFmtId="0" fontId="25" fillId="4" borderId="35" xfId="0" applyFont="1" applyFill="1" applyBorder="1" applyAlignment="1" applyProtection="1">
      <alignment horizontal="center" vertical="center"/>
      <protection hidden="1"/>
    </xf>
    <xf numFmtId="0" fontId="0" fillId="0" borderId="18" xfId="0" applyFont="1" applyBorder="1" applyProtection="1">
      <protection hidden="1"/>
    </xf>
    <xf numFmtId="2" fontId="2" fillId="0" borderId="17" xfId="0" applyNumberFormat="1" applyFont="1" applyBorder="1" applyAlignment="1" applyProtection="1">
      <alignment horizontal="center" vertical="center"/>
      <protection hidden="1"/>
    </xf>
    <xf numFmtId="165" fontId="2" fillId="0" borderId="17" xfId="0" applyNumberFormat="1" applyFont="1" applyBorder="1" applyAlignment="1" applyProtection="1">
      <alignment horizontal="center" vertical="center"/>
      <protection hidden="1"/>
    </xf>
    <xf numFmtId="2" fontId="2" fillId="0" borderId="17" xfId="1" applyNumberFormat="1" applyFont="1" applyBorder="1" applyAlignment="1" applyProtection="1">
      <alignment horizontal="center" vertical="center"/>
      <protection hidden="1"/>
    </xf>
    <xf numFmtId="9" fontId="2" fillId="0" borderId="17" xfId="1"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hidden="1"/>
    </xf>
    <xf numFmtId="165" fontId="2" fillId="0" borderId="23"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165" fontId="77" fillId="0" borderId="23" xfId="0" applyNumberFormat="1"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hidden="1"/>
    </xf>
    <xf numFmtId="1" fontId="2" fillId="0" borderId="1" xfId="0" applyNumberFormat="1" applyFont="1" applyBorder="1" applyAlignment="1" applyProtection="1">
      <alignment horizontal="center" vertical="center"/>
      <protection hidden="1"/>
    </xf>
    <xf numFmtId="9" fontId="2" fillId="0" borderId="35" xfId="1"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8" fillId="0" borderId="1" xfId="0" applyFont="1" applyBorder="1" applyAlignment="1">
      <alignment horizontal="center" vertical="center"/>
    </xf>
    <xf numFmtId="0" fontId="0" fillId="0" borderId="10" xfId="0" applyFont="1" applyFill="1" applyBorder="1" applyAlignment="1" applyProtection="1">
      <alignment horizontal="center" vertical="center"/>
      <protection hidden="1"/>
    </xf>
    <xf numFmtId="0" fontId="8" fillId="0" borderId="1" xfId="0" applyFont="1" applyBorder="1" applyAlignment="1">
      <alignment horizontal="center" vertical="center"/>
    </xf>
    <xf numFmtId="0" fontId="30" fillId="0" borderId="1"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readingOrder="2"/>
    </xf>
    <xf numFmtId="0" fontId="80" fillId="0" borderId="1" xfId="0" applyFont="1" applyBorder="1" applyAlignment="1">
      <alignment horizontal="center" vertical="center"/>
    </xf>
    <xf numFmtId="0" fontId="57" fillId="0" borderId="1" xfId="0" applyFont="1" applyBorder="1" applyAlignment="1">
      <alignment horizontal="center" vertical="center"/>
    </xf>
    <xf numFmtId="1" fontId="57" fillId="0" borderId="1" xfId="0" applyNumberFormat="1" applyFont="1" applyBorder="1" applyAlignment="1">
      <alignment horizontal="center" vertical="center"/>
    </xf>
    <xf numFmtId="0" fontId="50" fillId="0" borderId="0" xfId="0" applyFont="1" applyBorder="1" applyAlignment="1">
      <alignment horizontal="center" vertical="center"/>
    </xf>
    <xf numFmtId="0" fontId="19" fillId="0" borderId="1" xfId="0" applyFont="1" applyBorder="1" applyAlignment="1">
      <alignment horizontal="center" vertical="center"/>
    </xf>
    <xf numFmtId="0" fontId="0" fillId="0" borderId="5" xfId="0" applyFont="1" applyBorder="1" applyAlignment="1">
      <alignment horizontal="center" vertical="center"/>
    </xf>
    <xf numFmtId="0" fontId="17"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47" fillId="0" borderId="4" xfId="0" applyFont="1" applyBorder="1" applyAlignment="1" applyProtection="1">
      <alignment horizontal="center" vertical="center"/>
    </xf>
    <xf numFmtId="0" fontId="82" fillId="0" borderId="1" xfId="0" applyFont="1" applyFill="1" applyBorder="1" applyAlignment="1" applyProtection="1">
      <alignment horizontal="center" vertical="center"/>
      <protection hidden="1"/>
    </xf>
    <xf numFmtId="0" fontId="0" fillId="0" borderId="15" xfId="0" applyBorder="1"/>
    <xf numFmtId="1" fontId="0" fillId="0" borderId="17" xfId="0" applyNumberFormat="1" applyBorder="1" applyAlignment="1">
      <alignment horizontal="center" vertical="center"/>
    </xf>
    <xf numFmtId="0" fontId="5" fillId="0" borderId="19" xfId="0" applyFont="1" applyBorder="1" applyProtection="1">
      <protection hidden="1"/>
    </xf>
    <xf numFmtId="0" fontId="5" fillId="0" borderId="15" xfId="0" applyFont="1" applyBorder="1" applyProtection="1">
      <protection hidden="1"/>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81" fillId="0" borderId="15" xfId="0" applyFont="1" applyBorder="1" applyAlignment="1">
      <alignment horizontal="center" vertical="center"/>
    </xf>
    <xf numFmtId="0" fontId="81" fillId="0" borderId="0" xfId="0" applyFont="1"/>
    <xf numFmtId="0" fontId="81" fillId="0" borderId="19" xfId="0" applyFont="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36"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7" borderId="31" xfId="0" applyFill="1" applyBorder="1" applyAlignment="1">
      <alignment horizontal="center" vertical="center"/>
    </xf>
    <xf numFmtId="0" fontId="0" fillId="0" borderId="8" xfId="0" applyBorder="1" applyAlignment="1">
      <alignment horizontal="center" vertical="center"/>
    </xf>
    <xf numFmtId="0" fontId="81" fillId="0" borderId="20" xfId="0" applyFont="1" applyBorder="1" applyAlignment="1">
      <alignment horizontal="center" vertical="center"/>
    </xf>
    <xf numFmtId="0" fontId="81" fillId="0" borderId="16" xfId="0" applyFont="1" applyBorder="1" applyAlignment="1">
      <alignment horizontal="center" vertical="center"/>
    </xf>
    <xf numFmtId="0" fontId="0" fillId="0" borderId="16" xfId="0" applyBorder="1"/>
    <xf numFmtId="0" fontId="81" fillId="0" borderId="54" xfId="0" applyFont="1" applyBorder="1" applyAlignment="1">
      <alignment horizontal="center" vertical="center"/>
    </xf>
    <xf numFmtId="0" fontId="0" fillId="7" borderId="58" xfId="0" applyFill="1" applyBorder="1" applyAlignment="1">
      <alignment horizontal="center" vertical="center"/>
    </xf>
    <xf numFmtId="0" fontId="81" fillId="7" borderId="58" xfId="0" applyFont="1" applyFill="1" applyBorder="1" applyAlignment="1">
      <alignment horizontal="center" vertical="center"/>
    </xf>
    <xf numFmtId="0" fontId="81" fillId="7" borderId="58" xfId="0" applyFont="1" applyFill="1" applyBorder="1"/>
    <xf numFmtId="0" fontId="0" fillId="7" borderId="58" xfId="0" applyFill="1" applyBorder="1"/>
    <xf numFmtId="0" fontId="84" fillId="7" borderId="58" xfId="0" applyFont="1" applyFill="1" applyBorder="1" applyAlignment="1">
      <alignment horizontal="center" vertical="center"/>
    </xf>
    <xf numFmtId="0" fontId="0" fillId="7" borderId="58" xfId="0" applyFont="1" applyFill="1" applyBorder="1" applyAlignment="1">
      <alignment horizontal="center" vertical="center"/>
    </xf>
    <xf numFmtId="0" fontId="85" fillId="7" borderId="58" xfId="0" applyFont="1" applyFill="1" applyBorder="1" applyAlignment="1">
      <alignment horizontal="center" vertical="center"/>
    </xf>
    <xf numFmtId="0" fontId="0" fillId="7" borderId="59" xfId="0" applyFill="1" applyBorder="1" applyAlignment="1">
      <alignment horizontal="center" vertical="center"/>
    </xf>
    <xf numFmtId="0" fontId="85" fillId="7" borderId="58" xfId="0" applyFont="1" applyFill="1" applyBorder="1"/>
    <xf numFmtId="0" fontId="84" fillId="0" borderId="58" xfId="0" applyFont="1" applyBorder="1" applyAlignment="1">
      <alignment horizontal="center" vertical="center"/>
    </xf>
    <xf numFmtId="0" fontId="81" fillId="0" borderId="26" xfId="0" applyFont="1" applyBorder="1" applyAlignment="1">
      <alignment horizontal="center" vertical="center"/>
    </xf>
    <xf numFmtId="0" fontId="0" fillId="0" borderId="41" xfId="0" applyBorder="1" applyAlignment="1">
      <alignment horizontal="center" vertical="center"/>
    </xf>
    <xf numFmtId="0" fontId="85" fillId="7" borderId="0" xfId="0" applyFont="1" applyFill="1" applyBorder="1" applyAlignment="1">
      <alignment horizontal="center" vertical="center"/>
    </xf>
    <xf numFmtId="2" fontId="85" fillId="7" borderId="0" xfId="0" applyNumberFormat="1" applyFont="1" applyFill="1" applyBorder="1" applyAlignment="1">
      <alignment horizontal="center" vertical="center"/>
    </xf>
    <xf numFmtId="0" fontId="0" fillId="7" borderId="60" xfId="0" applyFill="1" applyBorder="1" applyAlignment="1">
      <alignment horizontal="center" vertical="center"/>
    </xf>
    <xf numFmtId="0" fontId="0" fillId="7" borderId="61" xfId="0" applyFill="1" applyBorder="1" applyAlignment="1">
      <alignment horizontal="center" vertical="center"/>
    </xf>
    <xf numFmtId="0" fontId="0" fillId="0" borderId="13" xfId="0" applyBorder="1" applyAlignment="1">
      <alignment horizontal="center" vertical="center"/>
    </xf>
    <xf numFmtId="0" fontId="0" fillId="0" borderId="4" xfId="0" applyFont="1" applyBorder="1" applyAlignment="1">
      <alignment horizontal="center" vertical="center"/>
    </xf>
    <xf numFmtId="0" fontId="0" fillId="7" borderId="62" xfId="0" applyFill="1" applyBorder="1" applyAlignment="1">
      <alignment horizontal="center" vertical="center"/>
    </xf>
    <xf numFmtId="0" fontId="0" fillId="7" borderId="63" xfId="0" applyFill="1" applyBorder="1" applyAlignment="1">
      <alignment horizontal="center" vertical="center"/>
    </xf>
    <xf numFmtId="0" fontId="0" fillId="7" borderId="64" xfId="0" applyFill="1" applyBorder="1" applyAlignment="1">
      <alignment horizontal="center" vertical="center"/>
    </xf>
    <xf numFmtId="0" fontId="0" fillId="7" borderId="65" xfId="0" applyFill="1" applyBorder="1" applyAlignment="1">
      <alignment horizontal="center" vertical="center"/>
    </xf>
    <xf numFmtId="0" fontId="0" fillId="7" borderId="66" xfId="0" applyFill="1" applyBorder="1" applyAlignment="1">
      <alignment horizontal="center" vertical="center"/>
    </xf>
    <xf numFmtId="0" fontId="0" fillId="7" borderId="67" xfId="0" applyFill="1" applyBorder="1" applyAlignment="1">
      <alignment horizontal="center" vertical="center"/>
    </xf>
    <xf numFmtId="0" fontId="0" fillId="0" borderId="17" xfId="0" applyBorder="1" applyAlignment="1">
      <alignment horizontal="center" vertical="center" readingOrder="2"/>
    </xf>
    <xf numFmtId="167" fontId="0" fillId="0" borderId="17" xfId="0" applyNumberFormat="1" applyBorder="1" applyAlignment="1">
      <alignment horizontal="center" vertical="center"/>
    </xf>
    <xf numFmtId="0" fontId="85" fillId="7" borderId="65" xfId="0" applyFont="1" applyFill="1" applyBorder="1" applyAlignment="1">
      <alignment horizontal="center" vertical="center"/>
    </xf>
    <xf numFmtId="0" fontId="0" fillId="0" borderId="29" xfId="0" applyBorder="1" applyAlignment="1">
      <alignment horizontal="center" vertical="center"/>
    </xf>
    <xf numFmtId="0" fontId="81" fillId="7" borderId="61" xfId="0" applyFont="1" applyFill="1" applyBorder="1" applyAlignment="1">
      <alignment horizontal="center" vertical="center"/>
    </xf>
    <xf numFmtId="0" fontId="84" fillId="0" borderId="61" xfId="0" applyFont="1" applyBorder="1" applyAlignment="1">
      <alignment horizontal="center" vertical="center"/>
    </xf>
    <xf numFmtId="2" fontId="0" fillId="0" borderId="36" xfId="0" applyNumberFormat="1" applyBorder="1" applyAlignment="1">
      <alignment horizontal="center" vertical="center"/>
    </xf>
    <xf numFmtId="2" fontId="0" fillId="7" borderId="66" xfId="0" applyNumberFormat="1" applyFill="1" applyBorder="1" applyAlignment="1">
      <alignment horizontal="center" vertical="center"/>
    </xf>
    <xf numFmtId="0" fontId="0" fillId="7" borderId="35" xfId="0" applyFill="1" applyBorder="1" applyAlignment="1">
      <alignment horizontal="center" vertical="center"/>
    </xf>
    <xf numFmtId="0" fontId="0" fillId="7" borderId="28" xfId="0" applyFill="1" applyBorder="1" applyAlignment="1">
      <alignment horizontal="center" vertical="center"/>
    </xf>
    <xf numFmtId="0" fontId="0" fillId="7" borderId="44" xfId="0" applyFill="1" applyBorder="1" applyAlignment="1">
      <alignment horizontal="center" vertical="center"/>
    </xf>
    <xf numFmtId="0" fontId="0" fillId="7" borderId="61" xfId="0" applyFill="1" applyBorder="1"/>
    <xf numFmtId="0" fontId="0" fillId="7" borderId="68" xfId="0" applyFill="1" applyBorder="1" applyAlignment="1">
      <alignment horizontal="center" vertical="center"/>
    </xf>
    <xf numFmtId="0" fontId="0" fillId="0" borderId="17" xfId="0" applyFill="1" applyBorder="1" applyAlignment="1">
      <alignment horizontal="center" vertical="center"/>
    </xf>
    <xf numFmtId="0" fontId="0" fillId="9" borderId="17" xfId="0" applyFill="1" applyBorder="1" applyAlignment="1">
      <alignment horizontal="center" vertical="center"/>
    </xf>
    <xf numFmtId="0" fontId="0" fillId="8" borderId="17" xfId="0" applyFill="1" applyBorder="1" applyAlignment="1">
      <alignment horizontal="center" vertical="center"/>
    </xf>
    <xf numFmtId="2" fontId="0" fillId="0" borderId="17" xfId="0" applyNumberFormat="1" applyFill="1" applyBorder="1" applyAlignment="1">
      <alignment horizontal="center" vertical="center"/>
    </xf>
    <xf numFmtId="0" fontId="5" fillId="0" borderId="17" xfId="0" applyFont="1" applyFill="1" applyBorder="1" applyAlignment="1">
      <alignment horizontal="center" vertical="center"/>
    </xf>
    <xf numFmtId="0" fontId="0" fillId="7" borderId="59" xfId="0" applyFont="1" applyFill="1" applyBorder="1" applyAlignment="1">
      <alignment horizontal="center" vertical="center"/>
    </xf>
    <xf numFmtId="0" fontId="0" fillId="7" borderId="0" xfId="0" applyFont="1" applyFill="1" applyBorder="1" applyAlignment="1">
      <alignment vertical="center"/>
    </xf>
    <xf numFmtId="0" fontId="0" fillId="0" borderId="17" xfId="0" applyFont="1" applyFill="1" applyBorder="1" applyAlignment="1">
      <alignment horizontal="center" vertical="center"/>
    </xf>
    <xf numFmtId="0" fontId="0" fillId="0" borderId="0" xfId="0" applyAlignment="1">
      <alignment horizontal="center"/>
    </xf>
    <xf numFmtId="0" fontId="0" fillId="0" borderId="17" xfId="0" applyBorder="1" applyAlignment="1">
      <alignment horizontal="center" vertical="center"/>
    </xf>
    <xf numFmtId="0" fontId="86" fillId="7" borderId="58" xfId="4" applyFill="1" applyBorder="1" applyAlignment="1">
      <alignment horizontal="center" vertical="center"/>
    </xf>
    <xf numFmtId="0" fontId="0"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wrapText="1"/>
      <protection hidden="1"/>
    </xf>
    <xf numFmtId="0" fontId="58" fillId="0" borderId="0" xfId="0" applyFont="1" applyFill="1" applyBorder="1" applyAlignment="1" applyProtection="1">
      <alignment horizontal="center" vertical="center"/>
      <protection hidden="1"/>
    </xf>
    <xf numFmtId="0" fontId="35" fillId="0" borderId="2" xfId="0" applyFont="1" applyFill="1" applyBorder="1" applyAlignment="1" applyProtection="1">
      <alignment horizontal="center" vertical="center"/>
      <protection hidden="1"/>
    </xf>
    <xf numFmtId="0" fontId="55" fillId="0" borderId="1" xfId="0" applyFont="1" applyFill="1" applyBorder="1" applyAlignment="1" applyProtection="1">
      <alignment horizontal="center" vertical="center"/>
      <protection hidden="1"/>
    </xf>
    <xf numFmtId="0" fontId="10" fillId="0" borderId="0" xfId="0" applyFont="1" applyProtection="1">
      <protection hidden="1"/>
    </xf>
    <xf numFmtId="0" fontId="10" fillId="0" borderId="0" xfId="0" applyFont="1" applyAlignment="1">
      <alignment horizontal="center" vertical="center"/>
    </xf>
    <xf numFmtId="0" fontId="36" fillId="0" borderId="0" xfId="0" applyFont="1" applyProtection="1">
      <protection hidden="1"/>
    </xf>
    <xf numFmtId="0" fontId="10" fillId="0" borderId="49" xfId="0" applyFont="1" applyFill="1" applyBorder="1" applyAlignment="1">
      <alignment horizontal="center" vertical="center"/>
    </xf>
    <xf numFmtId="0" fontId="10" fillId="0" borderId="46" xfId="0" applyFont="1" applyBorder="1" applyProtection="1">
      <protection hidden="1"/>
    </xf>
    <xf numFmtId="0" fontId="88" fillId="0" borderId="0" xfId="0" applyFont="1" applyProtection="1">
      <protection hidden="1"/>
    </xf>
    <xf numFmtId="0" fontId="10" fillId="0" borderId="50" xfId="0" applyFont="1" applyFill="1" applyBorder="1" applyAlignment="1">
      <alignment horizontal="center" vertical="center"/>
    </xf>
    <xf numFmtId="0" fontId="18" fillId="0" borderId="46" xfId="0" applyFont="1" applyBorder="1" applyAlignment="1">
      <alignment horizontal="center" vertical="center"/>
    </xf>
    <xf numFmtId="0" fontId="18" fillId="0" borderId="46" xfId="0" applyFont="1" applyBorder="1" applyProtection="1">
      <protection hidden="1"/>
    </xf>
    <xf numFmtId="0" fontId="18" fillId="0" borderId="50" xfId="0" applyFont="1" applyFill="1" applyBorder="1" applyAlignment="1">
      <alignment horizontal="center" vertical="center"/>
    </xf>
    <xf numFmtId="0" fontId="10" fillId="0" borderId="10" xfId="0" applyFont="1" applyFill="1" applyBorder="1" applyAlignment="1" applyProtection="1">
      <alignment vertical="center"/>
      <protection hidden="1"/>
    </xf>
    <xf numFmtId="0" fontId="16" fillId="0" borderId="10" xfId="0" applyFont="1" applyFill="1" applyBorder="1" applyAlignment="1" applyProtection="1">
      <alignment horizontal="center" vertical="center"/>
      <protection hidden="1"/>
    </xf>
    <xf numFmtId="0" fontId="81" fillId="0" borderId="25" xfId="0" applyFont="1" applyBorder="1" applyAlignment="1" applyProtection="1">
      <alignment horizontal="center" vertical="center"/>
      <protection hidden="1"/>
    </xf>
    <xf numFmtId="0" fontId="81" fillId="0" borderId="18" xfId="0" applyFont="1" applyBorder="1" applyAlignment="1" applyProtection="1">
      <alignment horizontal="center" vertical="center"/>
      <protection hidden="1"/>
    </xf>
    <xf numFmtId="0" fontId="81" fillId="0" borderId="15" xfId="0" applyFont="1" applyBorder="1" applyAlignment="1" applyProtection="1">
      <alignment horizontal="center" vertical="center"/>
      <protection hidden="1"/>
    </xf>
    <xf numFmtId="1" fontId="81" fillId="0" borderId="19" xfId="0" applyNumberFormat="1" applyFont="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hidden="1"/>
    </xf>
    <xf numFmtId="0" fontId="29" fillId="0" borderId="1" xfId="0" quotePrefix="1" applyFont="1" applyFill="1" applyBorder="1" applyAlignment="1" applyProtection="1">
      <alignment horizontal="center" vertical="center"/>
      <protection hidden="1"/>
    </xf>
    <xf numFmtId="0" fontId="0" fillId="0" borderId="42" xfId="0" applyFont="1" applyFill="1" applyBorder="1" applyAlignment="1" applyProtection="1">
      <alignment horizontal="center" vertical="center"/>
      <protection hidden="1"/>
    </xf>
    <xf numFmtId="0" fontId="10" fillId="0" borderId="55"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hidden="1"/>
    </xf>
    <xf numFmtId="0" fontId="0" fillId="0" borderId="0" xfId="0" applyFont="1" applyBorder="1" applyAlignment="1" applyProtection="1">
      <alignment vertical="center"/>
      <protection hidden="1"/>
    </xf>
    <xf numFmtId="0" fontId="13" fillId="0" borderId="10"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textRotation="90"/>
      <protection hidden="1"/>
    </xf>
    <xf numFmtId="0" fontId="49" fillId="0" borderId="15" xfId="0" applyFont="1" applyFill="1" applyBorder="1" applyProtection="1">
      <protection hidden="1"/>
    </xf>
    <xf numFmtId="0" fontId="49" fillId="0" borderId="15" xfId="0" applyFont="1" applyFill="1" applyBorder="1" applyAlignment="1" applyProtection="1">
      <alignment horizontal="center" vertical="center" readingOrder="2"/>
      <protection hidden="1"/>
    </xf>
    <xf numFmtId="0" fontId="5" fillId="0" borderId="25" xfId="0" applyFont="1" applyBorder="1" applyAlignment="1" applyProtection="1">
      <alignment horizontal="center" vertical="center"/>
      <protection hidden="1"/>
    </xf>
    <xf numFmtId="0" fontId="49" fillId="0" borderId="15" xfId="0" applyFont="1" applyFill="1" applyBorder="1" applyAlignment="1" applyProtection="1">
      <alignment horizontal="center" vertical="center"/>
      <protection hidden="1"/>
    </xf>
    <xf numFmtId="0" fontId="5" fillId="0" borderId="16" xfId="0" applyFont="1" applyBorder="1" applyProtection="1">
      <protection hidden="1"/>
    </xf>
    <xf numFmtId="0" fontId="5" fillId="0" borderId="54" xfId="0" applyFont="1" applyBorder="1" applyAlignment="1" applyProtection="1">
      <alignment horizontal="center" vertical="center"/>
      <protection hidden="1"/>
    </xf>
    <xf numFmtId="0" fontId="5" fillId="0" borderId="18" xfId="0" applyFont="1" applyBorder="1" applyAlignment="1" applyProtection="1">
      <alignment horizontal="center" vertical="center"/>
      <protection hidden="1"/>
    </xf>
    <xf numFmtId="0" fontId="5" fillId="0" borderId="19"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165" fontId="5" fillId="0" borderId="19" xfId="0" applyNumberFormat="1" applyFont="1" applyBorder="1" applyAlignment="1" applyProtection="1">
      <alignment horizontal="center" vertical="center"/>
      <protection hidden="1"/>
    </xf>
    <xf numFmtId="0" fontId="93" fillId="2" borderId="1" xfId="0" applyFont="1" applyFill="1" applyBorder="1" applyAlignment="1" applyProtection="1">
      <alignment horizontal="center" vertical="center"/>
      <protection hidden="1"/>
    </xf>
    <xf numFmtId="0" fontId="95" fillId="0" borderId="53" xfId="0" applyFont="1" applyFill="1" applyBorder="1" applyAlignment="1" applyProtection="1">
      <alignment horizontal="center" vertical="center" wrapText="1"/>
      <protection hidden="1"/>
    </xf>
    <xf numFmtId="0" fontId="94" fillId="0" borderId="1" xfId="0" applyFont="1" applyFill="1" applyBorder="1" applyAlignment="1" applyProtection="1">
      <alignment horizontal="center" vertical="center"/>
      <protection hidden="1"/>
    </xf>
    <xf numFmtId="0" fontId="95" fillId="0" borderId="1" xfId="0" applyFont="1" applyFill="1" applyBorder="1" applyAlignment="1" applyProtection="1">
      <alignment horizontal="center" vertical="center"/>
      <protection hidden="1"/>
    </xf>
    <xf numFmtId="0" fontId="15" fillId="0" borderId="1" xfId="0" quotePrefix="1" applyFont="1" applyFill="1" applyBorder="1" applyAlignment="1" applyProtection="1">
      <alignment horizontal="center" vertical="center"/>
      <protection hidden="1"/>
    </xf>
    <xf numFmtId="0" fontId="20" fillId="0" borderId="48" xfId="0" quotePrefix="1" applyFont="1" applyFill="1" applyBorder="1" applyAlignment="1" applyProtection="1">
      <alignment horizontal="center" vertical="center"/>
      <protection hidden="1"/>
    </xf>
    <xf numFmtId="0" fontId="20" fillId="0" borderId="6" xfId="0" quotePrefix="1"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wrapText="1"/>
      <protection hidden="1"/>
    </xf>
    <xf numFmtId="0" fontId="0" fillId="0" borderId="10" xfId="0" applyFont="1" applyBorder="1" applyAlignment="1">
      <alignment horizontal="center" vertical="center"/>
    </xf>
    <xf numFmtId="0" fontId="57" fillId="0" borderId="3" xfId="0" applyFont="1" applyBorder="1" applyAlignment="1">
      <alignment horizontal="right" vertical="center" readingOrder="2"/>
    </xf>
    <xf numFmtId="0" fontId="100" fillId="0" borderId="0" xfId="0" applyFont="1" applyBorder="1" applyAlignment="1">
      <alignment horizontal="center" vertical="center" wrapText="1" readingOrder="2"/>
    </xf>
    <xf numFmtId="0" fontId="101" fillId="0" borderId="0" xfId="0" applyFont="1" applyBorder="1" applyAlignment="1">
      <alignment horizontal="center" vertical="center" wrapText="1" readingOrder="2"/>
    </xf>
    <xf numFmtId="0" fontId="101" fillId="0" borderId="0" xfId="0" applyFont="1" applyBorder="1" applyAlignment="1">
      <alignment vertical="center" wrapText="1" readingOrder="2"/>
    </xf>
    <xf numFmtId="0" fontId="24" fillId="0" borderId="1" xfId="0" applyFont="1" applyBorder="1" applyAlignment="1">
      <alignment horizontal="center" vertical="center" wrapText="1" readingOrder="2"/>
    </xf>
    <xf numFmtId="0" fontId="24" fillId="0" borderId="5" xfId="0" applyFont="1" applyBorder="1" applyAlignment="1">
      <alignment horizontal="center" vertical="center" wrapText="1" readingOrder="2"/>
    </xf>
    <xf numFmtId="0" fontId="103" fillId="0" borderId="5" xfId="0" applyFont="1" applyBorder="1" applyAlignment="1">
      <alignment horizontal="center" vertical="center" wrapText="1" readingOrder="2"/>
    </xf>
    <xf numFmtId="0" fontId="99" fillId="0" borderId="8" xfId="0" applyFont="1" applyBorder="1" applyAlignment="1">
      <alignment vertical="top"/>
    </xf>
    <xf numFmtId="0" fontId="99" fillId="0" borderId="0" xfId="0" applyFont="1" applyAlignment="1">
      <alignment vertical="top"/>
    </xf>
    <xf numFmtId="0" fontId="98" fillId="0" borderId="0" xfId="0" applyFont="1"/>
    <xf numFmtId="0" fontId="12" fillId="0" borderId="1" xfId="0" applyFont="1" applyBorder="1" applyAlignment="1">
      <alignment horizontal="center" vertical="center" wrapText="1" readingOrder="2"/>
    </xf>
    <xf numFmtId="0" fontId="6" fillId="0" borderId="1" xfId="0" applyFont="1" applyBorder="1" applyAlignment="1">
      <alignment horizontal="center" vertical="center" wrapText="1" readingOrder="2"/>
    </xf>
    <xf numFmtId="0" fontId="24" fillId="0" borderId="6" xfId="0" applyFont="1" applyBorder="1" applyAlignment="1">
      <alignment horizontal="center" vertical="center" wrapText="1" readingOrder="2"/>
    </xf>
    <xf numFmtId="0" fontId="6" fillId="0" borderId="6"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08" fillId="0" borderId="0" xfId="0" applyFont="1"/>
    <xf numFmtId="1" fontId="108" fillId="0" borderId="0" xfId="0" applyNumberFormat="1" applyFont="1"/>
    <xf numFmtId="0" fontId="9" fillId="0" borderId="1" xfId="0" applyFont="1" applyBorder="1" applyAlignment="1">
      <alignment horizontal="center" vertical="center" wrapText="1" readingOrder="2"/>
    </xf>
    <xf numFmtId="0" fontId="37" fillId="0" borderId="1" xfId="0" applyFont="1" applyBorder="1" applyAlignment="1">
      <alignment horizontal="center" vertical="center" wrapText="1" readingOrder="2"/>
    </xf>
    <xf numFmtId="0" fontId="15" fillId="0" borderId="6" xfId="0" applyFont="1" applyBorder="1" applyAlignment="1">
      <alignment horizontal="center" vertical="center" wrapText="1" readingOrder="1"/>
    </xf>
    <xf numFmtId="0" fontId="9" fillId="0" borderId="6" xfId="0" applyFont="1" applyBorder="1" applyAlignment="1">
      <alignment horizontal="center" vertical="center" wrapText="1" readingOrder="2"/>
    </xf>
    <xf numFmtId="0" fontId="37" fillId="0" borderId="6" xfId="0" applyFont="1" applyBorder="1" applyAlignment="1">
      <alignment horizontal="center" vertical="center" wrapText="1" readingOrder="2"/>
    </xf>
    <xf numFmtId="0" fontId="6" fillId="0" borderId="0" xfId="0" applyFont="1" applyBorder="1" applyAlignment="1">
      <alignment horizontal="center" vertical="center" wrapText="1" readingOrder="2"/>
    </xf>
    <xf numFmtId="0" fontId="21" fillId="0" borderId="0" xfId="0" quotePrefix="1" applyFont="1" applyBorder="1" applyAlignment="1">
      <alignment horizontal="center" vertical="center" wrapText="1" readingOrder="2"/>
    </xf>
    <xf numFmtId="0" fontId="21" fillId="0" borderId="0" xfId="0" applyFont="1" applyBorder="1" applyAlignment="1">
      <alignment horizontal="center" vertical="center" wrapText="1" readingOrder="2"/>
    </xf>
    <xf numFmtId="0" fontId="6" fillId="0" borderId="11" xfId="0" applyFont="1" applyBorder="1" applyAlignment="1">
      <alignment horizontal="center" vertical="center" wrapText="1" readingOrder="2"/>
    </xf>
    <xf numFmtId="0" fontId="22" fillId="0" borderId="2" xfId="0" applyFont="1" applyBorder="1" applyAlignment="1">
      <alignment horizontal="right" vertical="center"/>
    </xf>
    <xf numFmtId="0" fontId="70" fillId="0" borderId="0" xfId="0" applyFont="1" applyAlignment="1">
      <alignment horizontal="center" vertical="center"/>
    </xf>
    <xf numFmtId="172" fontId="58" fillId="0" borderId="0" xfId="0" applyNumberFormat="1" applyFont="1" applyAlignment="1">
      <alignment horizontal="center" vertical="center"/>
    </xf>
    <xf numFmtId="2" fontId="0" fillId="0" borderId="0" xfId="0" applyNumberFormat="1" applyFont="1" applyAlignment="1">
      <alignment horizontal="center" vertical="center"/>
    </xf>
    <xf numFmtId="0" fontId="21" fillId="0" borderId="3" xfId="0" applyFont="1" applyBorder="1" applyAlignment="1">
      <alignment horizontal="center" vertical="center" readingOrder="2"/>
    </xf>
    <xf numFmtId="0" fontId="110" fillId="0" borderId="0" xfId="0" applyFont="1" applyAlignment="1">
      <alignment horizontal="center" vertical="center"/>
    </xf>
    <xf numFmtId="0" fontId="110" fillId="0" borderId="0" xfId="0" applyFont="1"/>
    <xf numFmtId="172" fontId="111" fillId="0" borderId="0" xfId="0" applyNumberFormat="1" applyFont="1" applyAlignment="1">
      <alignment horizontal="center" vertical="center"/>
    </xf>
    <xf numFmtId="0" fontId="21" fillId="0" borderId="1" xfId="0" applyFont="1" applyBorder="1" applyAlignment="1">
      <alignment horizontal="center" vertical="center"/>
    </xf>
    <xf numFmtId="0" fontId="21" fillId="0" borderId="0" xfId="0" applyFont="1" applyBorder="1" applyAlignment="1">
      <alignment horizontal="center" vertical="center"/>
    </xf>
    <xf numFmtId="0" fontId="112" fillId="0" borderId="1" xfId="0" applyFont="1" applyBorder="1" applyAlignment="1">
      <alignment horizontal="center" vertical="center" textRotation="90"/>
    </xf>
    <xf numFmtId="0" fontId="113" fillId="0" borderId="0" xfId="0" applyFont="1" applyAlignment="1">
      <alignment horizontal="center" vertical="center"/>
    </xf>
    <xf numFmtId="0" fontId="114" fillId="0" borderId="0" xfId="0" applyFont="1"/>
    <xf numFmtId="1" fontId="115" fillId="0" borderId="0" xfId="0" applyNumberFormat="1" applyFont="1"/>
    <xf numFmtId="0" fontId="0" fillId="0" borderId="0" xfId="0" applyAlignment="1">
      <alignment vertical="center"/>
    </xf>
    <xf numFmtId="0" fontId="9"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37" fillId="0" borderId="8" xfId="0" applyFont="1" applyBorder="1" applyAlignment="1">
      <alignment horizontal="center" vertical="center" wrapText="1" readingOrder="2"/>
    </xf>
    <xf numFmtId="0" fontId="15" fillId="0" borderId="8" xfId="0" applyFont="1" applyBorder="1" applyAlignment="1">
      <alignment horizontal="center" vertical="center" wrapText="1" readingOrder="1"/>
    </xf>
    <xf numFmtId="0" fontId="6" fillId="0" borderId="8" xfId="0" applyFont="1" applyBorder="1" applyAlignment="1">
      <alignment horizontal="center" vertical="center" wrapText="1" readingOrder="2"/>
    </xf>
    <xf numFmtId="0" fontId="21"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99" fillId="0" borderId="0" xfId="0" applyFont="1" applyBorder="1" applyAlignment="1">
      <alignment vertical="center"/>
    </xf>
    <xf numFmtId="0" fontId="0" fillId="0" borderId="0" xfId="0" applyBorder="1" applyAlignment="1">
      <alignment horizontal="center" vertical="center"/>
    </xf>
    <xf numFmtId="0" fontId="22" fillId="0" borderId="2" xfId="0" applyFont="1" applyBorder="1" applyAlignment="1">
      <alignment horizontal="right" vertical="center"/>
    </xf>
    <xf numFmtId="0" fontId="0" fillId="0" borderId="1" xfId="0" applyBorder="1" applyAlignment="1">
      <alignment horizontal="center" vertical="center"/>
    </xf>
    <xf numFmtId="0" fontId="102" fillId="0" borderId="1" xfId="0" applyFont="1" applyBorder="1" applyAlignment="1">
      <alignment horizontal="center" vertical="center" wrapText="1"/>
    </xf>
    <xf numFmtId="0" fontId="6" fillId="0" borderId="1" xfId="0" applyFont="1" applyBorder="1" applyAlignment="1">
      <alignment horizontal="center" vertical="center"/>
    </xf>
    <xf numFmtId="0" fontId="13" fillId="0" borderId="0" xfId="0" applyFont="1" applyBorder="1" applyAlignment="1">
      <alignment horizontal="right" vertical="center" wrapText="1" readingOrder="2"/>
    </xf>
    <xf numFmtId="0" fontId="103" fillId="0" borderId="6" xfId="0" applyFont="1" applyBorder="1" applyAlignment="1">
      <alignment horizontal="center" vertical="center" wrapText="1" readingOrder="2"/>
    </xf>
    <xf numFmtId="0" fontId="37" fillId="0" borderId="5" xfId="0" applyFont="1" applyBorder="1" applyAlignment="1">
      <alignment horizontal="center" vertical="center" wrapText="1" readingOrder="2"/>
    </xf>
    <xf numFmtId="0" fontId="102" fillId="0" borderId="0" xfId="0" applyFont="1" applyBorder="1" applyAlignment="1">
      <alignment horizontal="center" vertical="center" wrapText="1"/>
    </xf>
    <xf numFmtId="0" fontId="9" fillId="0" borderId="5" xfId="0" applyFont="1" applyBorder="1" applyAlignment="1">
      <alignment horizontal="center" vertical="center" wrapText="1" readingOrder="2"/>
    </xf>
    <xf numFmtId="0" fontId="112" fillId="0" borderId="0" xfId="0" applyFont="1" applyBorder="1" applyAlignment="1">
      <alignment horizontal="center" vertical="center" textRotation="90"/>
    </xf>
    <xf numFmtId="0" fontId="9" fillId="0" borderId="0"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24" fillId="0" borderId="2" xfId="0" applyFont="1" applyBorder="1" applyAlignment="1">
      <alignment horizontal="right" vertical="center" wrapText="1"/>
    </xf>
    <xf numFmtId="0" fontId="116" fillId="0" borderId="10" xfId="0" applyFont="1" applyBorder="1" applyAlignment="1">
      <alignment vertical="center"/>
    </xf>
    <xf numFmtId="0" fontId="116" fillId="0" borderId="0" xfId="0" applyFont="1" applyBorder="1" applyAlignment="1">
      <alignment vertical="center"/>
    </xf>
    <xf numFmtId="0" fontId="116" fillId="0" borderId="11" xfId="0" applyFont="1" applyBorder="1" applyAlignment="1">
      <alignment vertical="center"/>
    </xf>
    <xf numFmtId="0" fontId="107" fillId="0" borderId="10" xfId="0" applyFont="1" applyBorder="1" applyAlignment="1">
      <alignment horizontal="right" vertical="center"/>
    </xf>
    <xf numFmtId="0" fontId="107" fillId="0" borderId="0" xfId="0" applyFont="1" applyBorder="1" applyAlignment="1" applyProtection="1">
      <alignment horizontal="right" vertical="center"/>
      <protection locked="0"/>
    </xf>
    <xf numFmtId="0" fontId="107" fillId="0" borderId="0" xfId="0" applyFont="1" applyFill="1" applyBorder="1" applyAlignment="1" applyProtection="1">
      <alignment horizontal="right" vertical="center"/>
      <protection locked="0"/>
    </xf>
    <xf numFmtId="0" fontId="107" fillId="0" borderId="11" xfId="0" applyFont="1" applyBorder="1" applyAlignment="1">
      <alignment horizontal="right" vertical="center"/>
    </xf>
    <xf numFmtId="0" fontId="24" fillId="4" borderId="0" xfId="0" applyFont="1" applyFill="1" applyBorder="1" applyAlignment="1" applyProtection="1">
      <alignment horizontal="center" vertical="center"/>
      <protection locked="0"/>
    </xf>
    <xf numFmtId="0" fontId="0" fillId="0" borderId="0" xfId="0" applyBorder="1" applyAlignment="1">
      <alignment horizontal="center" vertical="center"/>
    </xf>
    <xf numFmtId="0" fontId="0" fillId="0" borderId="73" xfId="0" applyBorder="1"/>
    <xf numFmtId="0" fontId="10" fillId="0" borderId="70" xfId="0" applyFont="1" applyBorder="1"/>
    <xf numFmtId="0" fontId="10" fillId="0" borderId="73" xfId="0" applyFont="1" applyBorder="1"/>
    <xf numFmtId="0" fontId="24" fillId="0" borderId="0" xfId="0" applyFont="1" applyBorder="1" applyAlignment="1" applyProtection="1">
      <alignment horizontal="center" vertical="center" readingOrder="1"/>
      <protection locked="0"/>
    </xf>
    <xf numFmtId="0" fontId="0" fillId="0" borderId="71" xfId="0" applyBorder="1" applyAlignment="1">
      <alignment horizontal="center" vertical="center"/>
    </xf>
    <xf numFmtId="49" fontId="0" fillId="0" borderId="72" xfId="0" applyNumberFormat="1" applyBorder="1" applyAlignment="1">
      <alignment horizontal="center" vertical="center"/>
    </xf>
    <xf numFmtId="49" fontId="0" fillId="0" borderId="7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119" fillId="0" borderId="0" xfId="0" applyFont="1" applyBorder="1" applyAlignment="1">
      <alignment vertical="center"/>
    </xf>
    <xf numFmtId="0" fontId="119" fillId="0" borderId="8" xfId="0" applyFont="1" applyFill="1" applyBorder="1" applyAlignment="1" applyProtection="1">
      <alignment vertical="center"/>
      <protection locked="0"/>
    </xf>
    <xf numFmtId="0" fontId="119" fillId="0" borderId="0" xfId="0" applyFont="1" applyFill="1" applyBorder="1" applyAlignment="1" applyProtection="1">
      <alignment vertical="center"/>
      <protection locked="0"/>
    </xf>
    <xf numFmtId="0" fontId="0" fillId="0" borderId="35" xfId="0" applyBorder="1" applyAlignment="1">
      <alignment horizontal="center" vertical="center"/>
    </xf>
    <xf numFmtId="0" fontId="0" fillId="0" borderId="33" xfId="0" applyBorder="1" applyAlignment="1">
      <alignment horizontal="center" vertical="center"/>
    </xf>
    <xf numFmtId="0" fontId="85" fillId="7" borderId="59" xfId="0" applyFont="1" applyFill="1" applyBorder="1" applyAlignment="1">
      <alignment horizontal="center" vertical="center"/>
    </xf>
    <xf numFmtId="0" fontId="82" fillId="0" borderId="1" xfId="0" applyFont="1" applyBorder="1" applyAlignment="1" applyProtection="1">
      <alignment horizontal="center" vertical="center"/>
      <protection locked="0"/>
    </xf>
    <xf numFmtId="0" fontId="24"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8" fillId="10" borderId="1" xfId="0" applyFont="1" applyFill="1" applyBorder="1" applyAlignment="1">
      <alignment horizontal="center" vertical="center" wrapText="1" readingOrder="2"/>
    </xf>
    <xf numFmtId="0" fontId="104" fillId="0" borderId="1" xfId="0" applyFont="1" applyBorder="1" applyAlignment="1">
      <alignment horizontal="center" vertical="center" wrapText="1" readingOrder="2"/>
    </xf>
    <xf numFmtId="0" fontId="103" fillId="0" borderId="1" xfId="0" applyFont="1" applyBorder="1" applyAlignment="1">
      <alignment horizontal="center" vertical="center" wrapText="1" readingOrder="2"/>
    </xf>
    <xf numFmtId="0" fontId="104" fillId="0" borderId="5" xfId="0" applyFont="1" applyBorder="1" applyAlignment="1">
      <alignment horizontal="center" vertical="center" wrapText="1" readingOrder="2"/>
    </xf>
    <xf numFmtId="0" fontId="104" fillId="0" borderId="6" xfId="0" applyFont="1" applyBorder="1" applyAlignment="1">
      <alignment horizontal="center" vertical="center" wrapText="1" readingOrder="2"/>
    </xf>
    <xf numFmtId="0" fontId="99" fillId="0" borderId="0" xfId="0" applyFont="1" applyBorder="1" applyAlignment="1">
      <alignment horizontal="right" vertical="center"/>
    </xf>
    <xf numFmtId="0" fontId="99" fillId="0" borderId="0" xfId="0" applyFont="1" applyBorder="1" applyAlignment="1">
      <alignment horizontal="center" vertical="center"/>
    </xf>
    <xf numFmtId="0" fontId="102" fillId="0" borderId="2" xfId="0" applyFont="1" applyBorder="1" applyAlignment="1">
      <alignment vertical="center" wrapText="1" readingOrder="2"/>
    </xf>
    <xf numFmtId="0" fontId="21" fillId="0" borderId="1" xfId="0" applyFont="1" applyBorder="1" applyAlignment="1">
      <alignment horizontal="center" vertical="center" wrapText="1" readingOrder="2"/>
    </xf>
    <xf numFmtId="0" fontId="120" fillId="0" borderId="0" xfId="0" applyFont="1" applyFill="1" applyBorder="1" applyAlignment="1" applyProtection="1">
      <alignment horizontal="right" vertical="center"/>
      <protection locked="0"/>
    </xf>
    <xf numFmtId="0" fontId="75" fillId="0" borderId="0" xfId="0" applyFont="1" applyBorder="1" applyAlignment="1" applyProtection="1">
      <alignment horizontal="right" vertical="center"/>
      <protection locked="0"/>
    </xf>
    <xf numFmtId="0" fontId="121" fillId="0" borderId="1" xfId="0" applyFont="1" applyBorder="1" applyAlignment="1">
      <alignment horizontal="center" vertical="center" wrapText="1" readingOrder="2"/>
    </xf>
    <xf numFmtId="0" fontId="121" fillId="0" borderId="6" xfId="0" applyFont="1" applyBorder="1" applyAlignment="1">
      <alignment horizontal="center" vertical="center" wrapText="1" readingOrder="2"/>
    </xf>
    <xf numFmtId="0" fontId="121" fillId="0" borderId="5" xfId="0" applyFont="1" applyBorder="1" applyAlignment="1">
      <alignment horizontal="center" vertical="center" wrapText="1" readingOrder="2"/>
    </xf>
    <xf numFmtId="0" fontId="13" fillId="0" borderId="0" xfId="0" applyFont="1" applyAlignment="1">
      <alignment horizontal="center" vertical="top"/>
    </xf>
    <xf numFmtId="0" fontId="105" fillId="0" borderId="0" xfId="0" applyFont="1" applyAlignment="1">
      <alignment horizontal="right" vertical="top" wrapText="1" readingOrder="2"/>
    </xf>
    <xf numFmtId="0" fontId="99" fillId="0" borderId="0" xfId="0" applyFont="1" applyAlignment="1">
      <alignment vertical="top" wrapText="1" readingOrder="2"/>
    </xf>
    <xf numFmtId="0" fontId="6" fillId="0" borderId="5" xfId="0" applyFont="1" applyBorder="1" applyAlignment="1">
      <alignment horizontal="center" vertical="center" wrapText="1" readingOrder="2"/>
    </xf>
    <xf numFmtId="0" fontId="21" fillId="0" borderId="5" xfId="0" applyFont="1" applyBorder="1" applyAlignment="1">
      <alignment horizontal="center" vertical="center" wrapText="1" readingOrder="2"/>
    </xf>
    <xf numFmtId="0" fontId="0" fillId="0" borderId="10" xfId="0" applyFont="1" applyBorder="1" applyAlignment="1">
      <alignment vertical="center"/>
    </xf>
    <xf numFmtId="0" fontId="0" fillId="0" borderId="0" xfId="0" applyFont="1" applyBorder="1" applyAlignment="1">
      <alignment vertical="center"/>
    </xf>
    <xf numFmtId="0" fontId="0" fillId="0" borderId="11" xfId="0" applyFont="1" applyBorder="1" applyAlignment="1">
      <alignment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99" fillId="0" borderId="13" xfId="0" applyFont="1" applyBorder="1" applyAlignment="1">
      <alignment vertical="center" readingOrder="2"/>
    </xf>
    <xf numFmtId="0" fontId="99" fillId="0" borderId="13" xfId="0" applyFont="1" applyBorder="1" applyAlignment="1">
      <alignment vertical="center"/>
    </xf>
    <xf numFmtId="0" fontId="99" fillId="0" borderId="14" xfId="0" applyFont="1" applyBorder="1" applyAlignment="1">
      <alignment vertical="center"/>
    </xf>
    <xf numFmtId="174" fontId="15" fillId="0" borderId="1" xfId="0" applyNumberFormat="1"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2" fillId="0" borderId="5" xfId="0" applyFont="1" applyBorder="1" applyAlignment="1">
      <alignment horizontal="center" vertical="center" wrapText="1" readingOrder="2"/>
    </xf>
    <xf numFmtId="0" fontId="7" fillId="9" borderId="17" xfId="0" applyFont="1" applyFill="1" applyBorder="1" applyAlignment="1">
      <alignment horizontal="center" vertical="center"/>
    </xf>
    <xf numFmtId="0" fontId="0" fillId="0" borderId="17" xfId="0" applyBorder="1" applyAlignment="1">
      <alignment horizontal="center" vertical="center"/>
    </xf>
    <xf numFmtId="0" fontId="0" fillId="9" borderId="17" xfId="0" applyFill="1" applyBorder="1" applyAlignment="1">
      <alignment horizontal="center" vertical="center"/>
    </xf>
    <xf numFmtId="0" fontId="0" fillId="7" borderId="69" xfId="0" applyFont="1" applyFill="1" applyBorder="1" applyAlignment="1">
      <alignment horizontal="center" vertical="center"/>
    </xf>
    <xf numFmtId="0" fontId="0" fillId="7" borderId="64" xfId="0" applyFont="1" applyFill="1" applyBorder="1" applyAlignment="1">
      <alignment horizontal="center" vertical="center"/>
    </xf>
    <xf numFmtId="0" fontId="0" fillId="7" borderId="0" xfId="0" applyFont="1" applyFill="1" applyBorder="1" applyAlignment="1">
      <alignment horizontal="center" vertical="center"/>
    </xf>
    <xf numFmtId="0" fontId="2" fillId="0" borderId="17" xfId="0"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hidden="1"/>
    </xf>
    <xf numFmtId="0" fontId="90" fillId="0" borderId="15" xfId="0" applyFont="1" applyFill="1" applyBorder="1" applyAlignment="1" applyProtection="1">
      <alignment horizontal="center" vertical="center"/>
      <protection hidden="1"/>
    </xf>
    <xf numFmtId="0" fontId="9" fillId="4" borderId="37" xfId="0" applyFont="1" applyFill="1" applyBorder="1" applyAlignment="1" applyProtection="1">
      <alignment horizontal="center" vertical="center"/>
      <protection locked="0"/>
    </xf>
    <xf numFmtId="0" fontId="9" fillId="4" borderId="38" xfId="0" applyFont="1" applyFill="1" applyBorder="1" applyAlignment="1" applyProtection="1">
      <alignment horizontal="center" vertical="center"/>
      <protection locked="0"/>
    </xf>
    <xf numFmtId="0" fontId="9" fillId="4" borderId="39" xfId="0" applyFont="1" applyFill="1" applyBorder="1" applyAlignment="1" applyProtection="1">
      <alignment horizontal="center" vertical="center"/>
      <protection locked="0"/>
    </xf>
    <xf numFmtId="0" fontId="0" fillId="0" borderId="0" xfId="0" applyBorder="1" applyAlignment="1">
      <alignment horizontal="center" vertical="center"/>
    </xf>
    <xf numFmtId="0" fontId="40" fillId="0" borderId="2" xfId="0" applyFont="1" applyBorder="1" applyAlignment="1">
      <alignment horizontal="right" vertical="center"/>
    </xf>
    <xf numFmtId="0" fontId="40" fillId="0" borderId="4" xfId="0" applyFont="1" applyBorder="1" applyAlignment="1">
      <alignment horizontal="right" vertical="center"/>
    </xf>
    <xf numFmtId="0" fontId="41" fillId="0" borderId="2" xfId="0" applyFont="1" applyBorder="1" applyAlignment="1">
      <alignment horizontal="right" vertical="center"/>
    </xf>
    <xf numFmtId="0" fontId="41" fillId="0" borderId="4" xfId="0" applyFont="1" applyBorder="1" applyAlignment="1">
      <alignment horizontal="right" vertical="center"/>
    </xf>
    <xf numFmtId="0" fontId="38" fillId="5" borderId="12" xfId="0" applyFont="1" applyFill="1" applyBorder="1" applyAlignment="1">
      <alignment horizontal="center" vertical="center"/>
    </xf>
    <xf numFmtId="0" fontId="38" fillId="5" borderId="13" xfId="0" applyFont="1" applyFill="1" applyBorder="1" applyAlignment="1">
      <alignment horizontal="center" vertical="center"/>
    </xf>
    <xf numFmtId="0" fontId="38" fillId="5" borderId="14" xfId="0" applyFont="1" applyFill="1" applyBorder="1" applyAlignment="1">
      <alignment horizontal="center" vertical="center"/>
    </xf>
    <xf numFmtId="0" fontId="60" fillId="0" borderId="4" xfId="0" applyFont="1" applyBorder="1" applyAlignment="1">
      <alignment horizontal="right" vertical="center"/>
    </xf>
    <xf numFmtId="0" fontId="40" fillId="0" borderId="51" xfId="0" applyFont="1" applyBorder="1" applyAlignment="1">
      <alignment horizontal="center" vertical="center"/>
    </xf>
    <xf numFmtId="0" fontId="40" fillId="0" borderId="4" xfId="0" applyFont="1" applyBorder="1" applyAlignment="1">
      <alignment horizontal="center" vertical="center"/>
    </xf>
    <xf numFmtId="0" fontId="38" fillId="0" borderId="7" xfId="0" applyFont="1" applyBorder="1" applyAlignment="1">
      <alignment horizontal="center"/>
    </xf>
    <xf numFmtId="0" fontId="38" fillId="0" borderId="8" xfId="0" applyFont="1" applyBorder="1" applyAlignment="1">
      <alignment horizontal="center"/>
    </xf>
    <xf numFmtId="0" fontId="38" fillId="0" borderId="9" xfId="0" applyFont="1" applyBorder="1" applyAlignment="1">
      <alignment horizontal="center"/>
    </xf>
    <xf numFmtId="0" fontId="38" fillId="0" borderId="10" xfId="0" applyFont="1" applyBorder="1" applyAlignment="1">
      <alignment horizontal="center"/>
    </xf>
    <xf numFmtId="0" fontId="38" fillId="0" borderId="0" xfId="0" applyFont="1" applyBorder="1" applyAlignment="1">
      <alignment horizontal="center"/>
    </xf>
    <xf numFmtId="0" fontId="38" fillId="0" borderId="11" xfId="0" applyFont="1" applyBorder="1" applyAlignment="1">
      <alignment horizontal="center"/>
    </xf>
    <xf numFmtId="0" fontId="38" fillId="0" borderId="12" xfId="0" applyFont="1" applyBorder="1" applyAlignment="1">
      <alignment horizontal="center"/>
    </xf>
    <xf numFmtId="0" fontId="38" fillId="0" borderId="13" xfId="0" applyFont="1" applyBorder="1" applyAlignment="1">
      <alignment horizontal="center"/>
    </xf>
    <xf numFmtId="0" fontId="38" fillId="0" borderId="14" xfId="0" applyFont="1" applyBorder="1" applyAlignment="1">
      <alignment horizontal="center"/>
    </xf>
    <xf numFmtId="0" fontId="60" fillId="5" borderId="5" xfId="0" applyFont="1" applyFill="1" applyBorder="1" applyAlignment="1">
      <alignment horizontal="center" vertical="center"/>
    </xf>
    <xf numFmtId="0" fontId="40" fillId="0" borderId="2" xfId="0" applyFont="1" applyBorder="1" applyAlignment="1">
      <alignment horizontal="center" vertical="center"/>
    </xf>
    <xf numFmtId="0" fontId="40" fillId="0" borderId="4" xfId="0" applyFont="1" applyBorder="1" applyAlignment="1" applyProtection="1">
      <alignment horizontal="right" vertical="center"/>
      <protection hidden="1"/>
    </xf>
    <xf numFmtId="0" fontId="40" fillId="0" borderId="3" xfId="0" applyFont="1" applyBorder="1" applyAlignment="1" applyProtection="1">
      <alignment horizontal="right" vertical="center"/>
      <protection hidden="1"/>
    </xf>
    <xf numFmtId="0" fontId="40" fillId="0" borderId="4" xfId="0" applyFont="1" applyBorder="1" applyAlignment="1" applyProtection="1">
      <alignment horizontal="center" vertical="center"/>
      <protection hidden="1"/>
    </xf>
    <xf numFmtId="0" fontId="40" fillId="0" borderId="3" xfId="0" applyFont="1" applyBorder="1" applyAlignment="1" applyProtection="1">
      <alignment horizontal="center" vertical="center"/>
      <protection hidden="1"/>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0" xfId="0" applyFont="1" applyBorder="1" applyAlignment="1">
      <alignment horizontal="center" vertical="center"/>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60" fillId="2" borderId="1" xfId="0" applyFont="1" applyFill="1" applyBorder="1" applyAlignment="1">
      <alignment horizontal="center" vertical="center"/>
    </xf>
    <xf numFmtId="0" fontId="41" fillId="0" borderId="3" xfId="0" applyFont="1" applyBorder="1" applyAlignment="1">
      <alignment horizontal="right" vertical="center"/>
    </xf>
    <xf numFmtId="0" fontId="41" fillId="0" borderId="1" xfId="0" applyFont="1" applyBorder="1" applyAlignment="1">
      <alignment horizontal="right" vertical="center"/>
    </xf>
    <xf numFmtId="0" fontId="60" fillId="2" borderId="1" xfId="0" applyFont="1" applyFill="1" applyBorder="1" applyAlignment="1">
      <alignment horizontal="center"/>
    </xf>
    <xf numFmtId="0" fontId="60" fillId="0" borderId="3" xfId="0" applyFont="1" applyBorder="1" applyAlignment="1">
      <alignment horizontal="right" vertical="center"/>
    </xf>
    <xf numFmtId="0" fontId="60" fillId="5" borderId="12" xfId="0" applyFont="1" applyFill="1" applyBorder="1" applyAlignment="1">
      <alignment horizontal="center" vertical="center"/>
    </xf>
    <xf numFmtId="0" fontId="60" fillId="5" borderId="13" xfId="0" applyFont="1" applyFill="1" applyBorder="1" applyAlignment="1">
      <alignment horizontal="center" vertical="center"/>
    </xf>
    <xf numFmtId="0" fontId="60" fillId="6" borderId="5" xfId="0" applyFont="1" applyFill="1" applyBorder="1" applyAlignment="1">
      <alignment horizontal="center" vertical="center"/>
    </xf>
    <xf numFmtId="0" fontId="7" fillId="0" borderId="1" xfId="0" applyFont="1" applyBorder="1" applyAlignment="1">
      <alignment horizontal="right" vertical="center"/>
    </xf>
    <xf numFmtId="0" fontId="38" fillId="0" borderId="1" xfId="0" applyFont="1" applyBorder="1" applyAlignment="1">
      <alignment horizontal="center" vertical="center"/>
    </xf>
    <xf numFmtId="0" fontId="60" fillId="6" borderId="1" xfId="0" applyFont="1" applyFill="1" applyBorder="1" applyAlignment="1">
      <alignment horizontal="center" vertical="center"/>
    </xf>
    <xf numFmtId="1" fontId="60" fillId="6" borderId="7" xfId="0" applyNumberFormat="1" applyFont="1" applyFill="1" applyBorder="1" applyAlignment="1">
      <alignment horizontal="center" vertical="center"/>
    </xf>
    <xf numFmtId="1" fontId="60" fillId="6" borderId="8" xfId="0" applyNumberFormat="1" applyFont="1" applyFill="1" applyBorder="1" applyAlignment="1">
      <alignment horizontal="center" vertical="center"/>
    </xf>
    <xf numFmtId="1" fontId="60" fillId="6" borderId="9" xfId="0" applyNumberFormat="1" applyFont="1" applyFill="1" applyBorder="1" applyAlignment="1">
      <alignment horizontal="center" vertical="center"/>
    </xf>
    <xf numFmtId="1" fontId="60" fillId="6" borderId="10" xfId="0" applyNumberFormat="1" applyFont="1" applyFill="1" applyBorder="1" applyAlignment="1">
      <alignment horizontal="center" vertical="center"/>
    </xf>
    <xf numFmtId="1" fontId="60" fillId="6" borderId="0" xfId="0" applyNumberFormat="1" applyFont="1" applyFill="1" applyBorder="1" applyAlignment="1">
      <alignment horizontal="center" vertical="center"/>
    </xf>
    <xf numFmtId="1" fontId="60" fillId="6" borderId="11" xfId="0" applyNumberFormat="1" applyFont="1" applyFill="1" applyBorder="1" applyAlignment="1">
      <alignment horizontal="center" vertical="center"/>
    </xf>
    <xf numFmtId="0" fontId="38" fillId="6" borderId="12" xfId="0" applyFont="1" applyFill="1" applyBorder="1" applyAlignment="1">
      <alignment horizontal="center" vertical="center"/>
    </xf>
    <xf numFmtId="0" fontId="38" fillId="6" borderId="13" xfId="0" applyFont="1" applyFill="1" applyBorder="1" applyAlignment="1">
      <alignment horizontal="center" vertical="center"/>
    </xf>
    <xf numFmtId="0" fontId="38" fillId="6" borderId="14" xfId="0" applyFont="1" applyFill="1" applyBorder="1" applyAlignment="1">
      <alignment horizontal="center" vertical="center"/>
    </xf>
    <xf numFmtId="0" fontId="40" fillId="6" borderId="12" xfId="0" applyFont="1" applyFill="1" applyBorder="1" applyAlignment="1">
      <alignment horizontal="center" vertical="center"/>
    </xf>
    <xf numFmtId="0" fontId="40" fillId="6" borderId="13" xfId="0" applyFont="1" applyFill="1" applyBorder="1" applyAlignment="1">
      <alignment horizontal="center" vertical="center"/>
    </xf>
    <xf numFmtId="0" fontId="40" fillId="6" borderId="14" xfId="0" applyFont="1" applyFill="1" applyBorder="1" applyAlignment="1">
      <alignment horizontal="center" vertical="center"/>
    </xf>
    <xf numFmtId="0" fontId="60" fillId="5" borderId="1" xfId="0" applyFont="1" applyFill="1" applyBorder="1" applyAlignment="1">
      <alignment horizontal="center" vertical="center"/>
    </xf>
    <xf numFmtId="0" fontId="38" fillId="0" borderId="4" xfId="0" applyFont="1" applyBorder="1" applyAlignment="1">
      <alignment horizontal="right" vertical="center"/>
    </xf>
    <xf numFmtId="0" fontId="38" fillId="0" borderId="3" xfId="0" applyFont="1" applyBorder="1" applyAlignment="1">
      <alignment horizontal="right" vertical="center"/>
    </xf>
    <xf numFmtId="0" fontId="60" fillId="6" borderId="12" xfId="0" applyFont="1" applyFill="1" applyBorder="1" applyAlignment="1">
      <alignment horizontal="center" vertical="center"/>
    </xf>
    <xf numFmtId="0" fontId="60" fillId="6" borderId="13" xfId="0" applyFont="1" applyFill="1" applyBorder="1" applyAlignment="1">
      <alignment horizontal="center" vertical="center"/>
    </xf>
    <xf numFmtId="0" fontId="60" fillId="6" borderId="14" xfId="0" applyFont="1" applyFill="1" applyBorder="1" applyAlignment="1">
      <alignment horizontal="center" vertical="center"/>
    </xf>
    <xf numFmtId="0" fontId="60" fillId="6" borderId="10" xfId="0" applyFont="1" applyFill="1" applyBorder="1" applyAlignment="1">
      <alignment horizontal="center" vertical="center"/>
    </xf>
    <xf numFmtId="0" fontId="60" fillId="6" borderId="0" xfId="0" applyFont="1" applyFill="1" applyBorder="1" applyAlignment="1">
      <alignment horizontal="center" vertical="center"/>
    </xf>
    <xf numFmtId="0" fontId="60" fillId="6" borderId="11" xfId="0" applyFont="1" applyFill="1" applyBorder="1" applyAlignment="1">
      <alignment horizontal="center" vertical="center"/>
    </xf>
    <xf numFmtId="165" fontId="60" fillId="6" borderId="7" xfId="0" applyNumberFormat="1" applyFont="1" applyFill="1" applyBorder="1" applyAlignment="1">
      <alignment horizontal="center" vertical="center"/>
    </xf>
    <xf numFmtId="165" fontId="60" fillId="6" borderId="8" xfId="0" applyNumberFormat="1" applyFont="1" applyFill="1" applyBorder="1" applyAlignment="1">
      <alignment horizontal="center" vertical="center"/>
    </xf>
    <xf numFmtId="165" fontId="60" fillId="6" borderId="9" xfId="0" applyNumberFormat="1" applyFont="1" applyFill="1" applyBorder="1" applyAlignment="1">
      <alignment horizontal="center" vertical="center"/>
    </xf>
    <xf numFmtId="165" fontId="60" fillId="6" borderId="10" xfId="0" applyNumberFormat="1" applyFont="1" applyFill="1" applyBorder="1" applyAlignment="1">
      <alignment horizontal="center" vertical="center"/>
    </xf>
    <xf numFmtId="165" fontId="60" fillId="6" borderId="0" xfId="0" applyNumberFormat="1" applyFont="1" applyFill="1" applyBorder="1" applyAlignment="1">
      <alignment horizontal="center" vertical="center"/>
    </xf>
    <xf numFmtId="165" fontId="60" fillId="6" borderId="11" xfId="0" applyNumberFormat="1" applyFont="1" applyFill="1" applyBorder="1" applyAlignment="1">
      <alignment horizontal="center" vertical="center"/>
    </xf>
    <xf numFmtId="165" fontId="38" fillId="6" borderId="1" xfId="0" applyNumberFormat="1" applyFont="1" applyFill="1" applyBorder="1" applyAlignment="1">
      <alignment horizontal="center" vertical="center"/>
    </xf>
    <xf numFmtId="165" fontId="38" fillId="6" borderId="2" xfId="0" applyNumberFormat="1" applyFont="1" applyFill="1" applyBorder="1" applyAlignment="1">
      <alignment horizontal="center" vertical="center"/>
    </xf>
    <xf numFmtId="165" fontId="38" fillId="6" borderId="5" xfId="0" applyNumberFormat="1" applyFont="1" applyFill="1" applyBorder="1" applyAlignment="1">
      <alignment horizontal="center" vertical="center"/>
    </xf>
    <xf numFmtId="165" fontId="38" fillId="6" borderId="7" xfId="0" applyNumberFormat="1" applyFont="1" applyFill="1" applyBorder="1" applyAlignment="1">
      <alignment horizontal="center" vertical="center"/>
    </xf>
    <xf numFmtId="0" fontId="60" fillId="0" borderId="1" xfId="0" applyFont="1" applyBorder="1" applyAlignment="1">
      <alignment horizontal="center" vertical="center"/>
    </xf>
    <xf numFmtId="165" fontId="40" fillId="0" borderId="4" xfId="0" applyNumberFormat="1" applyFont="1" applyBorder="1" applyAlignment="1" applyProtection="1">
      <alignment horizontal="right" vertical="center"/>
      <protection hidden="1"/>
    </xf>
    <xf numFmtId="0" fontId="9" fillId="0" borderId="40" xfId="0" applyFont="1" applyBorder="1" applyAlignment="1" applyProtection="1">
      <alignment horizontal="center" vertical="center"/>
      <protection locked="0"/>
    </xf>
    <xf numFmtId="171" fontId="9" fillId="0" borderId="40" xfId="0" applyNumberFormat="1" applyFont="1" applyBorder="1" applyAlignment="1" applyProtection="1">
      <alignment horizontal="center" vertical="center"/>
      <protection locked="0"/>
    </xf>
    <xf numFmtId="0" fontId="40" fillId="0" borderId="4" xfId="0" applyFont="1" applyBorder="1" applyAlignment="1" applyProtection="1">
      <alignment horizontal="right" vertical="center" readingOrder="2"/>
      <protection hidden="1"/>
    </xf>
    <xf numFmtId="0" fontId="40" fillId="0" borderId="3" xfId="0" applyFont="1" applyBorder="1" applyAlignment="1" applyProtection="1">
      <alignment horizontal="right" vertical="center" readingOrder="2"/>
      <protection hidden="1"/>
    </xf>
    <xf numFmtId="0" fontId="65" fillId="0" borderId="1" xfId="0" applyFont="1" applyBorder="1" applyAlignment="1">
      <alignment horizontal="center" vertical="center"/>
    </xf>
    <xf numFmtId="0" fontId="41" fillId="0" borderId="1" xfId="0" applyFont="1" applyBorder="1" applyAlignment="1">
      <alignment horizontal="center" vertical="center"/>
    </xf>
    <xf numFmtId="167" fontId="40" fillId="0" borderId="4" xfId="0" applyNumberFormat="1" applyFont="1" applyBorder="1" applyAlignment="1" applyProtection="1">
      <alignment horizontal="right" vertical="center" readingOrder="2"/>
      <protection hidden="1"/>
    </xf>
    <xf numFmtId="167" fontId="40" fillId="0" borderId="3" xfId="0" applyNumberFormat="1" applyFont="1" applyBorder="1" applyAlignment="1" applyProtection="1">
      <alignment horizontal="right" vertical="center" readingOrder="2"/>
      <protection hidden="1"/>
    </xf>
    <xf numFmtId="0" fontId="40" fillId="0" borderId="2" xfId="0" applyFont="1" applyBorder="1" applyAlignment="1" applyProtection="1">
      <alignment horizontal="center" vertical="center" readingOrder="2"/>
      <protection hidden="1"/>
    </xf>
    <xf numFmtId="0" fontId="40" fillId="0" borderId="4" xfId="0" applyFont="1" applyBorder="1" applyAlignment="1" applyProtection="1">
      <alignment horizontal="center" vertical="center" readingOrder="2"/>
      <protection hidden="1"/>
    </xf>
    <xf numFmtId="2" fontId="60" fillId="6" borderId="7" xfId="0" applyNumberFormat="1" applyFont="1" applyFill="1" applyBorder="1" applyAlignment="1">
      <alignment horizontal="center" vertical="center"/>
    </xf>
    <xf numFmtId="0" fontId="60" fillId="6" borderId="8" xfId="0" applyFont="1" applyFill="1" applyBorder="1" applyAlignment="1">
      <alignment horizontal="center" vertical="center"/>
    </xf>
    <xf numFmtId="0" fontId="60" fillId="6" borderId="9" xfId="0" applyFont="1" applyFill="1" applyBorder="1" applyAlignment="1">
      <alignment horizontal="center" vertical="center"/>
    </xf>
    <xf numFmtId="0" fontId="8" fillId="4" borderId="0" xfId="0" applyFont="1" applyFill="1" applyBorder="1" applyAlignment="1" applyProtection="1">
      <alignment horizontal="center" vertical="center"/>
      <protection locked="0"/>
    </xf>
    <xf numFmtId="0" fontId="38" fillId="5" borderId="1" xfId="0" applyFont="1" applyFill="1" applyBorder="1" applyAlignment="1">
      <alignment horizontal="center" vertical="center"/>
    </xf>
    <xf numFmtId="0" fontId="38" fillId="5" borderId="5" xfId="0" applyFont="1" applyFill="1" applyBorder="1" applyAlignment="1">
      <alignment horizontal="center" vertical="center"/>
    </xf>
    <xf numFmtId="2" fontId="38" fillId="5" borderId="1" xfId="0" applyNumberFormat="1" applyFont="1" applyFill="1" applyBorder="1" applyAlignment="1">
      <alignment horizontal="center" vertical="center"/>
    </xf>
    <xf numFmtId="2" fontId="38" fillId="5" borderId="5" xfId="0" applyNumberFormat="1" applyFont="1" applyFill="1" applyBorder="1" applyAlignment="1">
      <alignment horizontal="center" vertical="center"/>
    </xf>
    <xf numFmtId="0" fontId="60" fillId="5" borderId="7" xfId="0" applyFont="1" applyFill="1" applyBorder="1" applyAlignment="1">
      <alignment horizontal="center" vertical="center"/>
    </xf>
    <xf numFmtId="0" fontId="60" fillId="5" borderId="8" xfId="0" applyFont="1" applyFill="1" applyBorder="1" applyAlignment="1">
      <alignment horizontal="center" vertical="center"/>
    </xf>
    <xf numFmtId="0" fontId="60" fillId="5" borderId="9" xfId="0" applyFont="1" applyFill="1" applyBorder="1" applyAlignment="1">
      <alignment horizontal="center" vertical="center"/>
    </xf>
    <xf numFmtId="0" fontId="60" fillId="5" borderId="10" xfId="0" applyFont="1" applyFill="1" applyBorder="1" applyAlignment="1">
      <alignment horizontal="center" vertical="center"/>
    </xf>
    <xf numFmtId="0" fontId="60" fillId="5" borderId="0" xfId="0" applyFont="1" applyFill="1" applyBorder="1" applyAlignment="1">
      <alignment horizontal="center" vertical="center"/>
    </xf>
    <xf numFmtId="0" fontId="60" fillId="5" borderId="11" xfId="0" applyFont="1" applyFill="1" applyBorder="1" applyAlignment="1">
      <alignment horizontal="center" vertical="center"/>
    </xf>
    <xf numFmtId="165" fontId="38" fillId="5" borderId="1" xfId="0" applyNumberFormat="1" applyFont="1" applyFill="1" applyBorder="1" applyAlignment="1">
      <alignment horizontal="center" vertical="center"/>
    </xf>
    <xf numFmtId="165" fontId="38" fillId="5" borderId="2" xfId="0" applyNumberFormat="1" applyFont="1" applyFill="1" applyBorder="1" applyAlignment="1">
      <alignment horizontal="center" vertical="center"/>
    </xf>
    <xf numFmtId="165" fontId="38" fillId="5" borderId="5" xfId="0" applyNumberFormat="1" applyFont="1" applyFill="1" applyBorder="1" applyAlignment="1">
      <alignment horizontal="center" vertical="center"/>
    </xf>
    <xf numFmtId="165" fontId="38" fillId="5" borderId="7" xfId="0" applyNumberFormat="1" applyFont="1" applyFill="1" applyBorder="1" applyAlignment="1">
      <alignment horizontal="center" vertical="center"/>
    </xf>
    <xf numFmtId="0" fontId="40" fillId="0" borderId="3" xfId="0" applyFont="1" applyBorder="1" applyAlignment="1">
      <alignment horizontal="center" vertical="center"/>
    </xf>
    <xf numFmtId="0" fontId="22" fillId="0" borderId="1" xfId="0" applyFont="1" applyBorder="1" applyAlignment="1">
      <alignment horizontal="right" vertical="center"/>
    </xf>
    <xf numFmtId="0" fontId="41" fillId="0" borderId="2"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167" fontId="41" fillId="0" borderId="10" xfId="0" applyNumberFormat="1" applyFont="1" applyBorder="1" applyAlignment="1">
      <alignment horizontal="center" vertical="center" readingOrder="2"/>
    </xf>
    <xf numFmtId="167" fontId="41" fillId="0" borderId="0" xfId="0" applyNumberFormat="1" applyFont="1" applyBorder="1" applyAlignment="1">
      <alignment horizontal="center" vertical="center" readingOrder="2"/>
    </xf>
    <xf numFmtId="167" fontId="41" fillId="0" borderId="11" xfId="0" applyNumberFormat="1" applyFont="1" applyBorder="1" applyAlignment="1">
      <alignment horizontal="center" vertical="center" readingOrder="2"/>
    </xf>
    <xf numFmtId="0" fontId="40" fillId="5" borderId="1" xfId="0" applyFont="1" applyFill="1" applyBorder="1" applyAlignment="1">
      <alignment horizontal="center" vertical="center"/>
    </xf>
    <xf numFmtId="0" fontId="40" fillId="5" borderId="5" xfId="0" applyFont="1" applyFill="1" applyBorder="1" applyAlignment="1">
      <alignment horizontal="center" vertical="center"/>
    </xf>
    <xf numFmtId="0" fontId="40" fillId="0" borderId="1" xfId="0" applyFont="1" applyBorder="1" applyAlignment="1">
      <alignment horizontal="center" vertical="center"/>
    </xf>
    <xf numFmtId="169" fontId="38" fillId="6" borderId="1" xfId="0" applyNumberFormat="1" applyFont="1" applyFill="1" applyBorder="1" applyAlignment="1">
      <alignment horizontal="center" vertical="center"/>
    </xf>
    <xf numFmtId="169" fontId="38" fillId="6" borderId="5" xfId="0" applyNumberFormat="1" applyFont="1" applyFill="1" applyBorder="1" applyAlignment="1">
      <alignment horizontal="center" vertical="center"/>
    </xf>
    <xf numFmtId="2" fontId="38" fillId="6" borderId="1" xfId="0" applyNumberFormat="1" applyFont="1" applyFill="1" applyBorder="1" applyAlignment="1">
      <alignment horizontal="center" vertical="center"/>
    </xf>
    <xf numFmtId="2" fontId="38" fillId="6" borderId="5" xfId="0" applyNumberFormat="1" applyFont="1" applyFill="1" applyBorder="1" applyAlignment="1">
      <alignment horizontal="center" vertical="center"/>
    </xf>
    <xf numFmtId="0" fontId="41" fillId="5" borderId="1" xfId="0" applyFont="1" applyFill="1" applyBorder="1" applyAlignment="1">
      <alignment horizontal="center" vertical="center"/>
    </xf>
    <xf numFmtId="0" fontId="41" fillId="5" borderId="5" xfId="0" applyFont="1" applyFill="1" applyBorder="1" applyAlignment="1">
      <alignment horizontal="center" vertical="center"/>
    </xf>
    <xf numFmtId="0" fontId="41" fillId="6" borderId="1" xfId="0" applyFont="1" applyFill="1" applyBorder="1" applyAlignment="1">
      <alignment horizontal="center" vertical="center"/>
    </xf>
    <xf numFmtId="0" fontId="41" fillId="6" borderId="5" xfId="0" applyFont="1" applyFill="1" applyBorder="1" applyAlignment="1">
      <alignment horizontal="center" vertical="center"/>
    </xf>
    <xf numFmtId="169" fontId="38" fillId="5" borderId="1" xfId="0" applyNumberFormat="1" applyFont="1" applyFill="1" applyBorder="1" applyAlignment="1">
      <alignment horizontal="center" vertical="center"/>
    </xf>
    <xf numFmtId="169" fontId="38" fillId="5" borderId="5" xfId="0" applyNumberFormat="1" applyFont="1" applyFill="1" applyBorder="1" applyAlignment="1">
      <alignment horizontal="center" vertical="center"/>
    </xf>
    <xf numFmtId="0" fontId="41" fillId="5" borderId="12" xfId="0" applyFont="1" applyFill="1" applyBorder="1" applyAlignment="1">
      <alignment horizontal="center" vertical="center"/>
    </xf>
    <xf numFmtId="0" fontId="41" fillId="5" borderId="13" xfId="0" applyFont="1" applyFill="1" applyBorder="1" applyAlignment="1">
      <alignment horizontal="center" vertical="center"/>
    </xf>
    <xf numFmtId="0" fontId="41" fillId="5" borderId="14" xfId="0" applyFont="1" applyFill="1" applyBorder="1" applyAlignment="1">
      <alignment horizontal="center" vertic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1" fillId="6" borderId="14" xfId="0" applyFont="1" applyFill="1" applyBorder="1" applyAlignment="1">
      <alignment horizontal="center" vertical="center"/>
    </xf>
    <xf numFmtId="2" fontId="38" fillId="6" borderId="12" xfId="0" applyNumberFormat="1" applyFont="1" applyFill="1" applyBorder="1" applyAlignment="1">
      <alignment horizontal="center" vertical="center"/>
    </xf>
    <xf numFmtId="2" fontId="38" fillId="6" borderId="13" xfId="0" applyNumberFormat="1" applyFont="1" applyFill="1" applyBorder="1" applyAlignment="1">
      <alignment horizontal="center" vertical="center"/>
    </xf>
    <xf numFmtId="2" fontId="38" fillId="6" borderId="14" xfId="0" applyNumberFormat="1" applyFont="1" applyFill="1" applyBorder="1" applyAlignment="1">
      <alignment horizontal="center" vertical="center"/>
    </xf>
    <xf numFmtId="0" fontId="41" fillId="0" borderId="10" xfId="0" applyFont="1" applyBorder="1" applyAlignment="1">
      <alignment horizontal="center" vertical="center"/>
    </xf>
    <xf numFmtId="0" fontId="41" fillId="0" borderId="0" xfId="0" applyFont="1" applyBorder="1" applyAlignment="1">
      <alignment horizontal="center" vertical="center"/>
    </xf>
    <xf numFmtId="0" fontId="41" fillId="0" borderId="0" xfId="0" applyFont="1" applyBorder="1" applyAlignment="1" applyProtection="1">
      <alignment horizontal="right" vertical="center"/>
      <protection locked="0"/>
    </xf>
    <xf numFmtId="0" fontId="44" fillId="0" borderId="0" xfId="0" applyFont="1" applyBorder="1" applyAlignment="1" applyProtection="1">
      <alignment horizontal="left" vertical="center"/>
      <protection locked="0"/>
    </xf>
    <xf numFmtId="0" fontId="38" fillId="0" borderId="12" xfId="0" applyFont="1" applyBorder="1" applyAlignment="1">
      <alignment horizontal="right" vertical="center" readingOrder="2"/>
    </xf>
    <xf numFmtId="0" fontId="38" fillId="0" borderId="13" xfId="0" applyFont="1" applyBorder="1" applyAlignment="1">
      <alignment horizontal="right" vertical="center" readingOrder="2"/>
    </xf>
    <xf numFmtId="0" fontId="38" fillId="0" borderId="14" xfId="0" applyFont="1" applyBorder="1" applyAlignment="1">
      <alignment horizontal="right" vertical="center" readingOrder="2"/>
    </xf>
    <xf numFmtId="0" fontId="41" fillId="0" borderId="7" xfId="0" applyFont="1" applyBorder="1" applyAlignment="1">
      <alignment horizontal="center" vertical="center" readingOrder="2"/>
    </xf>
    <xf numFmtId="0" fontId="41" fillId="0" borderId="8" xfId="0" applyFont="1" applyBorder="1" applyAlignment="1">
      <alignment horizontal="center" vertical="center" readingOrder="2"/>
    </xf>
    <xf numFmtId="0" fontId="41" fillId="0" borderId="9" xfId="0" applyFont="1" applyBorder="1" applyAlignment="1">
      <alignment horizontal="center" vertical="center" readingOrder="2"/>
    </xf>
    <xf numFmtId="0" fontId="118" fillId="0" borderId="10" xfId="0" applyFont="1" applyBorder="1" applyAlignment="1" applyProtection="1">
      <alignment horizontal="right" vertical="top" wrapText="1"/>
      <protection locked="0"/>
    </xf>
    <xf numFmtId="0" fontId="118" fillId="0" borderId="0" xfId="0" applyFont="1" applyBorder="1" applyAlignment="1" applyProtection="1">
      <alignment horizontal="right" vertical="top" wrapText="1"/>
      <protection locked="0"/>
    </xf>
    <xf numFmtId="0" fontId="118" fillId="0" borderId="11" xfId="0" applyFont="1" applyBorder="1" applyAlignment="1" applyProtection="1">
      <alignment horizontal="right" vertical="top" wrapText="1"/>
      <protection locked="0"/>
    </xf>
    <xf numFmtId="0" fontId="118" fillId="0" borderId="12" xfId="0" applyFont="1" applyBorder="1" applyAlignment="1" applyProtection="1">
      <alignment horizontal="right" vertical="top" wrapText="1"/>
      <protection locked="0"/>
    </xf>
    <xf numFmtId="0" fontId="118" fillId="0" borderId="13" xfId="0" applyFont="1" applyBorder="1" applyAlignment="1" applyProtection="1">
      <alignment horizontal="right" vertical="top" wrapText="1"/>
      <protection locked="0"/>
    </xf>
    <xf numFmtId="0" fontId="118" fillId="0" borderId="14" xfId="0" applyFont="1" applyBorder="1" applyAlignment="1" applyProtection="1">
      <alignment horizontal="right" vertical="top" wrapText="1"/>
      <protection locked="0"/>
    </xf>
    <xf numFmtId="0" fontId="41" fillId="0" borderId="7" xfId="0" applyFont="1" applyBorder="1" applyAlignment="1">
      <alignment horizontal="center" vertical="top" wrapText="1" readingOrder="2"/>
    </xf>
    <xf numFmtId="0" fontId="41" fillId="0" borderId="8" xfId="0" applyFont="1" applyBorder="1" applyAlignment="1">
      <alignment horizontal="center" vertical="top" wrapText="1" readingOrder="2"/>
    </xf>
    <xf numFmtId="0" fontId="41" fillId="0" borderId="9" xfId="0" applyFont="1" applyBorder="1" applyAlignment="1">
      <alignment horizontal="center" vertical="top" wrapText="1" readingOrder="2"/>
    </xf>
    <xf numFmtId="0" fontId="41" fillId="0" borderId="7" xfId="0" applyFont="1" applyBorder="1" applyAlignment="1">
      <alignment horizontal="center" vertical="top" readingOrder="2"/>
    </xf>
    <xf numFmtId="0" fontId="41" fillId="0" borderId="8" xfId="0" applyFont="1" applyBorder="1" applyAlignment="1">
      <alignment horizontal="center" vertical="top" readingOrder="2"/>
    </xf>
    <xf numFmtId="0" fontId="41" fillId="0" borderId="9" xfId="0" applyFont="1" applyBorder="1" applyAlignment="1">
      <alignment horizontal="center" vertical="top" readingOrder="2"/>
    </xf>
    <xf numFmtId="167" fontId="41" fillId="0" borderId="10" xfId="0" applyNumberFormat="1" applyFont="1" applyBorder="1" applyAlignment="1">
      <alignment horizontal="center" vertical="top" wrapText="1" readingOrder="2"/>
    </xf>
    <xf numFmtId="167" fontId="41" fillId="0" borderId="0" xfId="0" applyNumberFormat="1" applyFont="1" applyBorder="1" applyAlignment="1">
      <alignment horizontal="center" vertical="top" wrapText="1" readingOrder="2"/>
    </xf>
    <xf numFmtId="167" fontId="41" fillId="0" borderId="11" xfId="0" applyNumberFormat="1" applyFont="1" applyBorder="1" applyAlignment="1">
      <alignment horizontal="center" vertical="top" wrapText="1" readingOrder="2"/>
    </xf>
    <xf numFmtId="167" fontId="41" fillId="0" borderId="10" xfId="0" applyNumberFormat="1" applyFont="1" applyBorder="1" applyAlignment="1">
      <alignment horizontal="center" vertical="top" readingOrder="2"/>
    </xf>
    <xf numFmtId="167" fontId="41" fillId="0" borderId="0" xfId="0" applyNumberFormat="1" applyFont="1" applyBorder="1" applyAlignment="1">
      <alignment horizontal="center" vertical="top" readingOrder="2"/>
    </xf>
    <xf numFmtId="167" fontId="41" fillId="0" borderId="11" xfId="0" applyNumberFormat="1" applyFont="1" applyBorder="1" applyAlignment="1">
      <alignment horizontal="center" vertical="top" readingOrder="2"/>
    </xf>
    <xf numFmtId="0" fontId="41" fillId="0" borderId="10" xfId="0" applyFont="1" applyBorder="1" applyAlignment="1" applyProtection="1">
      <alignment horizontal="center" vertical="center"/>
      <protection locked="0"/>
    </xf>
    <xf numFmtId="0" fontId="41" fillId="0" borderId="0" xfId="0" applyFont="1" applyBorder="1" applyAlignment="1" applyProtection="1">
      <alignment horizontal="center" vertical="center"/>
      <protection locked="0"/>
    </xf>
    <xf numFmtId="0" fontId="41" fillId="0" borderId="11" xfId="0" applyFont="1" applyBorder="1" applyAlignment="1" applyProtection="1">
      <alignment horizontal="center" vertical="center"/>
      <protection locked="0"/>
    </xf>
    <xf numFmtId="0" fontId="41" fillId="0" borderId="12" xfId="0" applyFont="1" applyBorder="1" applyAlignment="1" applyProtection="1">
      <alignment horizontal="center" vertical="center"/>
      <protection locked="0"/>
    </xf>
    <xf numFmtId="0" fontId="41" fillId="0" borderId="13" xfId="0" applyFont="1" applyBorder="1" applyAlignment="1" applyProtection="1">
      <alignment horizontal="center" vertical="center"/>
      <protection locked="0"/>
    </xf>
    <xf numFmtId="0" fontId="41" fillId="0" borderId="14" xfId="0" applyFont="1" applyBorder="1" applyAlignment="1" applyProtection="1">
      <alignment horizontal="center" vertical="center"/>
      <protection locked="0"/>
    </xf>
    <xf numFmtId="0" fontId="41" fillId="0" borderId="7" xfId="0" applyFont="1" applyBorder="1" applyAlignment="1" applyProtection="1">
      <alignment horizontal="center" vertical="center"/>
      <protection locked="0"/>
    </xf>
    <xf numFmtId="0" fontId="41" fillId="0" borderId="8" xfId="0" applyFont="1" applyBorder="1" applyAlignment="1" applyProtection="1">
      <alignment horizontal="center" vertical="center"/>
      <protection locked="0"/>
    </xf>
    <xf numFmtId="0" fontId="41" fillId="0" borderId="8" xfId="0" applyFont="1" applyBorder="1" applyAlignment="1" applyProtection="1">
      <alignment horizontal="right" vertical="center"/>
      <protection locked="0"/>
    </xf>
    <xf numFmtId="0" fontId="41" fillId="0" borderId="10" xfId="0" applyFont="1" applyBorder="1" applyAlignment="1" applyProtection="1">
      <alignment horizontal="right" vertical="center"/>
      <protection locked="0"/>
    </xf>
    <xf numFmtId="0" fontId="60" fillId="5" borderId="14" xfId="0" applyFont="1" applyFill="1" applyBorder="1" applyAlignment="1">
      <alignment horizontal="center" vertical="center"/>
    </xf>
    <xf numFmtId="0" fontId="41" fillId="2" borderId="1" xfId="0" applyFont="1" applyFill="1" applyBorder="1" applyAlignment="1">
      <alignment horizontal="center" vertical="center"/>
    </xf>
    <xf numFmtId="0" fontId="41" fillId="0" borderId="41" xfId="0" applyFont="1" applyBorder="1" applyAlignment="1">
      <alignment horizontal="center" vertical="center"/>
    </xf>
    <xf numFmtId="0" fontId="41" fillId="0" borderId="11" xfId="0" applyFont="1" applyBorder="1" applyAlignment="1" applyProtection="1">
      <alignment horizontal="right" vertical="center"/>
      <protection locked="0"/>
    </xf>
    <xf numFmtId="0" fontId="39" fillId="2" borderId="2"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3" xfId="0" applyFont="1" applyFill="1" applyBorder="1" applyAlignment="1">
      <alignment horizontal="center" vertical="center"/>
    </xf>
    <xf numFmtId="2" fontId="38" fillId="5" borderId="12" xfId="0" applyNumberFormat="1" applyFont="1" applyFill="1" applyBorder="1" applyAlignment="1">
      <alignment horizontal="center" vertical="center"/>
    </xf>
    <xf numFmtId="2" fontId="38" fillId="5" borderId="13" xfId="0" applyNumberFormat="1" applyFont="1" applyFill="1" applyBorder="1" applyAlignment="1">
      <alignment horizontal="center" vertical="center"/>
    </xf>
    <xf numFmtId="2" fontId="38" fillId="5" borderId="14" xfId="0" applyNumberFormat="1" applyFont="1" applyFill="1" applyBorder="1" applyAlignment="1">
      <alignment horizontal="center" vertical="center"/>
    </xf>
    <xf numFmtId="0" fontId="40" fillId="6" borderId="1" xfId="0" applyFont="1" applyFill="1" applyBorder="1" applyAlignment="1">
      <alignment horizontal="center" vertical="center"/>
    </xf>
    <xf numFmtId="0" fontId="40" fillId="6" borderId="5" xfId="0" applyFont="1" applyFill="1" applyBorder="1" applyAlignment="1">
      <alignment horizontal="center" vertical="center"/>
    </xf>
    <xf numFmtId="0" fontId="0" fillId="0" borderId="40" xfId="0" applyBorder="1" applyAlignment="1">
      <alignment horizontal="center"/>
    </xf>
    <xf numFmtId="0" fontId="23" fillId="0" borderId="1" xfId="0" applyFont="1" applyBorder="1" applyAlignment="1">
      <alignment horizontal="center" vertical="center"/>
    </xf>
    <xf numFmtId="0" fontId="0" fillId="0" borderId="1" xfId="0" applyFont="1" applyBorder="1" applyAlignment="1" applyProtection="1">
      <alignment horizontal="center" vertical="center"/>
      <protection locked="0"/>
    </xf>
    <xf numFmtId="0" fontId="41" fillId="0" borderId="10" xfId="0" applyFont="1" applyBorder="1" applyAlignment="1">
      <alignment horizontal="right"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3" fontId="44" fillId="0" borderId="0" xfId="0" applyNumberFormat="1" applyFont="1" applyBorder="1" applyAlignment="1" applyProtection="1">
      <alignment horizontal="center" vertical="center"/>
      <protection locked="0"/>
    </xf>
    <xf numFmtId="0" fontId="41" fillId="0" borderId="12" xfId="0" applyFont="1" applyBorder="1" applyAlignment="1">
      <alignment horizontal="right" vertical="center"/>
    </xf>
    <xf numFmtId="0" fontId="41" fillId="0" borderId="13" xfId="0" applyFont="1" applyBorder="1" applyAlignment="1">
      <alignment horizontal="right" vertical="center"/>
    </xf>
    <xf numFmtId="0" fontId="41" fillId="0" borderId="13" xfId="0" applyFont="1" applyBorder="1" applyAlignment="1">
      <alignment horizontal="center" vertical="center"/>
    </xf>
    <xf numFmtId="0" fontId="41" fillId="0" borderId="44" xfId="0" applyFont="1" applyBorder="1" applyAlignment="1" applyProtection="1">
      <alignment horizontal="center" vertical="center"/>
      <protection locked="0"/>
    </xf>
    <xf numFmtId="0" fontId="41" fillId="0" borderId="41" xfId="0" applyFont="1" applyBorder="1" applyAlignment="1" applyProtection="1">
      <alignment horizontal="center" vertical="center"/>
      <protection locked="0"/>
    </xf>
    <xf numFmtId="0" fontId="44" fillId="0" borderId="0" xfId="0" applyFont="1" applyBorder="1" applyAlignment="1" applyProtection="1">
      <alignment horizontal="center" vertical="center"/>
      <protection locked="0"/>
    </xf>
    <xf numFmtId="0" fontId="40" fillId="0" borderId="8" xfId="0" applyFont="1" applyBorder="1" applyAlignment="1" applyProtection="1">
      <alignment horizontal="left" vertical="top"/>
      <protection locked="0"/>
    </xf>
    <xf numFmtId="0" fontId="40" fillId="0" borderId="0" xfId="0" applyFont="1" applyBorder="1" applyAlignment="1" applyProtection="1">
      <alignment horizontal="left" vertical="top"/>
      <protection locked="0"/>
    </xf>
    <xf numFmtId="1" fontId="41" fillId="0" borderId="0" xfId="0" applyNumberFormat="1" applyFont="1" applyBorder="1" applyAlignment="1">
      <alignment horizontal="center" vertical="center"/>
    </xf>
    <xf numFmtId="0" fontId="41" fillId="0" borderId="0" xfId="0" applyFont="1" applyBorder="1" applyAlignment="1">
      <alignment horizontal="right"/>
    </xf>
    <xf numFmtId="0" fontId="41" fillId="0" borderId="11" xfId="0" applyFont="1" applyBorder="1" applyAlignment="1">
      <alignment horizontal="right"/>
    </xf>
    <xf numFmtId="0" fontId="116" fillId="0" borderId="0" xfId="0" applyFont="1" applyBorder="1" applyAlignment="1" applyProtection="1">
      <alignment horizontal="center" vertical="center"/>
      <protection locked="0"/>
    </xf>
    <xf numFmtId="0" fontId="116" fillId="0" borderId="0" xfId="0" applyFont="1" applyBorder="1" applyAlignment="1" applyProtection="1">
      <alignment horizontal="left" vertical="center"/>
      <protection locked="0"/>
    </xf>
    <xf numFmtId="0" fontId="116" fillId="0" borderId="0" xfId="0" applyFont="1" applyBorder="1" applyAlignment="1" applyProtection="1">
      <alignment horizontal="right" vertical="center"/>
      <protection locked="0"/>
    </xf>
    <xf numFmtId="0" fontId="39" fillId="0" borderId="7" xfId="0" applyFont="1" applyBorder="1" applyAlignment="1" applyProtection="1">
      <alignment horizontal="right" vertical="center"/>
      <protection locked="0"/>
    </xf>
    <xf numFmtId="0" fontId="39" fillId="0" borderId="8" xfId="0" applyFont="1" applyBorder="1" applyAlignment="1" applyProtection="1">
      <alignment horizontal="right" vertical="center"/>
      <protection locked="0"/>
    </xf>
    <xf numFmtId="0" fontId="39" fillId="0" borderId="10" xfId="0" applyFont="1" applyBorder="1" applyAlignment="1" applyProtection="1">
      <alignment horizontal="right" vertical="center"/>
      <protection locked="0"/>
    </xf>
    <xf numFmtId="0" fontId="39" fillId="0" borderId="0" xfId="0" applyFont="1" applyBorder="1" applyAlignment="1" applyProtection="1">
      <alignment horizontal="right" vertical="center"/>
      <protection locked="0"/>
    </xf>
    <xf numFmtId="171" fontId="41" fillId="0" borderId="13" xfId="0" applyNumberFormat="1" applyFont="1" applyBorder="1" applyAlignment="1">
      <alignment horizontal="center" vertical="center"/>
    </xf>
    <xf numFmtId="0" fontId="40" fillId="0" borderId="8" xfId="0" applyFont="1" applyBorder="1" applyAlignment="1" applyProtection="1">
      <alignment horizontal="center" vertical="center"/>
      <protection locked="0"/>
    </xf>
    <xf numFmtId="0" fontId="40" fillId="0" borderId="0" xfId="0" applyFont="1" applyBorder="1" applyAlignment="1" applyProtection="1">
      <alignment horizontal="center" vertical="center"/>
      <protection locked="0"/>
    </xf>
    <xf numFmtId="0" fontId="44" fillId="0" borderId="41" xfId="0" applyFont="1" applyBorder="1" applyAlignment="1" applyProtection="1">
      <alignment horizontal="left" vertical="center"/>
      <protection locked="0"/>
    </xf>
    <xf numFmtId="0" fontId="40" fillId="0" borderId="8" xfId="0" applyFont="1" applyBorder="1" applyAlignment="1" applyProtection="1">
      <alignment horizontal="right" vertical="top"/>
      <protection locked="0"/>
    </xf>
    <xf numFmtId="0" fontId="40" fillId="0" borderId="0" xfId="0" applyFont="1" applyBorder="1" applyAlignment="1" applyProtection="1">
      <alignment horizontal="right" vertical="top"/>
      <protection locked="0"/>
    </xf>
    <xf numFmtId="0" fontId="39" fillId="0" borderId="33" xfId="0" applyFont="1" applyBorder="1" applyAlignment="1">
      <alignment horizontal="right" vertical="center"/>
    </xf>
    <xf numFmtId="0" fontId="39" fillId="0" borderId="36" xfId="0" applyFont="1" applyBorder="1" applyAlignment="1">
      <alignment horizontal="right" vertical="center"/>
    </xf>
    <xf numFmtId="0" fontId="9" fillId="0" borderId="40" xfId="0" applyFont="1" applyBorder="1" applyAlignment="1">
      <alignment horizontal="center" vertical="center"/>
    </xf>
    <xf numFmtId="0" fontId="39" fillId="0" borderId="7" xfId="0" applyFont="1" applyBorder="1" applyAlignment="1">
      <alignment horizontal="right" vertical="center"/>
    </xf>
    <xf numFmtId="0" fontId="39" fillId="0" borderId="8" xfId="0" applyFont="1" applyBorder="1" applyAlignment="1">
      <alignment horizontal="right" vertical="center"/>
    </xf>
    <xf numFmtId="0" fontId="39" fillId="0" borderId="9" xfId="0" applyFont="1" applyBorder="1" applyAlignment="1">
      <alignment horizontal="right" vertical="center"/>
    </xf>
    <xf numFmtId="0" fontId="41" fillId="0" borderId="0" xfId="0" applyFont="1" applyBorder="1" applyAlignment="1" applyProtection="1">
      <alignment horizontal="left" vertical="center"/>
      <protection locked="0"/>
    </xf>
    <xf numFmtId="0" fontId="41" fillId="0" borderId="42" xfId="0" applyFont="1" applyBorder="1" applyAlignment="1" applyProtection="1">
      <alignment horizontal="center" vertical="center"/>
      <protection locked="0"/>
    </xf>
    <xf numFmtId="0" fontId="39" fillId="0" borderId="28" xfId="0" applyFont="1" applyBorder="1" applyAlignment="1">
      <alignment horizontal="right" vertical="center"/>
    </xf>
    <xf numFmtId="0" fontId="39" fillId="0" borderId="29" xfId="0" applyFont="1" applyBorder="1" applyAlignment="1">
      <alignment horizontal="right" vertical="center"/>
    </xf>
    <xf numFmtId="0" fontId="39" fillId="0" borderId="30" xfId="0" applyFont="1" applyBorder="1" applyAlignment="1">
      <alignment horizontal="right" vertical="center"/>
    </xf>
    <xf numFmtId="0" fontId="44" fillId="0" borderId="36" xfId="0" applyFont="1" applyBorder="1" applyAlignment="1" applyProtection="1">
      <alignment horizontal="left" vertical="center"/>
      <protection locked="0"/>
    </xf>
    <xf numFmtId="0" fontId="41" fillId="0" borderId="36" xfId="0" applyFont="1" applyBorder="1" applyAlignment="1">
      <alignment horizontal="right" vertical="center"/>
    </xf>
    <xf numFmtId="0" fontId="41" fillId="0" borderId="27" xfId="0" applyFont="1" applyBorder="1" applyAlignment="1">
      <alignment horizontal="right" vertical="center"/>
    </xf>
    <xf numFmtId="165" fontId="40" fillId="0" borderId="3" xfId="0" applyNumberFormat="1" applyFont="1" applyBorder="1" applyAlignment="1" applyProtection="1">
      <alignment horizontal="right" vertical="center"/>
      <protection hidden="1"/>
    </xf>
    <xf numFmtId="0" fontId="117" fillId="0" borderId="73" xfId="0" applyFont="1" applyBorder="1" applyAlignment="1" applyProtection="1">
      <alignment horizontal="center" vertical="center" readingOrder="2"/>
      <protection locked="0"/>
    </xf>
    <xf numFmtId="0" fontId="117" fillId="0" borderId="0" xfId="0" applyFont="1" applyBorder="1" applyAlignment="1" applyProtection="1">
      <alignment horizontal="center" vertical="center" readingOrder="2"/>
      <protection locked="0"/>
    </xf>
    <xf numFmtId="0" fontId="117" fillId="0" borderId="74" xfId="0" applyFont="1" applyBorder="1" applyAlignment="1" applyProtection="1">
      <alignment horizontal="center" vertical="center" readingOrder="2"/>
      <protection locked="0"/>
    </xf>
    <xf numFmtId="0" fontId="117" fillId="0" borderId="75" xfId="0" applyFont="1" applyBorder="1" applyAlignment="1" applyProtection="1">
      <alignment horizontal="center" vertical="center" readingOrder="2"/>
      <protection locked="0"/>
    </xf>
    <xf numFmtId="0" fontId="117" fillId="0" borderId="76" xfId="0" applyFont="1" applyBorder="1" applyAlignment="1" applyProtection="1">
      <alignment horizontal="center" vertical="center" readingOrder="2"/>
      <protection locked="0"/>
    </xf>
    <xf numFmtId="0" fontId="117" fillId="0" borderId="77" xfId="0" applyFont="1" applyBorder="1" applyAlignment="1" applyProtection="1">
      <alignment horizontal="center" vertical="center" readingOrder="2"/>
      <protection locked="0"/>
    </xf>
    <xf numFmtId="0" fontId="9" fillId="4" borderId="1"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168" fontId="50" fillId="0" borderId="5" xfId="0" applyNumberFormat="1" applyFont="1" applyBorder="1" applyAlignment="1" applyProtection="1">
      <alignment horizontal="center" vertical="center"/>
      <protection locked="0"/>
    </xf>
    <xf numFmtId="0" fontId="0" fillId="0" borderId="0" xfId="0" applyBorder="1" applyAlignment="1">
      <alignment horizontal="center" vertical="center" wrapText="1"/>
    </xf>
    <xf numFmtId="0" fontId="60" fillId="6" borderId="7" xfId="0" applyFont="1" applyFill="1" applyBorder="1" applyAlignment="1">
      <alignment horizontal="center" vertical="center"/>
    </xf>
    <xf numFmtId="0" fontId="41" fillId="5" borderId="47" xfId="0" applyFont="1" applyFill="1" applyBorder="1" applyAlignment="1">
      <alignment horizontal="center" vertical="center"/>
    </xf>
    <xf numFmtId="0" fontId="0" fillId="0" borderId="40" xfId="0" applyBorder="1" applyAlignment="1" applyProtection="1">
      <alignment horizontal="center" vertical="center"/>
      <protection locked="0"/>
    </xf>
    <xf numFmtId="0" fontId="38" fillId="6" borderId="1" xfId="0" applyFont="1" applyFill="1" applyBorder="1" applyAlignment="1">
      <alignment horizontal="center" vertical="center"/>
    </xf>
    <xf numFmtId="0" fontId="38" fillId="6" borderId="5" xfId="0" applyFont="1" applyFill="1" applyBorder="1" applyAlignment="1">
      <alignment horizontal="center" vertical="center"/>
    </xf>
    <xf numFmtId="0" fontId="94" fillId="0" borderId="5" xfId="0" applyFont="1" applyFill="1" applyBorder="1" applyAlignment="1" applyProtection="1">
      <alignment horizontal="center" vertical="center" textRotation="90" wrapText="1"/>
      <protection hidden="1"/>
    </xf>
    <xf numFmtId="0" fontId="94" fillId="0" borderId="6" xfId="0" applyFont="1" applyFill="1" applyBorder="1" applyAlignment="1" applyProtection="1">
      <alignment horizontal="center" vertical="center" textRotation="90" wrapText="1"/>
      <protection hidden="1"/>
    </xf>
    <xf numFmtId="0" fontId="94" fillId="0" borderId="2" xfId="0" applyFont="1" applyFill="1" applyBorder="1" applyAlignment="1" applyProtection="1">
      <alignment horizontal="center" vertical="center"/>
      <protection hidden="1"/>
    </xf>
    <xf numFmtId="0" fontId="94" fillId="0" borderId="3" xfId="0" applyFont="1" applyFill="1" applyBorder="1" applyAlignment="1" applyProtection="1">
      <alignment horizontal="center" vertical="center"/>
      <protection hidden="1"/>
    </xf>
    <xf numFmtId="0" fontId="82" fillId="0" borderId="1" xfId="0" applyFont="1" applyFill="1" applyBorder="1" applyAlignment="1" applyProtection="1">
      <alignment horizontal="center" vertical="center"/>
      <protection hidden="1"/>
    </xf>
    <xf numFmtId="0" fontId="82" fillId="0" borderId="6"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0" borderId="46" xfId="0" applyFont="1" applyBorder="1" applyAlignment="1">
      <alignment horizontal="center" vertical="center"/>
    </xf>
    <xf numFmtId="0" fontId="93" fillId="0" borderId="1" xfId="0" applyFont="1" applyFill="1" applyBorder="1" applyAlignment="1" applyProtection="1">
      <alignment horizontal="center" vertical="center"/>
      <protection hidden="1"/>
    </xf>
    <xf numFmtId="0" fontId="94" fillId="0" borderId="2" xfId="0" applyFont="1" applyFill="1" applyBorder="1" applyAlignment="1" applyProtection="1">
      <alignment horizontal="center" vertical="center" wrapText="1"/>
      <protection hidden="1"/>
    </xf>
    <xf numFmtId="0" fontId="83" fillId="0" borderId="1" xfId="0" applyFont="1" applyFill="1" applyBorder="1" applyAlignment="1" applyProtection="1">
      <alignment horizontal="right" vertical="top"/>
      <protection hidden="1"/>
    </xf>
    <xf numFmtId="0" fontId="23" fillId="0" borderId="7" xfId="0" applyFont="1" applyFill="1" applyBorder="1" applyAlignment="1" applyProtection="1">
      <alignment horizontal="center"/>
      <protection hidden="1"/>
    </xf>
    <xf numFmtId="0" fontId="23" fillId="0" borderId="8" xfId="0" applyFont="1" applyFill="1" applyBorder="1" applyAlignment="1" applyProtection="1">
      <alignment horizontal="center"/>
      <protection hidden="1"/>
    </xf>
    <xf numFmtId="0" fontId="23" fillId="0" borderId="9" xfId="0" applyFont="1" applyFill="1" applyBorder="1" applyAlignment="1" applyProtection="1">
      <alignment horizontal="center"/>
      <protection hidden="1"/>
    </xf>
    <xf numFmtId="0" fontId="23" fillId="0" borderId="1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1" xfId="0" applyFont="1" applyFill="1" applyBorder="1" applyAlignment="1" applyProtection="1">
      <alignment horizontal="center"/>
      <protection hidden="1"/>
    </xf>
    <xf numFmtId="0" fontId="23" fillId="0" borderId="12" xfId="0" applyFont="1" applyFill="1" applyBorder="1" applyAlignment="1" applyProtection="1">
      <alignment horizontal="center"/>
      <protection hidden="1"/>
    </xf>
    <xf numFmtId="0" fontId="23" fillId="0" borderId="13" xfId="0" applyFont="1" applyFill="1" applyBorder="1" applyAlignment="1" applyProtection="1">
      <alignment horizontal="center"/>
      <protection hidden="1"/>
    </xf>
    <xf numFmtId="0" fontId="23" fillId="0" borderId="14" xfId="0" applyFont="1" applyFill="1" applyBorder="1" applyAlignment="1" applyProtection="1">
      <alignment horizontal="center"/>
      <protection hidden="1"/>
    </xf>
    <xf numFmtId="0" fontId="83" fillId="0" borderId="2" xfId="0" applyFont="1" applyFill="1" applyBorder="1" applyAlignment="1" applyProtection="1">
      <alignment horizontal="right" vertical="center"/>
      <protection hidden="1"/>
    </xf>
    <xf numFmtId="0" fontId="83" fillId="0" borderId="4" xfId="0" applyFont="1" applyFill="1" applyBorder="1" applyAlignment="1" applyProtection="1">
      <alignment horizontal="right" vertical="center"/>
      <protection hidden="1"/>
    </xf>
    <xf numFmtId="0" fontId="83" fillId="0" borderId="3" xfId="0" applyFont="1" applyFill="1" applyBorder="1" applyAlignment="1" applyProtection="1">
      <alignment horizontal="right" vertical="center"/>
      <protection hidden="1"/>
    </xf>
    <xf numFmtId="0" fontId="31" fillId="0" borderId="4" xfId="0" applyFont="1" applyFill="1" applyBorder="1" applyAlignment="1" applyProtection="1">
      <alignment horizontal="right" vertical="center"/>
      <protection hidden="1"/>
    </xf>
    <xf numFmtId="0" fontId="31" fillId="0" borderId="3" xfId="0" applyFont="1" applyFill="1" applyBorder="1" applyAlignment="1" applyProtection="1">
      <alignment horizontal="right" vertical="center"/>
      <protection hidden="1"/>
    </xf>
    <xf numFmtId="0" fontId="83" fillId="0" borderId="6" xfId="0" applyFont="1" applyFill="1" applyBorder="1" applyAlignment="1" applyProtection="1">
      <alignment horizontal="center" vertical="center"/>
      <protection hidden="1"/>
    </xf>
    <xf numFmtId="0" fontId="83" fillId="0" borderId="1" xfId="0" applyFont="1" applyFill="1" applyBorder="1" applyAlignment="1" applyProtection="1">
      <alignment horizontal="center" vertical="center"/>
      <protection hidden="1"/>
    </xf>
    <xf numFmtId="0" fontId="13" fillId="0" borderId="4" xfId="0" applyFont="1" applyFill="1" applyBorder="1" applyAlignment="1" applyProtection="1">
      <alignment horizontal="center" vertical="center"/>
      <protection hidden="1"/>
    </xf>
    <xf numFmtId="0" fontId="13" fillId="0" borderId="3" xfId="0" applyFont="1" applyFill="1" applyBorder="1" applyAlignment="1" applyProtection="1">
      <alignment horizontal="center" vertical="center"/>
      <protection hidden="1"/>
    </xf>
    <xf numFmtId="0" fontId="15" fillId="0" borderId="5" xfId="0" applyFont="1" applyFill="1" applyBorder="1" applyAlignment="1" applyProtection="1">
      <alignment horizontal="center" vertical="center"/>
      <protection hidden="1"/>
    </xf>
    <xf numFmtId="0" fontId="15"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right" vertical="center"/>
      <protection hidden="1"/>
    </xf>
    <xf numFmtId="0" fontId="8" fillId="0" borderId="8" xfId="0" applyFont="1" applyFill="1" applyBorder="1" applyAlignment="1" applyProtection="1">
      <alignment horizontal="right" vertical="center"/>
      <protection hidden="1"/>
    </xf>
    <xf numFmtId="0" fontId="8" fillId="0" borderId="9" xfId="0" applyFont="1" applyFill="1" applyBorder="1" applyAlignment="1" applyProtection="1">
      <alignment horizontal="right" vertical="center"/>
      <protection hidden="1"/>
    </xf>
    <xf numFmtId="0" fontId="8" fillId="0" borderId="12" xfId="0" applyFont="1" applyFill="1" applyBorder="1" applyAlignment="1" applyProtection="1">
      <alignment horizontal="right" vertical="center"/>
      <protection hidden="1"/>
    </xf>
    <xf numFmtId="0" fontId="8" fillId="0" borderId="13" xfId="0" applyFont="1" applyFill="1" applyBorder="1" applyAlignment="1" applyProtection="1">
      <alignment horizontal="right" vertical="center"/>
      <protection hidden="1"/>
    </xf>
    <xf numFmtId="0" fontId="8" fillId="0" borderId="14" xfId="0" applyFont="1" applyFill="1" applyBorder="1" applyAlignment="1" applyProtection="1">
      <alignment horizontal="right" vertical="center"/>
      <protection hidden="1"/>
    </xf>
    <xf numFmtId="0" fontId="27" fillId="0" borderId="7" xfId="0" applyFont="1" applyFill="1" applyBorder="1" applyAlignment="1" applyProtection="1">
      <alignment horizontal="right" vertical="center"/>
      <protection hidden="1"/>
    </xf>
    <xf numFmtId="0" fontId="27" fillId="0" borderId="8" xfId="0" applyFont="1" applyFill="1" applyBorder="1" applyAlignment="1" applyProtection="1">
      <alignment horizontal="right" vertical="center"/>
      <protection hidden="1"/>
    </xf>
    <xf numFmtId="0" fontId="27" fillId="0" borderId="9" xfId="0" applyFont="1" applyFill="1" applyBorder="1" applyAlignment="1" applyProtection="1">
      <alignment horizontal="right" vertical="center"/>
      <protection hidden="1"/>
    </xf>
    <xf numFmtId="0" fontId="27" fillId="0" borderId="12" xfId="0" applyFont="1" applyFill="1" applyBorder="1" applyAlignment="1" applyProtection="1">
      <alignment horizontal="right" vertical="center"/>
      <protection hidden="1"/>
    </xf>
    <xf numFmtId="0" fontId="27" fillId="0" borderId="13" xfId="0" applyFont="1" applyFill="1" applyBorder="1" applyAlignment="1" applyProtection="1">
      <alignment horizontal="right" vertical="center"/>
      <protection hidden="1"/>
    </xf>
    <xf numFmtId="0" fontId="27" fillId="0" borderId="14" xfId="0" applyFont="1" applyFill="1" applyBorder="1" applyAlignment="1" applyProtection="1">
      <alignment horizontal="right" vertical="center"/>
      <protection hidden="1"/>
    </xf>
    <xf numFmtId="0" fontId="54" fillId="0" borderId="7" xfId="0" applyFont="1" applyFill="1" applyBorder="1" applyAlignment="1" applyProtection="1">
      <alignment horizontal="center" vertical="center"/>
      <protection hidden="1"/>
    </xf>
    <xf numFmtId="0" fontId="54" fillId="0" borderId="8" xfId="0" applyFont="1" applyFill="1" applyBorder="1" applyAlignment="1" applyProtection="1">
      <alignment horizontal="center" vertical="center"/>
      <protection hidden="1"/>
    </xf>
    <xf numFmtId="0" fontId="54" fillId="0" borderId="9" xfId="0" applyFont="1" applyFill="1" applyBorder="1" applyAlignment="1" applyProtection="1">
      <alignment horizontal="center" vertical="center"/>
      <protection hidden="1"/>
    </xf>
    <xf numFmtId="0" fontId="54" fillId="0" borderId="10" xfId="0" applyFont="1" applyFill="1" applyBorder="1" applyAlignment="1" applyProtection="1">
      <alignment horizontal="center" vertical="center"/>
      <protection hidden="1"/>
    </xf>
    <xf numFmtId="0" fontId="54" fillId="0" borderId="0" xfId="0" applyFont="1" applyFill="1" applyBorder="1" applyAlignment="1" applyProtection="1">
      <alignment horizontal="center" vertical="center"/>
      <protection hidden="1"/>
    </xf>
    <xf numFmtId="0" fontId="54" fillId="0" borderId="11" xfId="0" applyFont="1" applyFill="1" applyBorder="1" applyAlignment="1" applyProtection="1">
      <alignment horizontal="center" vertical="center"/>
      <protection hidden="1"/>
    </xf>
    <xf numFmtId="0" fontId="54" fillId="0" borderId="12" xfId="0" applyFont="1" applyFill="1" applyBorder="1" applyAlignment="1" applyProtection="1">
      <alignment horizontal="center" vertical="center"/>
      <protection hidden="1"/>
    </xf>
    <xf numFmtId="0" fontId="54" fillId="0" borderId="13" xfId="0" applyFont="1" applyFill="1" applyBorder="1" applyAlignment="1" applyProtection="1">
      <alignment horizontal="center" vertical="center"/>
      <protection hidden="1"/>
    </xf>
    <xf numFmtId="0" fontId="54" fillId="0" borderId="14" xfId="0" applyFont="1" applyFill="1" applyBorder="1" applyAlignment="1" applyProtection="1">
      <alignment horizontal="center" vertical="center"/>
      <protection hidden="1"/>
    </xf>
    <xf numFmtId="0" fontId="83" fillId="0" borderId="2" xfId="0" applyFont="1" applyFill="1" applyBorder="1" applyAlignment="1" applyProtection="1">
      <alignment horizontal="center" vertical="center"/>
      <protection hidden="1"/>
    </xf>
    <xf numFmtId="0" fontId="83" fillId="0" borderId="4" xfId="0" applyFont="1" applyFill="1" applyBorder="1" applyAlignment="1" applyProtection="1">
      <alignment horizontal="center" vertical="center"/>
      <protection hidden="1"/>
    </xf>
    <xf numFmtId="0" fontId="56" fillId="0" borderId="4" xfId="0" applyFont="1" applyFill="1" applyBorder="1" applyAlignment="1" applyProtection="1">
      <alignment horizontal="center"/>
      <protection hidden="1"/>
    </xf>
    <xf numFmtId="0" fontId="56" fillId="0" borderId="3" xfId="0" applyFont="1" applyFill="1" applyBorder="1" applyAlignment="1" applyProtection="1">
      <alignment horizontal="center"/>
      <protection hidden="1"/>
    </xf>
    <xf numFmtId="0" fontId="15" fillId="0" borderId="2" xfId="0" applyFont="1" applyFill="1" applyBorder="1" applyAlignment="1" applyProtection="1">
      <alignment horizontal="center" vertical="center"/>
      <protection hidden="1"/>
    </xf>
    <xf numFmtId="0" fontId="83" fillId="0" borderId="7" xfId="0" applyFont="1" applyFill="1" applyBorder="1" applyAlignment="1" applyProtection="1">
      <alignment horizontal="right" vertical="top"/>
      <protection hidden="1"/>
    </xf>
    <xf numFmtId="0" fontId="83" fillId="0" borderId="8" xfId="0" applyFont="1" applyFill="1" applyBorder="1" applyAlignment="1" applyProtection="1">
      <alignment horizontal="right" vertical="top"/>
      <protection hidden="1"/>
    </xf>
    <xf numFmtId="0" fontId="83" fillId="0" borderId="9" xfId="0" applyFont="1" applyFill="1" applyBorder="1" applyAlignment="1" applyProtection="1">
      <alignment horizontal="right" vertical="top"/>
      <protection hidden="1"/>
    </xf>
    <xf numFmtId="0" fontId="83" fillId="0" borderId="10" xfId="0" applyFont="1" applyFill="1" applyBorder="1" applyAlignment="1" applyProtection="1">
      <alignment horizontal="right" vertical="top"/>
      <protection hidden="1"/>
    </xf>
    <xf numFmtId="0" fontId="83" fillId="0" borderId="0" xfId="0" applyFont="1" applyFill="1" applyBorder="1" applyAlignment="1" applyProtection="1">
      <alignment horizontal="right" vertical="top"/>
      <protection hidden="1"/>
    </xf>
    <xf numFmtId="0" fontId="83" fillId="0" borderId="11" xfId="0" applyFont="1" applyFill="1" applyBorder="1" applyAlignment="1" applyProtection="1">
      <alignment horizontal="right" vertical="top"/>
      <protection hidden="1"/>
    </xf>
    <xf numFmtId="0" fontId="83" fillId="0" borderId="12" xfId="0" applyFont="1" applyFill="1" applyBorder="1" applyAlignment="1" applyProtection="1">
      <alignment horizontal="right" vertical="top"/>
      <protection hidden="1"/>
    </xf>
    <xf numFmtId="0" fontId="83" fillId="0" borderId="13" xfId="0" applyFont="1" applyFill="1" applyBorder="1" applyAlignment="1" applyProtection="1">
      <alignment horizontal="right" vertical="top"/>
      <protection hidden="1"/>
    </xf>
    <xf numFmtId="0" fontId="83" fillId="0" borderId="14" xfId="0" applyFont="1" applyFill="1" applyBorder="1" applyAlignment="1" applyProtection="1">
      <alignment horizontal="right" vertical="top"/>
      <protection hidden="1"/>
    </xf>
    <xf numFmtId="0" fontId="15" fillId="0" borderId="1" xfId="0" applyFont="1" applyBorder="1" applyAlignment="1" applyProtection="1">
      <alignment horizontal="center" vertical="center"/>
      <protection locked="0"/>
    </xf>
    <xf numFmtId="0" fontId="45" fillId="0" borderId="2" xfId="0" applyFont="1" applyFill="1" applyBorder="1" applyAlignment="1" applyProtection="1">
      <alignment horizontal="center" vertical="center"/>
      <protection locked="0"/>
    </xf>
    <xf numFmtId="0" fontId="45" fillId="0" borderId="4" xfId="0" applyFont="1" applyFill="1" applyBorder="1" applyAlignment="1" applyProtection="1">
      <alignment horizontal="center" vertical="center"/>
      <protection locked="0"/>
    </xf>
    <xf numFmtId="0" fontId="45" fillId="0" borderId="3" xfId="0" applyFont="1" applyFill="1" applyBorder="1" applyAlignment="1" applyProtection="1">
      <alignment horizontal="center" vertical="center"/>
      <protection locked="0"/>
    </xf>
    <xf numFmtId="0" fontId="82" fillId="0" borderId="1" xfId="0" applyFont="1" applyBorder="1" applyAlignment="1" applyProtection="1">
      <alignment horizontal="center" vertical="center"/>
      <protection locked="0"/>
    </xf>
    <xf numFmtId="0" fontId="83" fillId="0" borderId="1" xfId="0" applyFont="1" applyBorder="1" applyAlignment="1" applyProtection="1">
      <alignment horizontal="right" vertical="top"/>
      <protection locked="0"/>
    </xf>
    <xf numFmtId="0" fontId="82" fillId="3" borderId="1" xfId="0" applyFont="1" applyFill="1" applyBorder="1" applyAlignment="1" applyProtection="1">
      <alignment horizontal="center" vertical="center"/>
      <protection locked="0"/>
    </xf>
    <xf numFmtId="0" fontId="48"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92" fillId="0" borderId="1" xfId="0" applyFont="1" applyBorder="1" applyAlignment="1" applyProtection="1">
      <alignment horizontal="center" vertical="center"/>
      <protection locked="0"/>
    </xf>
    <xf numFmtId="0" fontId="82" fillId="0" borderId="1" xfId="0" applyFont="1" applyBorder="1" applyAlignment="1" applyProtection="1">
      <alignment horizontal="center" vertical="center" textRotation="90"/>
      <protection locked="0"/>
    </xf>
    <xf numFmtId="0" fontId="20" fillId="0" borderId="1" xfId="0" applyFont="1" applyBorder="1" applyAlignment="1" applyProtection="1">
      <alignment horizontal="center" vertical="center"/>
    </xf>
    <xf numFmtId="0" fontId="23" fillId="0" borderId="1" xfId="0" applyFont="1" applyFill="1" applyBorder="1" applyAlignment="1" applyProtection="1">
      <alignment horizontal="center"/>
      <protection locked="0"/>
    </xf>
    <xf numFmtId="0" fontId="28" fillId="0"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27" fillId="0" borderId="1" xfId="0" applyFont="1" applyFill="1" applyBorder="1" applyAlignment="1" applyProtection="1">
      <alignment horizontal="right" vertical="center"/>
      <protection locked="0"/>
    </xf>
    <xf numFmtId="0" fontId="12" fillId="0" borderId="1" xfId="0" applyFont="1" applyBorder="1" applyAlignment="1" applyProtection="1">
      <alignment horizontal="center" vertical="center"/>
      <protection locked="0"/>
    </xf>
    <xf numFmtId="0" fontId="82" fillId="3"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center" vertical="center"/>
    </xf>
    <xf numFmtId="166" fontId="20" fillId="0" borderId="1" xfId="0" applyNumberFormat="1" applyFont="1" applyBorder="1" applyAlignment="1" applyProtection="1">
      <alignment horizontal="center" vertical="center"/>
    </xf>
    <xf numFmtId="0" fontId="83" fillId="3" borderId="1" xfId="0" applyFont="1" applyFill="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9" fillId="0" borderId="4" xfId="0" applyFont="1" applyBorder="1" applyAlignment="1" applyProtection="1">
      <alignment horizontal="center" vertical="center"/>
      <protection locked="0"/>
    </xf>
    <xf numFmtId="0" fontId="83" fillId="0" borderId="7" xfId="0" applyFont="1" applyBorder="1" applyAlignment="1" applyProtection="1">
      <alignment horizontal="right" vertical="top"/>
      <protection locked="0"/>
    </xf>
    <xf numFmtId="0" fontId="83" fillId="0" borderId="8" xfId="0" applyFont="1" applyBorder="1" applyAlignment="1" applyProtection="1">
      <alignment horizontal="right" vertical="top"/>
      <protection locked="0"/>
    </xf>
    <xf numFmtId="0" fontId="83" fillId="0" borderId="9" xfId="0" applyFont="1" applyBorder="1" applyAlignment="1" applyProtection="1">
      <alignment horizontal="right" vertical="top"/>
      <protection locked="0"/>
    </xf>
    <xf numFmtId="0" fontId="83" fillId="0" borderId="12" xfId="0" applyFont="1" applyBorder="1" applyAlignment="1" applyProtection="1">
      <alignment horizontal="right" vertical="top"/>
      <protection locked="0"/>
    </xf>
    <xf numFmtId="0" fontId="83" fillId="0" borderId="13" xfId="0" applyFont="1" applyBorder="1" applyAlignment="1" applyProtection="1">
      <alignment horizontal="right" vertical="top"/>
      <protection locked="0"/>
    </xf>
    <xf numFmtId="0" fontId="83" fillId="0" borderId="14" xfId="0" applyFont="1" applyBorder="1" applyAlignment="1" applyProtection="1">
      <alignment horizontal="right" vertical="top"/>
      <protection locked="0"/>
    </xf>
    <xf numFmtId="0" fontId="15" fillId="0" borderId="4" xfId="0" applyFont="1" applyBorder="1" applyAlignment="1" applyProtection="1">
      <alignment horizontal="center" vertical="center"/>
      <protection locked="0"/>
    </xf>
    <xf numFmtId="0" fontId="102" fillId="0" borderId="2" xfId="0" applyFont="1" applyBorder="1" applyAlignment="1">
      <alignment horizontal="right" vertical="center" wrapText="1" readingOrder="2"/>
    </xf>
    <xf numFmtId="0" fontId="102" fillId="0" borderId="4" xfId="0" applyFont="1" applyBorder="1" applyAlignment="1">
      <alignment horizontal="right" vertical="center" wrapText="1" readingOrder="2"/>
    </xf>
    <xf numFmtId="0" fontId="102" fillId="0" borderId="3" xfId="0" applyFont="1" applyBorder="1" applyAlignment="1">
      <alignment horizontal="right" vertical="center" wrapText="1" readingOrder="2"/>
    </xf>
    <xf numFmtId="0" fontId="60" fillId="0" borderId="1" xfId="0" applyFont="1" applyBorder="1" applyAlignment="1">
      <alignment horizontal="center"/>
    </xf>
    <xf numFmtId="0" fontId="28" fillId="0" borderId="1" xfId="0" applyFont="1" applyBorder="1" applyAlignment="1">
      <alignment horizontal="center" vertical="center"/>
    </xf>
    <xf numFmtId="0" fontId="109" fillId="0" borderId="1" xfId="0" applyFont="1" applyBorder="1" applyAlignment="1">
      <alignment horizontal="right" vertical="center"/>
    </xf>
    <xf numFmtId="0" fontId="23" fillId="0" borderId="4" xfId="0" applyFont="1" applyBorder="1" applyAlignment="1">
      <alignment horizontal="right" vertical="center" wrapText="1" readingOrder="1"/>
    </xf>
    <xf numFmtId="0" fontId="23" fillId="0" borderId="3" xfId="0" applyFont="1" applyBorder="1" applyAlignment="1">
      <alignment horizontal="right" vertical="center" wrapText="1" readingOrder="1"/>
    </xf>
    <xf numFmtId="0" fontId="24" fillId="0" borderId="4" xfId="0" applyFont="1" applyBorder="1" applyAlignment="1">
      <alignment horizontal="right" vertical="center" wrapText="1" readingOrder="2"/>
    </xf>
    <xf numFmtId="0" fontId="24" fillId="0" borderId="3" xfId="0" applyFont="1" applyBorder="1" applyAlignment="1">
      <alignment horizontal="right" vertical="center" wrapText="1" readingOrder="2"/>
    </xf>
    <xf numFmtId="0" fontId="23"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24" fillId="0" borderId="4" xfId="0" applyFont="1" applyBorder="1" applyAlignment="1">
      <alignment horizontal="right" vertical="center" wrapText="1" indent="2"/>
    </xf>
    <xf numFmtId="0" fontId="8" fillId="10" borderId="1" xfId="0" applyFont="1" applyFill="1" applyBorder="1" applyAlignment="1">
      <alignment horizontal="center" vertical="center" textRotation="90" wrapText="1" readingOrder="2"/>
    </xf>
    <xf numFmtId="0" fontId="8" fillId="10" borderId="7" xfId="0" applyFont="1" applyFill="1" applyBorder="1" applyAlignment="1">
      <alignment horizontal="center" vertical="center" wrapText="1" readingOrder="2"/>
    </xf>
    <xf numFmtId="0" fontId="8" fillId="10" borderId="9" xfId="0" applyFont="1" applyFill="1" applyBorder="1" applyAlignment="1">
      <alignment horizontal="center" vertical="center" wrapText="1" readingOrder="2"/>
    </xf>
    <xf numFmtId="0" fontId="8" fillId="10" borderId="12" xfId="0" applyFont="1" applyFill="1" applyBorder="1" applyAlignment="1">
      <alignment horizontal="center" vertical="center" wrapText="1" readingOrder="2"/>
    </xf>
    <xf numFmtId="0" fontId="8" fillId="10" borderId="14" xfId="0" applyFont="1" applyFill="1" applyBorder="1" applyAlignment="1">
      <alignment horizontal="center" vertical="center" wrapText="1" readingOrder="2"/>
    </xf>
    <xf numFmtId="0" fontId="9" fillId="10" borderId="1" xfId="0" applyFont="1" applyFill="1" applyBorder="1" applyAlignment="1">
      <alignment horizontal="center" vertical="center" wrapText="1" readingOrder="2"/>
    </xf>
    <xf numFmtId="0" fontId="8" fillId="10" borderId="8" xfId="0" applyFont="1" applyFill="1" applyBorder="1" applyAlignment="1">
      <alignment horizontal="center" vertical="center" wrapText="1" readingOrder="2"/>
    </xf>
    <xf numFmtId="0" fontId="8" fillId="10" borderId="13" xfId="0" applyFont="1" applyFill="1" applyBorder="1" applyAlignment="1">
      <alignment horizontal="center" vertical="center" wrapText="1" readingOrder="2"/>
    </xf>
    <xf numFmtId="0" fontId="8" fillId="10" borderId="1" xfId="0" applyFont="1" applyFill="1" applyBorder="1" applyAlignment="1">
      <alignment horizontal="center" vertical="center" wrapText="1" readingOrder="2"/>
    </xf>
    <xf numFmtId="0" fontId="8" fillId="0" borderId="5" xfId="0" applyFont="1" applyBorder="1" applyAlignment="1">
      <alignment horizontal="right" vertical="center" wrapText="1" readingOrder="2"/>
    </xf>
    <xf numFmtId="0" fontId="6" fillId="0" borderId="10" xfId="0" applyFont="1" applyBorder="1" applyAlignment="1">
      <alignment horizontal="right" vertical="center" wrapText="1" readingOrder="2"/>
    </xf>
    <xf numFmtId="0" fontId="6" fillId="0" borderId="0" xfId="0" applyFont="1" applyBorder="1" applyAlignment="1">
      <alignment horizontal="right" vertical="center" wrapText="1" readingOrder="2"/>
    </xf>
    <xf numFmtId="0" fontId="6" fillId="0" borderId="11" xfId="0" applyFont="1" applyBorder="1" applyAlignment="1">
      <alignment horizontal="right" vertical="center" wrapText="1" readingOrder="2"/>
    </xf>
    <xf numFmtId="0" fontId="6" fillId="0" borderId="12" xfId="0" applyFont="1" applyBorder="1" applyAlignment="1">
      <alignment horizontal="right" vertical="center" wrapText="1" readingOrder="2"/>
    </xf>
    <xf numFmtId="0" fontId="6" fillId="0" borderId="13" xfId="0" applyFont="1" applyBorder="1" applyAlignment="1">
      <alignment horizontal="right" vertical="center" wrapText="1" readingOrder="2"/>
    </xf>
    <xf numFmtId="0" fontId="6" fillId="0" borderId="14" xfId="0" applyFont="1" applyBorder="1" applyAlignment="1">
      <alignment horizontal="right" vertical="center" wrapText="1" readingOrder="2"/>
    </xf>
    <xf numFmtId="0" fontId="102" fillId="0" borderId="6" xfId="0" applyFont="1" applyBorder="1" applyAlignment="1">
      <alignment horizontal="right" vertical="center" wrapText="1" readingOrder="2"/>
    </xf>
    <xf numFmtId="0" fontId="12" fillId="0" borderId="2" xfId="0" applyFont="1" applyBorder="1" applyAlignment="1">
      <alignment horizontal="center" vertical="center" wrapText="1" readingOrder="2"/>
    </xf>
    <xf numFmtId="0" fontId="12" fillId="0" borderId="3" xfId="0" applyFont="1" applyBorder="1" applyAlignment="1">
      <alignment horizontal="center" vertical="center" wrapText="1" readingOrder="2"/>
    </xf>
    <xf numFmtId="0" fontId="15" fillId="0" borderId="2" xfId="0" applyFont="1" applyBorder="1" applyAlignment="1">
      <alignment horizontal="center" vertical="center" wrapText="1" readingOrder="1"/>
    </xf>
    <xf numFmtId="0" fontId="15" fillId="0" borderId="4" xfId="0" applyFont="1" applyBorder="1" applyAlignment="1">
      <alignment horizontal="center" vertical="center" wrapText="1" readingOrder="1"/>
    </xf>
    <xf numFmtId="0" fontId="15" fillId="0" borderId="3" xfId="0" applyFont="1" applyBorder="1" applyAlignment="1">
      <alignment horizontal="center" vertical="center" wrapText="1" readingOrder="1"/>
    </xf>
    <xf numFmtId="0" fontId="104" fillId="0" borderId="1" xfId="0" applyFont="1" applyBorder="1" applyAlignment="1">
      <alignment horizontal="center" vertical="center" wrapText="1" readingOrder="2"/>
    </xf>
    <xf numFmtId="0" fontId="57" fillId="0" borderId="2" xfId="0" applyFont="1" applyBorder="1" applyAlignment="1">
      <alignment horizontal="center" vertical="center" wrapText="1" readingOrder="2"/>
    </xf>
    <xf numFmtId="0" fontId="57" fillId="0" borderId="4" xfId="0" applyFont="1" applyBorder="1" applyAlignment="1">
      <alignment horizontal="center" vertical="center" wrapText="1" readingOrder="2"/>
    </xf>
    <xf numFmtId="0" fontId="57" fillId="0" borderId="3" xfId="0" applyFont="1" applyBorder="1" applyAlignment="1">
      <alignment horizontal="center" vertical="center" wrapText="1" readingOrder="2"/>
    </xf>
    <xf numFmtId="0" fontId="103" fillId="0" borderId="1" xfId="0" applyFont="1" applyBorder="1" applyAlignment="1">
      <alignment horizontal="center" vertical="center" wrapText="1" readingOrder="2"/>
    </xf>
    <xf numFmtId="173" fontId="15" fillId="0" borderId="2" xfId="0" applyNumberFormat="1" applyFont="1" applyBorder="1" applyAlignment="1">
      <alignment horizontal="center" vertical="center" wrapText="1" readingOrder="1"/>
    </xf>
    <xf numFmtId="173" fontId="15" fillId="0" borderId="4" xfId="0" applyNumberFormat="1" applyFont="1" applyBorder="1" applyAlignment="1">
      <alignment horizontal="center" vertical="center" wrapText="1" readingOrder="1"/>
    </xf>
    <xf numFmtId="173" fontId="15" fillId="0" borderId="3" xfId="0" applyNumberFormat="1" applyFont="1" applyBorder="1" applyAlignment="1">
      <alignment horizontal="center" vertical="center" wrapText="1" readingOrder="1"/>
    </xf>
    <xf numFmtId="0" fontId="12" fillId="0" borderId="4" xfId="0" applyFont="1" applyBorder="1" applyAlignment="1">
      <alignment horizontal="center" vertical="center" wrapText="1" readingOrder="2"/>
    </xf>
    <xf numFmtId="0" fontId="15" fillId="0" borderId="2" xfId="0" applyFont="1" applyBorder="1" applyAlignment="1">
      <alignment horizontal="center" vertical="center" wrapText="1" readingOrder="2"/>
    </xf>
    <xf numFmtId="0" fontId="15" fillId="0" borderId="4" xfId="0" applyFont="1" applyBorder="1" applyAlignment="1">
      <alignment horizontal="center" vertical="center" wrapText="1" readingOrder="2"/>
    </xf>
    <xf numFmtId="0" fontId="15" fillId="0" borderId="3" xfId="0" applyFont="1" applyBorder="1" applyAlignment="1">
      <alignment horizontal="center" vertical="center" wrapText="1" readingOrder="2"/>
    </xf>
    <xf numFmtId="0" fontId="106" fillId="0" borderId="1" xfId="0" applyFont="1" applyBorder="1" applyAlignment="1">
      <alignment horizontal="center" vertical="center" wrapText="1" readingOrder="2"/>
    </xf>
    <xf numFmtId="0" fontId="12" fillId="0" borderId="10" xfId="0" applyFont="1" applyBorder="1" applyAlignment="1">
      <alignment horizontal="center" vertical="center" wrapText="1" readingOrder="2"/>
    </xf>
    <xf numFmtId="0" fontId="12" fillId="0" borderId="11" xfId="0" applyFont="1" applyBorder="1" applyAlignment="1">
      <alignment horizontal="center" vertical="center" wrapText="1" readingOrder="2"/>
    </xf>
    <xf numFmtId="0" fontId="12"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12" fillId="0" borderId="9" xfId="0" applyFont="1" applyBorder="1" applyAlignment="1">
      <alignment horizontal="center" vertical="center" wrapText="1" readingOrder="2"/>
    </xf>
    <xf numFmtId="0" fontId="104" fillId="0" borderId="5" xfId="0" applyFont="1" applyBorder="1" applyAlignment="1">
      <alignment horizontal="center" vertical="center" wrapText="1" readingOrder="2"/>
    </xf>
    <xf numFmtId="0" fontId="12" fillId="0" borderId="12" xfId="0" applyFont="1" applyBorder="1" applyAlignment="1">
      <alignment horizontal="center" vertical="center" wrapText="1" readingOrder="2"/>
    </xf>
    <xf numFmtId="0" fontId="12" fillId="0" borderId="14" xfId="0" applyFont="1" applyBorder="1" applyAlignment="1">
      <alignment horizontal="center" vertical="center" wrapText="1" readingOrder="2"/>
    </xf>
    <xf numFmtId="0" fontId="15" fillId="0" borderId="12" xfId="0" applyFont="1" applyBorder="1" applyAlignment="1">
      <alignment horizontal="center" vertical="center" wrapText="1" readingOrder="2"/>
    </xf>
    <xf numFmtId="0" fontId="15" fillId="0" borderId="13" xfId="0" applyFont="1" applyBorder="1" applyAlignment="1">
      <alignment horizontal="center" vertical="center" wrapText="1" readingOrder="2"/>
    </xf>
    <xf numFmtId="0" fontId="15" fillId="0" borderId="14" xfId="0" applyFont="1" applyBorder="1" applyAlignment="1">
      <alignment horizontal="center" vertical="center" wrapText="1" readingOrder="2"/>
    </xf>
    <xf numFmtId="0" fontId="104" fillId="0" borderId="6" xfId="0" applyFont="1" applyBorder="1" applyAlignment="1">
      <alignment horizontal="center" vertical="center" wrapText="1" readingOrder="2"/>
    </xf>
    <xf numFmtId="0" fontId="24" fillId="3" borderId="2" xfId="0" applyFont="1" applyFill="1" applyBorder="1" applyAlignment="1">
      <alignment horizontal="center" vertical="center" wrapText="1" readingOrder="2"/>
    </xf>
    <xf numFmtId="0" fontId="24" fillId="3" borderId="4" xfId="0" applyFont="1" applyFill="1" applyBorder="1" applyAlignment="1">
      <alignment horizontal="center" vertical="center" wrapText="1" readingOrder="2"/>
    </xf>
    <xf numFmtId="0" fontId="24" fillId="3" borderId="3" xfId="0" applyFont="1" applyFill="1" applyBorder="1" applyAlignment="1">
      <alignment horizontal="center" vertical="center" wrapText="1" readingOrder="2"/>
    </xf>
    <xf numFmtId="0" fontId="99" fillId="0" borderId="0" xfId="0" applyFont="1" applyAlignment="1">
      <alignment horizontal="center" vertical="center" readingOrder="2"/>
    </xf>
    <xf numFmtId="0" fontId="8" fillId="11" borderId="7" xfId="0" applyFont="1" applyFill="1" applyBorder="1" applyAlignment="1">
      <alignment horizontal="right" vertical="top" wrapText="1"/>
    </xf>
    <xf numFmtId="0" fontId="8" fillId="11" borderId="8" xfId="0" applyFont="1" applyFill="1" applyBorder="1" applyAlignment="1">
      <alignment horizontal="right" vertical="top" wrapText="1"/>
    </xf>
    <xf numFmtId="0" fontId="99" fillId="0" borderId="0" xfId="0" applyFont="1" applyAlignment="1">
      <alignment horizontal="right" vertical="top" readingOrder="2"/>
    </xf>
    <xf numFmtId="0" fontId="11" fillId="0" borderId="2" xfId="0" applyFont="1" applyBorder="1" applyAlignment="1">
      <alignment horizontal="center" vertical="center" wrapText="1" readingOrder="2"/>
    </xf>
    <xf numFmtId="0" fontId="11" fillId="0" borderId="4" xfId="0" applyFont="1" applyBorder="1" applyAlignment="1">
      <alignment horizontal="center" vertical="center" wrapText="1" readingOrder="2"/>
    </xf>
    <xf numFmtId="0" fontId="11" fillId="0" borderId="3" xfId="0" applyFont="1" applyBorder="1" applyAlignment="1">
      <alignment horizontal="center" vertical="center" wrapText="1" readingOrder="2"/>
    </xf>
    <xf numFmtId="0" fontId="15" fillId="0" borderId="7" xfId="0" applyFont="1" applyBorder="1" applyAlignment="1">
      <alignment horizontal="center" vertical="center" wrapText="1" readingOrder="2"/>
    </xf>
    <xf numFmtId="0" fontId="15" fillId="0" borderId="8" xfId="0" applyFont="1" applyBorder="1" applyAlignment="1">
      <alignment horizontal="center" vertical="center" wrapText="1" readingOrder="2"/>
    </xf>
    <xf numFmtId="0" fontId="15" fillId="0" borderId="9" xfId="0" applyFont="1" applyBorder="1" applyAlignment="1">
      <alignment horizontal="center" vertical="center" wrapText="1" readingOrder="2"/>
    </xf>
    <xf numFmtId="0" fontId="104" fillId="0" borderId="1" xfId="0" applyFont="1" applyBorder="1" applyAlignment="1">
      <alignment horizontal="center" vertical="center" wrapText="1" readingOrder="1"/>
    </xf>
    <xf numFmtId="0" fontId="12" fillId="0" borderId="2" xfId="0" applyFont="1" applyBorder="1" applyAlignment="1">
      <alignment horizontal="center" vertical="center" readingOrder="2"/>
    </xf>
    <xf numFmtId="0" fontId="12" fillId="0" borderId="3" xfId="0" applyFont="1" applyBorder="1" applyAlignment="1">
      <alignment horizontal="center" vertical="center" readingOrder="2"/>
    </xf>
    <xf numFmtId="0" fontId="22" fillId="0" borderId="2" xfId="0" applyFont="1" applyBorder="1" applyAlignment="1">
      <alignment horizontal="right" vertical="center"/>
    </xf>
    <xf numFmtId="0" fontId="22" fillId="0" borderId="4" xfId="0" applyFont="1" applyBorder="1" applyAlignment="1">
      <alignment horizontal="right" vertical="center"/>
    </xf>
    <xf numFmtId="0" fontId="8" fillId="10" borderId="2" xfId="0" applyFont="1" applyFill="1" applyBorder="1" applyAlignment="1">
      <alignment horizontal="center" vertical="center" wrapText="1" readingOrder="2"/>
    </xf>
    <xf numFmtId="0" fontId="8" fillId="10" borderId="4" xfId="0" applyFont="1" applyFill="1" applyBorder="1" applyAlignment="1">
      <alignment horizontal="center" vertical="center" wrapText="1" readingOrder="2"/>
    </xf>
    <xf numFmtId="0" fontId="8" fillId="10" borderId="3" xfId="0" applyFont="1" applyFill="1" applyBorder="1" applyAlignment="1">
      <alignment horizontal="center" vertical="center" wrapText="1" readingOrder="2"/>
    </xf>
    <xf numFmtId="0" fontId="21" fillId="0" borderId="2" xfId="0" applyFont="1" applyBorder="1" applyAlignment="1">
      <alignment horizontal="center" vertical="center" wrapText="1" readingOrder="2"/>
    </xf>
    <xf numFmtId="0" fontId="21" fillId="0" borderId="3" xfId="0" applyFont="1" applyBorder="1" applyAlignment="1">
      <alignment horizontal="center" vertical="center" wrapText="1" readingOrder="2"/>
    </xf>
    <xf numFmtId="0" fontId="21" fillId="0" borderId="12" xfId="0" applyFont="1" applyBorder="1" applyAlignment="1">
      <alignment horizontal="center" vertical="center" wrapText="1" readingOrder="2"/>
    </xf>
    <xf numFmtId="0" fontId="21" fillId="0" borderId="14" xfId="0" applyFont="1" applyBorder="1" applyAlignment="1">
      <alignment horizontal="center" vertical="center" wrapText="1" readingOrder="2"/>
    </xf>
    <xf numFmtId="0" fontId="21" fillId="0" borderId="7" xfId="0" applyFont="1" applyBorder="1" applyAlignment="1">
      <alignment horizontal="center" vertical="center" wrapText="1" readingOrder="2"/>
    </xf>
    <xf numFmtId="0" fontId="21" fillId="0" borderId="9" xfId="0" applyFont="1" applyBorder="1" applyAlignment="1">
      <alignment horizontal="center" vertical="center" wrapText="1" readingOrder="2"/>
    </xf>
    <xf numFmtId="174" fontId="20" fillId="0" borderId="2" xfId="0" applyNumberFormat="1" applyFont="1" applyBorder="1" applyAlignment="1">
      <alignment horizontal="center" vertical="center" wrapText="1" readingOrder="1"/>
    </xf>
    <xf numFmtId="174" fontId="20" fillId="0" borderId="4" xfId="0" applyNumberFormat="1" applyFont="1" applyBorder="1" applyAlignment="1">
      <alignment horizontal="center" vertical="center" wrapText="1" readingOrder="1"/>
    </xf>
    <xf numFmtId="174" fontId="20" fillId="0" borderId="3" xfId="0" applyNumberFormat="1" applyFont="1" applyBorder="1" applyAlignment="1">
      <alignment horizontal="center" vertical="center" wrapText="1" readingOrder="1"/>
    </xf>
    <xf numFmtId="0" fontId="102" fillId="0" borderId="1" xfId="0" applyFont="1" applyBorder="1" applyAlignment="1">
      <alignment horizontal="right" vertical="center" wrapText="1" readingOrder="2"/>
    </xf>
    <xf numFmtId="0" fontId="6" fillId="0" borderId="10" xfId="0" applyFont="1" applyBorder="1" applyAlignment="1">
      <alignment horizontal="right" vertical="top" wrapText="1" readingOrder="2"/>
    </xf>
    <xf numFmtId="0" fontId="6" fillId="0" borderId="0" xfId="0" applyFont="1" applyBorder="1" applyAlignment="1">
      <alignment horizontal="right" vertical="top" wrapText="1" readingOrder="2"/>
    </xf>
    <xf numFmtId="0" fontId="6" fillId="0" borderId="11" xfId="0" applyFont="1" applyBorder="1" applyAlignment="1">
      <alignment horizontal="right" vertical="top" wrapText="1" readingOrder="2"/>
    </xf>
    <xf numFmtId="0" fontId="6" fillId="0" borderId="12" xfId="0" applyFont="1" applyBorder="1" applyAlignment="1">
      <alignment horizontal="right" vertical="top" wrapText="1" readingOrder="2"/>
    </xf>
    <xf numFmtId="0" fontId="6" fillId="0" borderId="13" xfId="0" applyFont="1" applyBorder="1" applyAlignment="1">
      <alignment horizontal="right" vertical="top" wrapText="1" readingOrder="2"/>
    </xf>
    <xf numFmtId="0" fontId="6" fillId="0" borderId="14" xfId="0" applyFont="1" applyBorder="1" applyAlignment="1">
      <alignment horizontal="right" vertical="top" wrapText="1" readingOrder="2"/>
    </xf>
    <xf numFmtId="0" fontId="102" fillId="0" borderId="4" xfId="0" applyFont="1" applyBorder="1" applyAlignment="1">
      <alignment horizontal="center" vertical="center" wrapText="1" readingOrder="2"/>
    </xf>
    <xf numFmtId="0" fontId="102" fillId="0" borderId="3" xfId="0" applyFont="1" applyBorder="1" applyAlignment="1">
      <alignment horizontal="center" vertical="center" wrapText="1" readingOrder="2"/>
    </xf>
    <xf numFmtId="0" fontId="15" fillId="0" borderId="12" xfId="0" applyFont="1" applyBorder="1" applyAlignment="1">
      <alignment horizontal="center" vertical="center" wrapText="1" readingOrder="1"/>
    </xf>
    <xf numFmtId="0" fontId="15" fillId="0" borderId="13" xfId="0" applyFont="1" applyBorder="1" applyAlignment="1">
      <alignment horizontal="center" vertical="center" wrapText="1" readingOrder="1"/>
    </xf>
    <xf numFmtId="0" fontId="15" fillId="0" borderId="14" xfId="0" applyFont="1" applyBorder="1" applyAlignment="1">
      <alignment horizontal="center" vertical="center" wrapText="1" readingOrder="1"/>
    </xf>
    <xf numFmtId="0" fontId="24" fillId="0" borderId="3" xfId="0" applyFont="1" applyBorder="1" applyAlignment="1">
      <alignment horizontal="right" vertical="center" wrapText="1" indent="2"/>
    </xf>
    <xf numFmtId="0" fontId="21" fillId="0" borderId="1" xfId="0" applyFont="1" applyBorder="1" applyAlignment="1">
      <alignment horizontal="center" vertical="center" wrapText="1" readingOrder="2"/>
    </xf>
    <xf numFmtId="0" fontId="21" fillId="0" borderId="5"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5" fillId="0" borderId="7"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15" fillId="0" borderId="9" xfId="0" applyFont="1" applyBorder="1" applyAlignment="1">
      <alignment horizontal="center" vertical="center" wrapText="1" readingOrder="1"/>
    </xf>
    <xf numFmtId="0" fontId="99" fillId="0" borderId="0" xfId="0" applyFont="1" applyBorder="1" applyAlignment="1">
      <alignment horizontal="right" vertical="center"/>
    </xf>
    <xf numFmtId="0" fontId="99" fillId="0" borderId="0" xfId="0" applyFont="1" applyBorder="1" applyAlignment="1">
      <alignment horizontal="center" vertical="center"/>
    </xf>
    <xf numFmtId="0" fontId="15" fillId="0" borderId="0" xfId="0" applyFont="1" applyBorder="1" applyAlignment="1">
      <alignment horizontal="center" vertical="center"/>
    </xf>
    <xf numFmtId="0" fontId="13" fillId="0" borderId="7" xfId="0" applyFont="1" applyBorder="1" applyAlignment="1">
      <alignment horizontal="right" vertical="top" wrapText="1"/>
    </xf>
    <xf numFmtId="0" fontId="13" fillId="0" borderId="8" xfId="0" applyFont="1" applyBorder="1" applyAlignment="1">
      <alignment horizontal="right" vertical="top" wrapText="1"/>
    </xf>
    <xf numFmtId="0" fontId="13" fillId="0" borderId="8" xfId="0" applyFont="1" applyBorder="1" applyAlignment="1">
      <alignment horizontal="right" vertical="top"/>
    </xf>
    <xf numFmtId="0" fontId="13" fillId="0" borderId="9" xfId="0" applyFont="1" applyBorder="1" applyAlignment="1">
      <alignment horizontal="right" vertical="top"/>
    </xf>
    <xf numFmtId="0" fontId="13" fillId="0" borderId="10" xfId="0" applyFont="1" applyBorder="1" applyAlignment="1">
      <alignment horizontal="right" vertical="top"/>
    </xf>
    <xf numFmtId="0" fontId="13" fillId="0" borderId="0" xfId="0" applyFont="1" applyBorder="1" applyAlignment="1">
      <alignment horizontal="right" vertical="top"/>
    </xf>
    <xf numFmtId="0" fontId="13" fillId="0" borderId="11" xfId="0" applyFont="1" applyBorder="1" applyAlignment="1">
      <alignment horizontal="right" vertical="top"/>
    </xf>
    <xf numFmtId="0" fontId="13" fillId="0" borderId="12" xfId="0" applyFont="1" applyBorder="1" applyAlignment="1">
      <alignment horizontal="right" vertical="top"/>
    </xf>
    <xf numFmtId="0" fontId="13" fillId="0" borderId="13" xfId="0" applyFont="1" applyBorder="1" applyAlignment="1">
      <alignment horizontal="right" vertical="top"/>
    </xf>
    <xf numFmtId="0" fontId="13" fillId="0" borderId="14" xfId="0" applyFont="1" applyBorder="1" applyAlignment="1">
      <alignment horizontal="right" vertical="top"/>
    </xf>
    <xf numFmtId="0" fontId="99" fillId="0" borderId="0" xfId="0" applyFont="1" applyFill="1" applyBorder="1" applyAlignment="1">
      <alignment horizontal="center" vertical="center" wrapText="1" readingOrder="2"/>
    </xf>
    <xf numFmtId="0" fontId="99" fillId="0" borderId="13" xfId="0" applyFont="1" applyFill="1" applyBorder="1" applyAlignment="1">
      <alignment horizontal="center" vertical="center" wrapText="1" readingOrder="2"/>
    </xf>
    <xf numFmtId="0" fontId="99" fillId="0" borderId="13" xfId="0" applyFont="1" applyBorder="1" applyAlignment="1">
      <alignment horizontal="right" vertical="center"/>
    </xf>
    <xf numFmtId="0" fontId="102" fillId="0" borderId="12" xfId="0" applyFont="1" applyBorder="1" applyAlignment="1">
      <alignment vertical="center" wrapText="1" readingOrder="2"/>
    </xf>
    <xf numFmtId="0" fontId="102" fillId="0" borderId="13" xfId="0" applyFont="1" applyBorder="1" applyAlignment="1">
      <alignment vertical="center" wrapText="1" readingOrder="2"/>
    </xf>
    <xf numFmtId="0" fontId="102" fillId="0" borderId="14" xfId="0" applyFont="1" applyBorder="1" applyAlignment="1">
      <alignment vertical="center" wrapText="1" readingOrder="2"/>
    </xf>
    <xf numFmtId="0" fontId="102" fillId="0" borderId="2" xfId="0" applyFont="1" applyBorder="1" applyAlignment="1">
      <alignment vertical="center" wrapText="1" readingOrder="2"/>
    </xf>
    <xf numFmtId="0" fontId="102" fillId="0" borderId="4" xfId="0" applyFont="1" applyBorder="1" applyAlignment="1">
      <alignment vertical="center" wrapText="1" readingOrder="2"/>
    </xf>
    <xf numFmtId="0" fontId="102" fillId="0" borderId="3" xfId="0" applyFont="1" applyBorder="1" applyAlignment="1">
      <alignment vertical="center" wrapText="1" readingOrder="2"/>
    </xf>
    <xf numFmtId="0" fontId="11" fillId="0" borderId="12" xfId="0" applyFont="1" applyBorder="1" applyAlignment="1">
      <alignment horizontal="center" vertical="center" wrapText="1" readingOrder="2"/>
    </xf>
    <xf numFmtId="0" fontId="11" fillId="0" borderId="13" xfId="0" applyFont="1" applyBorder="1" applyAlignment="1">
      <alignment horizontal="center" vertical="center" wrapText="1" readingOrder="2"/>
    </xf>
    <xf numFmtId="0" fontId="11" fillId="0" borderId="14" xfId="0" applyFont="1" applyBorder="1" applyAlignment="1">
      <alignment horizontal="center" vertical="center" wrapText="1" readingOrder="2"/>
    </xf>
    <xf numFmtId="0" fontId="104" fillId="0" borderId="12" xfId="0" applyFont="1" applyBorder="1" applyAlignment="1">
      <alignment horizontal="center" vertical="center" wrapText="1" readingOrder="1"/>
    </xf>
    <xf numFmtId="0" fontId="104" fillId="0" borderId="14" xfId="0" applyFont="1" applyBorder="1" applyAlignment="1">
      <alignment horizontal="center" vertical="center" wrapText="1" readingOrder="1"/>
    </xf>
    <xf numFmtId="0" fontId="57" fillId="0" borderId="2" xfId="0" applyFont="1" applyBorder="1" applyAlignment="1">
      <alignment horizontal="center" vertical="center" wrapText="1" readingOrder="1"/>
    </xf>
    <xf numFmtId="0" fontId="57" fillId="0" borderId="4" xfId="0" applyFont="1" applyBorder="1" applyAlignment="1">
      <alignment horizontal="center" vertical="center" wrapText="1" readingOrder="1"/>
    </xf>
    <xf numFmtId="0" fontId="57" fillId="0" borderId="3" xfId="0" applyFont="1" applyBorder="1" applyAlignment="1">
      <alignment horizontal="center" vertical="center" wrapText="1" readingOrder="1"/>
    </xf>
    <xf numFmtId="0" fontId="104" fillId="0" borderId="2" xfId="0" applyFont="1" applyBorder="1" applyAlignment="1">
      <alignment horizontal="center" vertical="center" wrapText="1" readingOrder="1"/>
    </xf>
    <xf numFmtId="0" fontId="104" fillId="0" borderId="3" xfId="0" applyFont="1" applyBorder="1" applyAlignment="1">
      <alignment horizontal="center" vertical="center" wrapText="1" readingOrder="1"/>
    </xf>
    <xf numFmtId="0" fontId="11" fillId="0" borderId="2" xfId="0" applyFont="1" applyBorder="1" applyAlignment="1">
      <alignment horizontal="center" vertical="center" wrapText="1" readingOrder="1"/>
    </xf>
    <xf numFmtId="0" fontId="11" fillId="0" borderId="4" xfId="0" applyFont="1" applyBorder="1" applyAlignment="1">
      <alignment horizontal="center" vertical="center" wrapText="1" readingOrder="1"/>
    </xf>
    <xf numFmtId="0" fontId="11" fillId="0" borderId="3" xfId="0" applyFont="1" applyBorder="1" applyAlignment="1">
      <alignment horizontal="center" vertical="center" wrapText="1" readingOrder="1"/>
    </xf>
    <xf numFmtId="0" fontId="12" fillId="0" borderId="10" xfId="0" applyFont="1" applyBorder="1" applyAlignment="1">
      <alignment horizontal="center" vertical="center" wrapText="1"/>
    </xf>
    <xf numFmtId="0" fontId="1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24" fillId="0" borderId="7" xfId="0" applyFont="1" applyBorder="1" applyAlignment="1">
      <alignment horizontal="right" vertical="center" wrapText="1" readingOrder="2"/>
    </xf>
    <xf numFmtId="0" fontId="24" fillId="0" borderId="8" xfId="0" applyFont="1" applyBorder="1" applyAlignment="1">
      <alignment horizontal="right" vertical="center" wrapText="1" readingOrder="2"/>
    </xf>
    <xf numFmtId="0" fontId="6" fillId="0" borderId="2" xfId="0" applyFont="1" applyBorder="1" applyAlignment="1">
      <alignment horizontal="center" vertical="center" wrapText="1" readingOrder="2"/>
    </xf>
    <xf numFmtId="0" fontId="6" fillId="0" borderId="4" xfId="0" applyFont="1" applyBorder="1" applyAlignment="1">
      <alignment horizontal="center" vertical="center" wrapText="1" readingOrder="2"/>
    </xf>
    <xf numFmtId="0" fontId="6" fillId="0" borderId="3" xfId="0" applyFont="1" applyBorder="1" applyAlignment="1">
      <alignment horizontal="center" vertical="center" wrapText="1" readingOrder="2"/>
    </xf>
    <xf numFmtId="0" fontId="6" fillId="0" borderId="12" xfId="0" applyFont="1" applyBorder="1" applyAlignment="1">
      <alignment horizontal="center" vertical="center" wrapText="1" readingOrder="2"/>
    </xf>
    <xf numFmtId="0" fontId="6" fillId="0" borderId="13" xfId="0" applyFont="1" applyBorder="1" applyAlignment="1">
      <alignment horizontal="center" vertical="center" wrapText="1" readingOrder="2"/>
    </xf>
    <xf numFmtId="0" fontId="6" fillId="0" borderId="14" xfId="0" applyFont="1" applyBorder="1" applyAlignment="1">
      <alignment horizontal="center" vertical="center" wrapText="1" readingOrder="2"/>
    </xf>
    <xf numFmtId="0" fontId="6" fillId="0" borderId="7" xfId="0" applyFont="1" applyBorder="1" applyAlignment="1">
      <alignment horizontal="center" vertical="center" wrapText="1" readingOrder="2"/>
    </xf>
    <xf numFmtId="0" fontId="6"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38" fillId="0" borderId="1" xfId="0" applyFont="1" applyBorder="1" applyAlignment="1">
      <alignment horizontal="center"/>
    </xf>
    <xf numFmtId="0" fontId="24" fillId="0" borderId="4" xfId="0" applyFont="1" applyBorder="1" applyAlignment="1">
      <alignment horizontal="right" vertical="center" wrapText="1" indent="2" readingOrder="2"/>
    </xf>
    <xf numFmtId="0" fontId="24" fillId="0" borderId="3" xfId="0" applyFont="1" applyBorder="1" applyAlignment="1">
      <alignment horizontal="right" vertical="center" wrapText="1" indent="2" readingOrder="2"/>
    </xf>
    <xf numFmtId="0" fontId="6" fillId="0" borderId="47" xfId="0" applyFont="1" applyBorder="1" applyAlignment="1">
      <alignment horizontal="right" vertical="center" wrapText="1" readingOrder="2"/>
    </xf>
    <xf numFmtId="0" fontId="8" fillId="10" borderId="5" xfId="0" applyFont="1" applyFill="1" applyBorder="1" applyAlignment="1">
      <alignment horizontal="center" vertical="center" wrapText="1" readingOrder="2"/>
    </xf>
    <xf numFmtId="0" fontId="21" fillId="0" borderId="6" xfId="0" applyFont="1" applyBorder="1" applyAlignment="1">
      <alignment horizontal="center" vertical="center" wrapText="1" readingOrder="1"/>
    </xf>
    <xf numFmtId="0" fontId="21" fillId="0" borderId="1" xfId="0" quotePrefix="1" applyFont="1" applyBorder="1" applyAlignment="1">
      <alignment horizontal="center" vertical="center" wrapText="1" readingOrder="2"/>
    </xf>
    <xf numFmtId="0" fontId="21" fillId="0" borderId="2" xfId="0" applyFont="1" applyBorder="1" applyAlignment="1">
      <alignment horizontal="center" vertical="center" wrapText="1" readingOrder="1"/>
    </xf>
    <xf numFmtId="0" fontId="21" fillId="0" borderId="3" xfId="0" applyFont="1" applyBorder="1" applyAlignment="1">
      <alignment horizontal="center" vertical="center" wrapText="1" readingOrder="1"/>
    </xf>
    <xf numFmtId="0" fontId="21" fillId="0" borderId="5" xfId="0" quotePrefix="1" applyFont="1" applyBorder="1" applyAlignment="1">
      <alignment horizontal="center" vertical="center" wrapText="1" readingOrder="2"/>
    </xf>
    <xf numFmtId="0" fontId="12" fillId="0" borderId="13" xfId="0" applyFont="1" applyBorder="1" applyAlignment="1">
      <alignment horizontal="center" vertical="center" wrapText="1" readingOrder="2"/>
    </xf>
  </cellXfs>
  <cellStyles count="5">
    <cellStyle name="Comma" xfId="2" builtinId="3"/>
    <cellStyle name="Hyperlink" xfId="4" builtinId="8"/>
    <cellStyle name="Normal" xfId="0" builtinId="0"/>
    <cellStyle name="Normal 2" xfId="3"/>
    <cellStyle name="Percent" xfId="1" builtinId="5"/>
  </cellStyles>
  <dxfs count="22">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bottom style="thin">
          <color auto="1"/>
        </bottom>
        <vertical/>
        <horizontal/>
      </border>
    </dxf>
    <dxf>
      <border>
        <bottom/>
        <vertical/>
        <horizontal/>
      </border>
    </dxf>
    <dxf>
      <border>
        <bottom/>
        <vertical/>
        <horizontal/>
      </border>
    </dxf>
    <dxf>
      <border>
        <bottom/>
        <vertical/>
        <horizontal/>
      </border>
    </dxf>
    <dxf>
      <border>
        <bottom/>
        <vertical/>
        <horizontal/>
      </border>
    </dxf>
    <dxf>
      <font>
        <color rgb="FF9C0006"/>
      </font>
      <fill>
        <patternFill>
          <bgColor rgb="FFFFC7CE"/>
        </patternFill>
      </fill>
    </dxf>
    <dxf>
      <font>
        <color theme="1"/>
      </font>
      <fill>
        <patternFill>
          <bgColor rgb="FFFF0000"/>
        </patternFill>
      </fill>
    </dxf>
    <dxf>
      <font>
        <color rgb="FFFF0000"/>
      </font>
      <fill>
        <patternFill patternType="none">
          <bgColor auto="1"/>
        </patternFill>
      </fill>
    </dxf>
    <dxf>
      <font>
        <color rgb="FFFF0000"/>
      </font>
      <fill>
        <patternFill patternType="none">
          <bgColor auto="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786F44"/>
      <color rgb="FF9D9D9D"/>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(IST!$V$4,IST!$AA$4)</c:f>
              <c:numCache>
                <c:formatCode>0.0</c:formatCode>
                <c:ptCount val="2"/>
              </c:numCache>
            </c:numRef>
          </c:val>
          <c:smooth val="0"/>
          <c:extLst>
            <c:ext xmlns:c16="http://schemas.microsoft.com/office/drawing/2014/chart" uri="{C3380CC4-5D6E-409C-BE32-E72D297353CC}">
              <c16:uniqueId val="{00000000-BF92-4377-8A44-55B53E9B46E7}"/>
            </c:ext>
          </c:extLst>
        </c:ser>
        <c:dLbls>
          <c:showLegendKey val="0"/>
          <c:showVal val="0"/>
          <c:showCatName val="0"/>
          <c:showSerName val="0"/>
          <c:showPercent val="0"/>
          <c:showBubbleSize val="0"/>
        </c:dLbls>
        <c:marker val="1"/>
        <c:smooth val="0"/>
        <c:axId val="79856000"/>
        <c:axId val="79864576"/>
      </c:line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yVal>
            <c:numRef>
              <c:f>IST!$AB$14</c:f>
              <c:numCache>
                <c:formatCode>General</c:formatCode>
                <c:ptCount val="1"/>
                <c:pt idx="0">
                  <c:v>0</c:v>
                </c:pt>
              </c:numCache>
            </c:numRef>
          </c:yVal>
          <c:smooth val="0"/>
          <c:extLst>
            <c:ext xmlns:c16="http://schemas.microsoft.com/office/drawing/2014/chart" uri="{C3380CC4-5D6E-409C-BE32-E72D297353CC}">
              <c16:uniqueId val="{00000001-BF92-4377-8A44-55B53E9B46E7}"/>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IST!$AB$15</c:f>
              <c:numCache>
                <c:formatCode>0.0</c:formatCode>
                <c:ptCount val="1"/>
                <c:pt idx="0">
                  <c:v>0</c:v>
                </c:pt>
              </c:numCache>
            </c:numRef>
          </c:yVal>
          <c:smooth val="0"/>
          <c:extLst>
            <c:ext xmlns:c16="http://schemas.microsoft.com/office/drawing/2014/chart" uri="{C3380CC4-5D6E-409C-BE32-E72D297353CC}">
              <c16:uniqueId val="{00000002-BF92-4377-8A44-55B53E9B46E7}"/>
            </c:ext>
          </c:extLst>
        </c:ser>
        <c:dLbls>
          <c:showLegendKey val="0"/>
          <c:showVal val="0"/>
          <c:showCatName val="0"/>
          <c:showSerName val="0"/>
          <c:showPercent val="0"/>
          <c:showBubbleSize val="0"/>
        </c:dLbls>
        <c:axId val="79856000"/>
        <c:axId val="79864576"/>
      </c:scatterChart>
      <c:catAx>
        <c:axId val="79856000"/>
        <c:scaling>
          <c:orientation val="maxMin"/>
        </c:scaling>
        <c:delete val="1"/>
        <c:axPos val="b"/>
        <c:majorTickMark val="none"/>
        <c:minorTickMark val="none"/>
        <c:tickLblPos val="nextTo"/>
        <c:crossAx val="79864576"/>
        <c:crosses val="autoZero"/>
        <c:auto val="1"/>
        <c:lblAlgn val="ctr"/>
        <c:lblOffset val="100"/>
        <c:noMultiLvlLbl val="0"/>
      </c:catAx>
      <c:valAx>
        <c:axId val="79864576"/>
        <c:scaling>
          <c:orientation val="minMax"/>
          <c:max val="100000"/>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985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fa-IR" sz="1000">
                <a:cs typeface="B Titr" panose="00000700000000000000" pitchFamily="2" charset="-78"/>
              </a:rPr>
              <a:t>گراف نیرویی</a:t>
            </a:r>
            <a:endParaRPr lang="en-US" sz="1000">
              <a:cs typeface="B Titr" panose="00000700000000000000" pitchFamily="2" charset="-78"/>
            </a:endParaRPr>
          </a:p>
        </c:rich>
      </c:tx>
      <c:overlay val="0"/>
      <c:spPr>
        <a:noFill/>
        <a:ln>
          <a:noFill/>
        </a:ln>
        <a:effectLst/>
      </c:sp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1"/>
            <c:marker>
              <c:spPr>
                <a:solidFill>
                  <a:srgbClr val="FF00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4CFE-4DB1-A8C8-7AE8F8B173CC}"/>
              </c:ext>
            </c:extLst>
          </c:dPt>
          <c:dPt>
            <c:idx val="2"/>
            <c:marker>
              <c:spPr>
                <a:solidFill>
                  <a:srgbClr val="FFFF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4CFE-4DB1-A8C8-7AE8F8B173CC}"/>
              </c:ext>
            </c:extLst>
          </c:dPt>
          <c:dLbls>
            <c:dLbl>
              <c:idx val="0"/>
              <c:tx>
                <c:rich>
                  <a:bodyPr/>
                  <a:lstStyle/>
                  <a:p>
                    <a:fld id="{0F3C8751-9607-49EC-96ED-E0F9D559F54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FE-4DB1-A8C8-7AE8F8B173CC}"/>
                </c:ext>
              </c:extLst>
            </c:dLbl>
            <c:dLbl>
              <c:idx val="1"/>
              <c:layout>
                <c:manualLayout>
                  <c:x val="5.4320977093228889E-2"/>
                  <c:y val="0"/>
                </c:manualLayout>
              </c:layout>
              <c:tx>
                <c:rich>
                  <a:bodyPr wrap="square" lIns="38100" tIns="19050" rIns="38100" bIns="19050" anchor="ctr">
                    <a:spAutoFit/>
                  </a:bodyPr>
                  <a:lstStyle/>
                  <a:p>
                    <a:pPr>
                      <a:defRPr>
                        <a:solidFill>
                          <a:schemeClr val="bg1"/>
                        </a:solidFill>
                      </a:defRPr>
                    </a:pPr>
                    <a:fld id="{133C1CA5-C2F9-4481-B0AA-68D86777B593}"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FE-4DB1-A8C8-7AE8F8B173CC}"/>
                </c:ext>
              </c:extLst>
            </c:dLbl>
            <c:dLbl>
              <c:idx val="2"/>
              <c:layout>
                <c:manualLayout>
                  <c:x val="-0.14101372780913241"/>
                  <c:y val="0"/>
                </c:manualLayout>
              </c:layout>
              <c:tx>
                <c:rich>
                  <a:bodyPr wrap="square" lIns="38100" tIns="19050" rIns="38100" bIns="19050" anchor="ctr">
                    <a:spAutoFit/>
                  </a:bodyPr>
                  <a:lstStyle/>
                  <a:p>
                    <a:pPr>
                      <a:defRPr>
                        <a:solidFill>
                          <a:schemeClr val="bg1"/>
                        </a:solidFill>
                      </a:defRPr>
                    </a:pPr>
                    <a:fld id="{96E88673-1F83-461E-A662-66AD981B35F4}"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FE-4DB1-A8C8-7AE8F8B173CC}"/>
                </c:ext>
              </c:extLst>
            </c:dLbl>
            <c:dLbl>
              <c:idx val="3"/>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4CFE-4DB1-A8C8-7AE8F8B173C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E-4DB1-A8C8-7AE8F8B173CC}"/>
                </c:ext>
              </c:extLst>
            </c:dLbl>
            <c:dLbl>
              <c:idx val="5"/>
              <c:tx>
                <c:rich>
                  <a:bodyPr/>
                  <a:lstStyle/>
                  <a:p>
                    <a:fld id="{8284798B-CC0B-4ABA-9F8A-73859FB4ED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IST!$AA$14:$AA$19</c:f>
              <c:numCache>
                <c:formatCode>0.00</c:formatCode>
                <c:ptCount val="6"/>
                <c:pt idx="0" formatCode="General">
                  <c:v>260</c:v>
                </c:pt>
                <c:pt idx="1">
                  <c:v>260</c:v>
                </c:pt>
                <c:pt idx="2">
                  <c:v>260</c:v>
                </c:pt>
                <c:pt idx="3">
                  <c:v>63.125440000000005</c:v>
                </c:pt>
                <c:pt idx="4">
                  <c:v>54.235972000000004</c:v>
                </c:pt>
                <c:pt idx="5">
                  <c:v>36.4</c:v>
                </c:pt>
              </c:numCache>
            </c:numRef>
          </c:xVal>
          <c:yVal>
            <c:numRef>
              <c:f>IST!$AB$14:$AB$19</c:f>
              <c:numCache>
                <c:formatCode>0.0</c:formatCode>
                <c:ptCount val="6"/>
                <c:pt idx="0" formatCode="General">
                  <c:v>0</c:v>
                </c:pt>
                <c:pt idx="1">
                  <c:v>0</c:v>
                </c:pt>
                <c:pt idx="2">
                  <c:v>0</c:v>
                </c:pt>
                <c:pt idx="3">
                  <c:v>171.03599702654387</c:v>
                </c:pt>
                <c:pt idx="4">
                  <c:v>178.75877757480544</c:v>
                </c:pt>
                <c:pt idx="5">
                  <c:v>194.25388905064833</c:v>
                </c:pt>
              </c:numCache>
            </c:numRef>
          </c:yVal>
          <c:smooth val="0"/>
          <c:extLst>
            <c:ext xmlns:c15="http://schemas.microsoft.com/office/drawing/2012/chart" uri="{02D57815-91ED-43cb-92C2-25804820EDAC}">
              <c15:datalabelsRange>
                <c15:f>IST!$AC$14:$AC$19</c15:f>
                <c15:dlblRangeCache>
                  <c:ptCount val="6"/>
                  <c:pt idx="3">
                    <c:v>dynamic</c:v>
                  </c:pt>
                  <c:pt idx="4">
                    <c:v>statick</c:v>
                  </c:pt>
                </c15:dlblRangeCache>
              </c15:datalabelsRange>
            </c:ext>
            <c:ext xmlns:c16="http://schemas.microsoft.com/office/drawing/2014/chart" uri="{C3380CC4-5D6E-409C-BE32-E72D297353CC}">
              <c16:uniqueId val="{00000000-4CFE-4DB1-A8C8-7AE8F8B173CC}"/>
            </c:ext>
          </c:extLst>
        </c:ser>
        <c:ser>
          <c:idx val="1"/>
          <c:order val="1"/>
          <c:spPr>
            <a:ln w="22225" cap="rnd">
              <a:solidFill>
                <a:srgbClr val="00B050"/>
              </a:solidFill>
            </a:ln>
            <a:effectLst>
              <a:glow rad="139700">
                <a:srgbClr val="00B050">
                  <a:alpha val="14000"/>
                </a:srgbClr>
              </a:glow>
            </a:effectLst>
          </c:spPr>
          <c:marker>
            <c:symbol val="circle"/>
            <c:size val="3"/>
            <c:spPr>
              <a:solidFill>
                <a:srgbClr val="00B050"/>
              </a:solidFill>
              <a:ln>
                <a:solidFill>
                  <a:srgbClr val="00B050"/>
                </a:solidFill>
              </a:ln>
              <a:effectLst>
                <a:glow rad="139700">
                  <a:srgbClr val="00B050">
                    <a:alpha val="14000"/>
                  </a:srgbClr>
                </a:glow>
              </a:effectLst>
            </c:spPr>
          </c:marker>
          <c:dLbls>
            <c:dLbl>
              <c:idx val="0"/>
              <c:tx>
                <c:rich>
                  <a:bodyPr/>
                  <a:lstStyle/>
                  <a:p>
                    <a:fld id="{57DCE024-0DFE-443D-AFC9-D6650EF5D87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FE-4DB1-A8C8-7AE8F8B173CC}"/>
                </c:ext>
              </c:extLst>
            </c:dLbl>
            <c:dLbl>
              <c:idx val="1"/>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IST!$AA$20:$AA$21</c:f>
              <c:numCache>
                <c:formatCode>0.0</c:formatCode>
                <c:ptCount val="2"/>
                <c:pt idx="0" formatCode="0.00">
                  <c:v>192.91999621895596</c:v>
                </c:pt>
                <c:pt idx="1">
                  <c:v>103.48000268827295</c:v>
                </c:pt>
              </c:numCache>
            </c:numRef>
          </c:xVal>
          <c:yVal>
            <c:numRef>
              <c:f>IST!$AB$20:$AB$21</c:f>
              <c:numCache>
                <c:formatCode>0.0</c:formatCode>
                <c:ptCount val="2"/>
                <c:pt idx="0">
                  <c:v>58.27617</c:v>
                </c:pt>
                <c:pt idx="1">
                  <c:v>135.97772000000001</c:v>
                </c:pt>
              </c:numCache>
            </c:numRef>
          </c:yVal>
          <c:smooth val="0"/>
          <c:extLst>
            <c:ext xmlns:c15="http://schemas.microsoft.com/office/drawing/2012/chart" uri="{02D57815-91ED-43cb-92C2-25804820EDAC}">
              <c15:datalabelsRange>
                <c15:f>IST!$AC$20</c15:f>
                <c15:dlblRangeCache>
                  <c:ptCount val="1"/>
                </c15:dlblRangeCache>
              </c15:datalabelsRange>
            </c:ext>
            <c:ext xmlns:c16="http://schemas.microsoft.com/office/drawing/2014/chart" uri="{C3380CC4-5D6E-409C-BE32-E72D297353CC}">
              <c16:uniqueId val="{00000002-4CFE-4DB1-A8C8-7AE8F8B173CC}"/>
            </c:ext>
          </c:extLst>
        </c:ser>
        <c:ser>
          <c:idx val="2"/>
          <c:order val="2"/>
          <c:tx>
            <c:v>محدوده خطر</c:v>
          </c:tx>
          <c:spPr>
            <a:ln w="22225" cap="rnd">
              <a:solidFill>
                <a:srgbClr val="FF0000"/>
              </a:solidFill>
            </a:ln>
            <a:effectLst>
              <a:glow rad="139700">
                <a:srgbClr val="FF0000">
                  <a:alpha val="14000"/>
                </a:srgbClr>
              </a:glow>
            </a:effectLst>
          </c:spPr>
          <c:marker>
            <c:symbol val="circle"/>
            <c:size val="3"/>
            <c:spPr>
              <a:solidFill>
                <a:srgbClr val="FF0000"/>
              </a:solidFill>
              <a:ln>
                <a:solidFill>
                  <a:srgbClr val="FF0000"/>
                </a:solidFill>
              </a:ln>
              <a:effectLst>
                <a:glow rad="139700">
                  <a:srgbClr val="FF0000">
                    <a:alpha val="14000"/>
                  </a:srgbClr>
                </a:glow>
              </a:effectLst>
            </c:spPr>
          </c:marker>
          <c:dLbls>
            <c:delete val="1"/>
          </c:dLbls>
          <c:xVal>
            <c:numRef>
              <c:f>IST!$AA$18:$AA$19</c:f>
              <c:numCache>
                <c:formatCode>0.00</c:formatCode>
                <c:ptCount val="2"/>
                <c:pt idx="0">
                  <c:v>54.235972000000004</c:v>
                </c:pt>
                <c:pt idx="1">
                  <c:v>36.4</c:v>
                </c:pt>
              </c:numCache>
            </c:numRef>
          </c:xVal>
          <c:yVal>
            <c:numRef>
              <c:f>IST!$AB$18:$AB$19</c:f>
              <c:numCache>
                <c:formatCode>0.0</c:formatCode>
                <c:ptCount val="2"/>
                <c:pt idx="0">
                  <c:v>178.75877757480544</c:v>
                </c:pt>
                <c:pt idx="1">
                  <c:v>194.25388905064833</c:v>
                </c:pt>
              </c:numCache>
            </c:numRef>
          </c:yVal>
          <c:smooth val="0"/>
          <c:extLst>
            <c:ext xmlns:c16="http://schemas.microsoft.com/office/drawing/2014/chart" uri="{C3380CC4-5D6E-409C-BE32-E72D297353CC}">
              <c16:uniqueId val="{00000003-7B3D-4875-9B90-9B054CCB1CFF}"/>
            </c:ext>
          </c:extLst>
        </c:ser>
        <c:dLbls>
          <c:showLegendKey val="0"/>
          <c:showVal val="1"/>
          <c:showCatName val="0"/>
          <c:showSerName val="0"/>
          <c:showPercent val="0"/>
          <c:showBubbleSize val="0"/>
        </c:dLbls>
        <c:axId val="93007232"/>
        <c:axId val="93035904"/>
      </c:scatterChart>
      <c:valAx>
        <c:axId val="93007232"/>
        <c:scaling>
          <c:orientation val="maxMin"/>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35904"/>
        <c:crosses val="autoZero"/>
        <c:crossBetween val="midCat"/>
      </c:valAx>
      <c:valAx>
        <c:axId val="93035904"/>
        <c:scaling>
          <c:orientation val="minMax"/>
        </c:scaling>
        <c:delete val="0"/>
        <c:axPos val="r"/>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072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B$18" fmlaRange="$N$5:$N$7" noThreeD="1" sel="1" val="0"/>
</file>

<file path=xl/ctrlProps/ctrlProp10.xml><?xml version="1.0" encoding="utf-8"?>
<formControlPr xmlns="http://schemas.microsoft.com/office/spreadsheetml/2009/9/main" objectType="CheckBox" fmlaLink="$BX$1" lockText="1" noThreeD="1"/>
</file>

<file path=xl/ctrlProps/ctrlProp11.xml><?xml version="1.0" encoding="utf-8"?>
<formControlPr xmlns="http://schemas.microsoft.com/office/spreadsheetml/2009/9/main" objectType="CheckBox" fmlaLink="$BW$1" lockText="1" noThreeD="1"/>
</file>

<file path=xl/ctrlProps/ctrlProp12.xml><?xml version="1.0" encoding="utf-8"?>
<formControlPr xmlns="http://schemas.microsoft.com/office/spreadsheetml/2009/9/main" objectType="CheckBox" fmlaLink="$BV$1" lockText="1" noThreeD="1"/>
</file>

<file path=xl/ctrlProps/ctrlProp13.xml><?xml version="1.0" encoding="utf-8"?>
<formControlPr xmlns="http://schemas.microsoft.com/office/spreadsheetml/2009/9/main" objectType="CheckBox" fmlaLink="$BU$1" lockText="1" noThreeD="1"/>
</file>

<file path=xl/ctrlProps/ctrlProp14.xml><?xml version="1.0" encoding="utf-8"?>
<formControlPr xmlns="http://schemas.microsoft.com/office/spreadsheetml/2009/9/main" objectType="CheckBox" fmlaLink="$BT$1" lockText="1" noThreeD="1"/>
</file>

<file path=xl/ctrlProps/ctrlProp15.xml><?xml version="1.0" encoding="utf-8"?>
<formControlPr xmlns="http://schemas.microsoft.com/office/spreadsheetml/2009/9/main" objectType="CheckBox" fmlaLink="$BS$1" lockText="1" noThreeD="1"/>
</file>

<file path=xl/ctrlProps/ctrlProp16.xml><?xml version="1.0" encoding="utf-8"?>
<formControlPr xmlns="http://schemas.microsoft.com/office/spreadsheetml/2009/9/main" objectType="CheckBox" fmlaLink="$BP$1" lockText="1" noThreeD="1"/>
</file>

<file path=xl/ctrlProps/ctrlProp17.xml><?xml version="1.0" encoding="utf-8"?>
<formControlPr xmlns="http://schemas.microsoft.com/office/spreadsheetml/2009/9/main" objectType="CheckBox" fmlaLink="$BR$1" lockText="1" noThreeD="1"/>
</file>

<file path=xl/ctrlProps/ctrlProp18.xml><?xml version="1.0" encoding="utf-8"?>
<formControlPr xmlns="http://schemas.microsoft.com/office/spreadsheetml/2009/9/main" objectType="CheckBox" fmlaLink="$BQ$1" lockText="1" noThreeD="1"/>
</file>

<file path=xl/ctrlProps/ctrlProp19.xml><?xml version="1.0" encoding="utf-8"?>
<formControlPr xmlns="http://schemas.microsoft.com/office/spreadsheetml/2009/9/main" objectType="CheckBox" fmlaLink="$BO$1" lockText="1" noThreeD="1"/>
</file>

<file path=xl/ctrlProps/ctrlProp2.xml><?xml version="1.0" encoding="utf-8"?>
<formControlPr xmlns="http://schemas.microsoft.com/office/spreadsheetml/2009/9/main" objectType="Drop" dropStyle="combo" dx="16" fmlaLink="$B$19" fmlaRange="$N$5:$N$7" noThreeD="1" sel="1" val="0"/>
</file>

<file path=xl/ctrlProps/ctrlProp20.xml><?xml version="1.0" encoding="utf-8"?>
<formControlPr xmlns="http://schemas.microsoft.com/office/spreadsheetml/2009/9/main" objectType="CheckBox" fmlaLink="$AG$61" noThreeD="1"/>
</file>

<file path=xl/ctrlProps/ctrlProp21.xml><?xml version="1.0" encoding="utf-8"?>
<formControlPr xmlns="http://schemas.microsoft.com/office/spreadsheetml/2009/9/main" objectType="CheckBox" checked="Checked" fmlaLink="$BS$3" lockText="1" noThreeD="1"/>
</file>

<file path=xl/ctrlProps/ctrlProp22.xml><?xml version="1.0" encoding="utf-8"?>
<formControlPr xmlns="http://schemas.microsoft.com/office/spreadsheetml/2009/9/main" objectType="CheckBox" fmlaLink="$BR$3" lockText="1" noThreeD="1"/>
</file>

<file path=xl/ctrlProps/ctrlProp23.xml><?xml version="1.0" encoding="utf-8"?>
<formControlPr xmlns="http://schemas.microsoft.com/office/spreadsheetml/2009/9/main" objectType="CheckBox" fmlaLink="$BX$2" lockText="1" noThreeD="1"/>
</file>

<file path=xl/ctrlProps/ctrlProp24.xml><?xml version="1.0" encoding="utf-8"?>
<formControlPr xmlns="http://schemas.microsoft.com/office/spreadsheetml/2009/9/main" objectType="CheckBox" fmlaLink="$BW$2" lockText="1" noThreeD="1"/>
</file>

<file path=xl/ctrlProps/ctrlProp25.xml><?xml version="1.0" encoding="utf-8"?>
<formControlPr xmlns="http://schemas.microsoft.com/office/spreadsheetml/2009/9/main" objectType="CheckBox" fmlaLink="$BU$2" lockText="1" noThreeD="1"/>
</file>

<file path=xl/ctrlProps/ctrlProp26.xml><?xml version="1.0" encoding="utf-8"?>
<formControlPr xmlns="http://schemas.microsoft.com/office/spreadsheetml/2009/9/main" objectType="CheckBox" fmlaLink="$BV$2" lockText="1" noThreeD="1"/>
</file>

<file path=xl/ctrlProps/ctrlProp27.xml><?xml version="1.0" encoding="utf-8"?>
<formControlPr xmlns="http://schemas.microsoft.com/office/spreadsheetml/2009/9/main" objectType="CheckBox" fmlaLink="$BT$2" lockText="1" noThreeD="1"/>
</file>

<file path=xl/ctrlProps/ctrlProp28.xml><?xml version="1.0" encoding="utf-8"?>
<formControlPr xmlns="http://schemas.microsoft.com/office/spreadsheetml/2009/9/main" objectType="CheckBox" fmlaLink="$H$28" lockText="1" noThreeD="1"/>
</file>

<file path=xl/ctrlProps/ctrlProp29.xml><?xml version="1.0" encoding="utf-8"?>
<formControlPr xmlns="http://schemas.microsoft.com/office/spreadsheetml/2009/9/main" objectType="CheckBox" fmlaLink="$Z$28" lockText="1" noThreeD="1"/>
</file>

<file path=xl/ctrlProps/ctrlProp3.xml><?xml version="1.0" encoding="utf-8"?>
<formControlPr xmlns="http://schemas.microsoft.com/office/spreadsheetml/2009/9/main" objectType="Drop" dropStyle="combo" dx="16" fmlaLink="$B$20" fmlaRange="$N$5:$N$7" noThreeD="1" sel="1" val="0"/>
</file>

<file path=xl/ctrlProps/ctrlProp30.xml><?xml version="1.0" encoding="utf-8"?>
<formControlPr xmlns="http://schemas.microsoft.com/office/spreadsheetml/2009/9/main" objectType="CheckBox" fmlaLink="$AZ$28" lockText="1" noThreeD="1"/>
</file>

<file path=xl/ctrlProps/ctrlProp31.xml><?xml version="1.0" encoding="utf-8"?>
<formControlPr xmlns="http://schemas.microsoft.com/office/spreadsheetml/2009/9/main" objectType="CheckBox" fmlaLink="$AL$28"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fmlaLink="$BT$3" lockText="1" noThreeD="1"/>
</file>

<file path=xl/ctrlProps/ctrlProp4.xml><?xml version="1.0" encoding="utf-8"?>
<formControlPr xmlns="http://schemas.microsoft.com/office/spreadsheetml/2009/9/main" objectType="Drop" dropStyle="combo" dx="16" fmlaLink="$B$21" fmlaRange="$N$5:$N$7" noThreeD="1" sel="3" val="0"/>
</file>

<file path=xl/ctrlProps/ctrlProp5.xml><?xml version="1.0" encoding="utf-8"?>
<formControlPr xmlns="http://schemas.microsoft.com/office/spreadsheetml/2009/9/main" objectType="Drop" dropStyle="combo" dx="16" fmlaLink="$B$22" fmlaRange="$N$5:$N$7" noThreeD="1" sel="3" val="0"/>
</file>

<file path=xl/ctrlProps/ctrlProp6.xml><?xml version="1.0" encoding="utf-8"?>
<formControlPr xmlns="http://schemas.microsoft.com/office/spreadsheetml/2009/9/main" objectType="CheckBox" checked="Checked" fmlaLink="$X$34" noThreeD="1"/>
</file>

<file path=xl/ctrlProps/ctrlProp7.xml><?xml version="1.0" encoding="utf-8"?>
<formControlPr xmlns="http://schemas.microsoft.com/office/spreadsheetml/2009/9/main" objectType="CheckBox" fmlaLink="producable" noThreeD="1"/>
</file>

<file path=xl/ctrlProps/ctrlProp8.xml><?xml version="1.0" encoding="utf-8"?>
<formControlPr xmlns="http://schemas.microsoft.com/office/spreadsheetml/2009/9/main" objectType="CheckBox" fmlaLink="$BV$3" lockText="1" noThreeD="1"/>
</file>

<file path=xl/ctrlProps/ctrlProp9.xml><?xml version="1.0" encoding="utf-8"?>
<formControlPr xmlns="http://schemas.microsoft.com/office/spreadsheetml/2009/9/main" objectType="CheckBox" fmlaLink="$BU$3"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38</xdr:col>
      <xdr:colOff>554183</xdr:colOff>
      <xdr:row>4</xdr:row>
      <xdr:rowOff>187035</xdr:rowOff>
    </xdr:from>
    <xdr:to>
      <xdr:col>46</xdr:col>
      <xdr:colOff>277092</xdr:colOff>
      <xdr:row>19</xdr:row>
      <xdr:rowOff>55417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60613</xdr:colOff>
      <xdr:row>0</xdr:row>
      <xdr:rowOff>17318</xdr:rowOff>
    </xdr:from>
    <xdr:to>
      <xdr:col>15</xdr:col>
      <xdr:colOff>303069</xdr:colOff>
      <xdr:row>10</xdr:row>
      <xdr:rowOff>190500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9525</xdr:rowOff>
        </xdr:from>
        <xdr:to>
          <xdr:col>1</xdr:col>
          <xdr:colOff>933450</xdr:colOff>
          <xdr:row>17</xdr:row>
          <xdr:rowOff>228600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9525</xdr:rowOff>
        </xdr:from>
        <xdr:to>
          <xdr:col>1</xdr:col>
          <xdr:colOff>933450</xdr:colOff>
          <xdr:row>18</xdr:row>
          <xdr:rowOff>228600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9525</xdr:rowOff>
        </xdr:from>
        <xdr:to>
          <xdr:col>1</xdr:col>
          <xdr:colOff>933450</xdr:colOff>
          <xdr:row>19</xdr:row>
          <xdr:rowOff>238125</xdr:rowOff>
        </xdr:to>
        <xdr:sp macro="" textlink="">
          <xdr:nvSpPr>
            <xdr:cNvPr id="3080" name="Drop Down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19050</xdr:rowOff>
        </xdr:from>
        <xdr:to>
          <xdr:col>1</xdr:col>
          <xdr:colOff>933450</xdr:colOff>
          <xdr:row>20</xdr:row>
          <xdr:rowOff>238125</xdr:rowOff>
        </xdr:to>
        <xdr:sp macro="" textlink="">
          <xdr:nvSpPr>
            <xdr:cNvPr id="3081" name="Drop Down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19050</xdr:rowOff>
        </xdr:from>
        <xdr:to>
          <xdr:col>1</xdr:col>
          <xdr:colOff>933450</xdr:colOff>
          <xdr:row>22</xdr:row>
          <xdr:rowOff>0</xdr:rowOff>
        </xdr:to>
        <xdr:sp macro="" textlink="">
          <xdr:nvSpPr>
            <xdr:cNvPr id="3082" name="Drop Down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597477</xdr:colOff>
      <xdr:row>3</xdr:row>
      <xdr:rowOff>25977</xdr:rowOff>
    </xdr:from>
    <xdr:to>
      <xdr:col>8</xdr:col>
      <xdr:colOff>926522</xdr:colOff>
      <xdr:row>3</xdr:row>
      <xdr:rowOff>207818</xdr:rowOff>
    </xdr:to>
    <xdr:sp macro="" textlink="'ورود اطلاعات'!K22">
      <xdr:nvSpPr>
        <xdr:cNvPr id="3" name="Rectangle 2"/>
        <xdr:cNvSpPr/>
      </xdr:nvSpPr>
      <xdr:spPr>
        <a:xfrm>
          <a:off x="9927266728" y="528204"/>
          <a:ext cx="329045" cy="1818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N</a:t>
          </a:fld>
          <a:endParaRPr lang="en-US" sz="1100">
            <a:solidFill>
              <a:schemeClr val="tx1">
                <a:lumMod val="65000"/>
                <a:lumOff val="35000"/>
              </a:schemeClr>
            </a:solidFill>
          </a:endParaRPr>
        </a:p>
      </xdr:txBody>
    </xdr:sp>
    <xdr:clientData/>
  </xdr:twoCellAnchor>
  <xdr:twoCellAnchor>
    <xdr:from>
      <xdr:col>0</xdr:col>
      <xdr:colOff>34637</xdr:colOff>
      <xdr:row>9</xdr:row>
      <xdr:rowOff>69273</xdr:rowOff>
    </xdr:from>
    <xdr:to>
      <xdr:col>1</xdr:col>
      <xdr:colOff>926523</xdr:colOff>
      <xdr:row>10</xdr:row>
      <xdr:rowOff>173181</xdr:rowOff>
    </xdr:to>
    <xdr:sp macro="" textlink="">
      <xdr:nvSpPr>
        <xdr:cNvPr id="4" name="Rectangle 3"/>
        <xdr:cNvSpPr/>
      </xdr:nvSpPr>
      <xdr:spPr>
        <a:xfrm>
          <a:off x="9932600727" y="1922318"/>
          <a:ext cx="943841" cy="32904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r>
            <a:rPr lang="fa-IR" sz="1100" b="1">
              <a:cs typeface="B Nazanin" panose="00000400000000000000" pitchFamily="2" charset="-78"/>
            </a:rPr>
            <a:t>واحد نیرو</a:t>
          </a:r>
          <a:endParaRPr lang="en-US" sz="1100" b="1">
            <a:cs typeface="B Nazanin" panose="00000400000000000000" pitchFamily="2" charset="-78"/>
          </a:endParaRPr>
        </a:p>
      </xdr:txBody>
    </xdr:sp>
    <xdr:clientData/>
  </xdr:twoCellAnchor>
  <xdr:twoCellAnchor>
    <xdr:from>
      <xdr:col>1</xdr:col>
      <xdr:colOff>952499</xdr:colOff>
      <xdr:row>9</xdr:row>
      <xdr:rowOff>69274</xdr:rowOff>
    </xdr:from>
    <xdr:to>
      <xdr:col>2</xdr:col>
      <xdr:colOff>329044</xdr:colOff>
      <xdr:row>10</xdr:row>
      <xdr:rowOff>173182</xdr:rowOff>
    </xdr:to>
    <xdr:sp macro="" textlink="'ورود اطلاعات'!K22">
      <xdr:nvSpPr>
        <xdr:cNvPr id="11" name="Rectangle 10"/>
        <xdr:cNvSpPr/>
      </xdr:nvSpPr>
      <xdr:spPr>
        <a:xfrm>
          <a:off x="9932245706" y="1922319"/>
          <a:ext cx="329045" cy="32904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N</a:t>
          </a:fld>
          <a:endParaRPr lang="en-US" sz="1100">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72</xdr:row>
      <xdr:rowOff>114300</xdr:rowOff>
    </xdr:from>
    <xdr:to>
      <xdr:col>7</xdr:col>
      <xdr:colOff>38101</xdr:colOff>
      <xdr:row>77</xdr:row>
      <xdr:rowOff>95250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9892449" y="11410950"/>
          <a:ext cx="914401" cy="695325"/>
        </a:xfrm>
        <a:prstGeom prst="rect">
          <a:avLst/>
        </a:prstGeom>
      </xdr:spPr>
    </xdr:pic>
    <xdr:clientData/>
  </xdr:twoCellAnchor>
  <xdr:twoCellAnchor>
    <xdr:from>
      <xdr:col>4</xdr:col>
      <xdr:colOff>38101</xdr:colOff>
      <xdr:row>0</xdr:row>
      <xdr:rowOff>79663</xdr:rowOff>
    </xdr:from>
    <xdr:to>
      <xdr:col>7</xdr:col>
      <xdr:colOff>76200</xdr:colOff>
      <xdr:row>2</xdr:row>
      <xdr:rowOff>157595</xdr:rowOff>
    </xdr:to>
    <xdr:sp macro="" textlink="">
      <xdr:nvSpPr>
        <xdr:cNvPr id="2"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59559075" y="79663"/>
          <a:ext cx="409574" cy="420832"/>
        </a:xfrm>
        <a:prstGeom prst="rect">
          <a:avLst/>
        </a:prstGeom>
        <a:blipFill dpi="0" rotWithShape="0">
          <a:blip xmlns:r="http://schemas.openxmlformats.org/officeDocument/2006/relationships" r:embed="rId2" cstate="print"/>
          <a:srcRect/>
          <a:stretch>
            <a:fillRect/>
          </a:stretch>
        </a:blipFill>
        <a:ln w="9525">
          <a:solidFill>
            <a:srgbClr val="FFFFFF"/>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19</xdr:col>
          <xdr:colOff>85725</xdr:colOff>
          <xdr:row>32</xdr:row>
          <xdr:rowOff>228600</xdr:rowOff>
        </xdr:from>
        <xdr:to>
          <xdr:col>21</xdr:col>
          <xdr:colOff>85725</xdr:colOff>
          <xdr:row>34</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2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59</xdr:row>
          <xdr:rowOff>19050</xdr:rowOff>
        </xdr:from>
        <xdr:to>
          <xdr:col>23</xdr:col>
          <xdr:colOff>47625</xdr:colOff>
          <xdr:row>60</xdr:row>
          <xdr:rowOff>104775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2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28575</xdr:rowOff>
        </xdr:from>
        <xdr:to>
          <xdr:col>10</xdr:col>
          <xdr:colOff>114300</xdr:colOff>
          <xdr:row>10</xdr:row>
          <xdr:rowOff>238125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2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57150</xdr:colOff>
          <xdr:row>10</xdr:row>
          <xdr:rowOff>19050</xdr:rowOff>
        </xdr:from>
        <xdr:to>
          <xdr:col>31</xdr:col>
          <xdr:colOff>28575</xdr:colOff>
          <xdr:row>10</xdr:row>
          <xdr:rowOff>228600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2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12</xdr:row>
          <xdr:rowOff>19050</xdr:rowOff>
        </xdr:from>
        <xdr:to>
          <xdr:col>11</xdr:col>
          <xdr:colOff>76200</xdr:colOff>
          <xdr:row>12</xdr:row>
          <xdr:rowOff>228600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2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12</xdr:row>
          <xdr:rowOff>19050</xdr:rowOff>
        </xdr:from>
        <xdr:to>
          <xdr:col>17</xdr:col>
          <xdr:colOff>76200</xdr:colOff>
          <xdr:row>12</xdr:row>
          <xdr:rowOff>228600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2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12</xdr:row>
          <xdr:rowOff>19050</xdr:rowOff>
        </xdr:from>
        <xdr:to>
          <xdr:col>22</xdr:col>
          <xdr:colOff>85725</xdr:colOff>
          <xdr:row>12</xdr:row>
          <xdr:rowOff>228600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2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47625</xdr:colOff>
          <xdr:row>12</xdr:row>
          <xdr:rowOff>19050</xdr:rowOff>
        </xdr:from>
        <xdr:to>
          <xdr:col>27</xdr:col>
          <xdr:colOff>142875</xdr:colOff>
          <xdr:row>12</xdr:row>
          <xdr:rowOff>228600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2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12</xdr:row>
          <xdr:rowOff>19050</xdr:rowOff>
        </xdr:from>
        <xdr:to>
          <xdr:col>32</xdr:col>
          <xdr:colOff>114300</xdr:colOff>
          <xdr:row>12</xdr:row>
          <xdr:rowOff>228600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2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66675</xdr:colOff>
          <xdr:row>12</xdr:row>
          <xdr:rowOff>19050</xdr:rowOff>
        </xdr:from>
        <xdr:to>
          <xdr:col>37</xdr:col>
          <xdr:colOff>38100</xdr:colOff>
          <xdr:row>12</xdr:row>
          <xdr:rowOff>228600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2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xdr:col>
          <xdr:colOff>142875</xdr:colOff>
          <xdr:row>12</xdr:row>
          <xdr:rowOff>19050</xdr:rowOff>
        </xdr:from>
        <xdr:to>
          <xdr:col>52</xdr:col>
          <xdr:colOff>95250</xdr:colOff>
          <xdr:row>12</xdr:row>
          <xdr:rowOff>228600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2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76200</xdr:colOff>
          <xdr:row>12</xdr:row>
          <xdr:rowOff>19050</xdr:rowOff>
        </xdr:from>
        <xdr:to>
          <xdr:col>41</xdr:col>
          <xdr:colOff>47625</xdr:colOff>
          <xdr:row>12</xdr:row>
          <xdr:rowOff>228600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2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28575</xdr:colOff>
          <xdr:row>12</xdr:row>
          <xdr:rowOff>19050</xdr:rowOff>
        </xdr:from>
        <xdr:to>
          <xdr:col>47</xdr:col>
          <xdr:colOff>76200</xdr:colOff>
          <xdr:row>12</xdr:row>
          <xdr:rowOff>228600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2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85725</xdr:colOff>
          <xdr:row>12</xdr:row>
          <xdr:rowOff>28575</xdr:rowOff>
        </xdr:from>
        <xdr:to>
          <xdr:col>56</xdr:col>
          <xdr:colOff>57150</xdr:colOff>
          <xdr:row>12</xdr:row>
          <xdr:rowOff>228600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2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59</xdr:row>
          <xdr:rowOff>19050</xdr:rowOff>
        </xdr:from>
        <xdr:to>
          <xdr:col>30</xdr:col>
          <xdr:colOff>0</xdr:colOff>
          <xdr:row>60</xdr:row>
          <xdr:rowOff>104775</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2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8</xdr:row>
          <xdr:rowOff>9525</xdr:rowOff>
        </xdr:from>
        <xdr:to>
          <xdr:col>31</xdr:col>
          <xdr:colOff>95250</xdr:colOff>
          <xdr:row>8</xdr:row>
          <xdr:rowOff>219075</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2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114300</xdr:colOff>
          <xdr:row>8</xdr:row>
          <xdr:rowOff>9525</xdr:rowOff>
        </xdr:from>
        <xdr:to>
          <xdr:col>41</xdr:col>
          <xdr:colOff>85725</xdr:colOff>
          <xdr:row>8</xdr:row>
          <xdr:rowOff>219075</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2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47</xdr:col>
      <xdr:colOff>66675</xdr:colOff>
      <xdr:row>17</xdr:row>
      <xdr:rowOff>19050</xdr:rowOff>
    </xdr:from>
    <xdr:to>
      <xdr:col>52</xdr:col>
      <xdr:colOff>85724</xdr:colOff>
      <xdr:row>18</xdr:row>
      <xdr:rowOff>0</xdr:rowOff>
    </xdr:to>
    <xdr:sp macro="" textlink="'ورود اطلاعات'!G14">
      <xdr:nvSpPr>
        <xdr:cNvPr id="3" name="Rectangle 2"/>
        <xdr:cNvSpPr/>
      </xdr:nvSpPr>
      <xdr:spPr>
        <a:xfrm>
          <a:off x="9954006001" y="27146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BEE9A11E-43F3-4797-AB02-2645C9C75884}"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18</xdr:row>
      <xdr:rowOff>0</xdr:rowOff>
    </xdr:from>
    <xdr:to>
      <xdr:col>52</xdr:col>
      <xdr:colOff>85723</xdr:colOff>
      <xdr:row>18</xdr:row>
      <xdr:rowOff>133350</xdr:rowOff>
    </xdr:to>
    <xdr:sp macro="" textlink="'ورود اطلاعات'!G15">
      <xdr:nvSpPr>
        <xdr:cNvPr id="26" name="Rectangle 25"/>
        <xdr:cNvSpPr/>
      </xdr:nvSpPr>
      <xdr:spPr>
        <a:xfrm>
          <a:off x="9954006002" y="28479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163FDFC3-E744-4F94-B15B-C42FF3E00B2A}"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66675</xdr:colOff>
      <xdr:row>20</xdr:row>
      <xdr:rowOff>19050</xdr:rowOff>
    </xdr:from>
    <xdr:to>
      <xdr:col>52</xdr:col>
      <xdr:colOff>85724</xdr:colOff>
      <xdr:row>20</xdr:row>
      <xdr:rowOff>152400</xdr:rowOff>
    </xdr:to>
    <xdr:sp macro="" textlink="'ورود اطلاعات'!K14">
      <xdr:nvSpPr>
        <xdr:cNvPr id="27" name="Rectangle 26"/>
        <xdr:cNvSpPr/>
      </xdr:nvSpPr>
      <xdr:spPr>
        <a:xfrm>
          <a:off x="9954006001" y="31718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9D6087DB-D949-4C32-B5DA-AD7A9E24B171}"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20</xdr:row>
      <xdr:rowOff>152400</xdr:rowOff>
    </xdr:from>
    <xdr:to>
      <xdr:col>52</xdr:col>
      <xdr:colOff>85723</xdr:colOff>
      <xdr:row>21</xdr:row>
      <xdr:rowOff>123825</xdr:rowOff>
    </xdr:to>
    <xdr:sp macro="" textlink="'ورود اطلاعات'!K15">
      <xdr:nvSpPr>
        <xdr:cNvPr id="28" name="Rectangle 27"/>
        <xdr:cNvSpPr/>
      </xdr:nvSpPr>
      <xdr:spPr>
        <a:xfrm>
          <a:off x="9954006002" y="33051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FF4714D1-6136-4F5A-BC8F-EC6FE8917180}"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mc:AlternateContent xmlns:mc="http://schemas.openxmlformats.org/markup-compatibility/2006">
    <mc:Choice xmlns:a14="http://schemas.microsoft.com/office/drawing/2010/main" Requires="a14">
      <xdr:twoCellAnchor editAs="oneCell">
        <xdr:from>
          <xdr:col>13</xdr:col>
          <xdr:colOff>85725</xdr:colOff>
          <xdr:row>14</xdr:row>
          <xdr:rowOff>9525</xdr:rowOff>
        </xdr:from>
        <xdr:to>
          <xdr:col>15</xdr:col>
          <xdr:colOff>57150</xdr:colOff>
          <xdr:row>14</xdr:row>
          <xdr:rowOff>219075</xdr:rowOff>
        </xdr:to>
        <xdr:sp macro="" textlink="">
          <xdr:nvSpPr>
            <xdr:cNvPr id="16410" name="Check Box 26" hidden="1">
              <a:extLst>
                <a:ext uri="{63B3BB69-23CF-44E3-9099-C40C66FF867C}">
                  <a14:compatExt spid="_x0000_s1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14</xdr:row>
          <xdr:rowOff>9525</xdr:rowOff>
        </xdr:from>
        <xdr:to>
          <xdr:col>22</xdr:col>
          <xdr:colOff>47625</xdr:colOff>
          <xdr:row>14</xdr:row>
          <xdr:rowOff>219075</xdr:rowOff>
        </xdr:to>
        <xdr:sp macro="" textlink="">
          <xdr:nvSpPr>
            <xdr:cNvPr id="16411" name="Check Box 27" hidden="1">
              <a:extLst>
                <a:ext uri="{63B3BB69-23CF-44E3-9099-C40C66FF867C}">
                  <a14:compatExt spid="_x0000_s1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14</xdr:row>
          <xdr:rowOff>9525</xdr:rowOff>
        </xdr:from>
        <xdr:to>
          <xdr:col>44</xdr:col>
          <xdr:colOff>47625</xdr:colOff>
          <xdr:row>14</xdr:row>
          <xdr:rowOff>219075</xdr:rowOff>
        </xdr:to>
        <xdr:sp macro="" textlink="">
          <xdr:nvSpPr>
            <xdr:cNvPr id="16412" name="Check Box 28" hidden="1">
              <a:extLst>
                <a:ext uri="{63B3BB69-23CF-44E3-9099-C40C66FF867C}">
                  <a14:compatExt spid="_x0000_s1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95250</xdr:colOff>
          <xdr:row>14</xdr:row>
          <xdr:rowOff>9525</xdr:rowOff>
        </xdr:from>
        <xdr:to>
          <xdr:col>34</xdr:col>
          <xdr:colOff>66675</xdr:colOff>
          <xdr:row>14</xdr:row>
          <xdr:rowOff>219075</xdr:rowOff>
        </xdr:to>
        <xdr:sp macro="" textlink="">
          <xdr:nvSpPr>
            <xdr:cNvPr id="16413" name="Check Box 29" hidden="1">
              <a:extLst>
                <a:ext uri="{63B3BB69-23CF-44E3-9099-C40C66FF867C}">
                  <a14:compatExt spid="_x0000_s1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49</xdr:col>
          <xdr:colOff>9525</xdr:colOff>
          <xdr:row>14</xdr:row>
          <xdr:rowOff>9525</xdr:rowOff>
        </xdr:from>
        <xdr:to>
          <xdr:col>50</xdr:col>
          <xdr:colOff>95250</xdr:colOff>
          <xdr:row>14</xdr:row>
          <xdr:rowOff>219075</xdr:rowOff>
        </xdr:to>
        <xdr:sp macro="" textlink="">
          <xdr:nvSpPr>
            <xdr:cNvPr id="16414" name="Check Box 30" hidden="1">
              <a:extLst>
                <a:ext uri="{63B3BB69-23CF-44E3-9099-C40C66FF867C}">
                  <a14:compatExt spid="_x0000_s1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27</xdr:row>
          <xdr:rowOff>0</xdr:rowOff>
        </xdr:from>
        <xdr:to>
          <xdr:col>5</xdr:col>
          <xdr:colOff>104775</xdr:colOff>
          <xdr:row>28</xdr:row>
          <xdr:rowOff>0</xdr:rowOff>
        </xdr:to>
        <xdr:sp macro="" textlink="">
          <xdr:nvSpPr>
            <xdr:cNvPr id="16415" name="Check Box 31" hidden="1">
              <a:extLst>
                <a:ext uri="{63B3BB69-23CF-44E3-9099-C40C66FF867C}">
                  <a14:compatExt spid="_x0000_s1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27</xdr:row>
          <xdr:rowOff>0</xdr:rowOff>
        </xdr:from>
        <xdr:to>
          <xdr:col>23</xdr:col>
          <xdr:colOff>76200</xdr:colOff>
          <xdr:row>28</xdr:row>
          <xdr:rowOff>0</xdr:rowOff>
        </xdr:to>
        <xdr:sp macro="" textlink="">
          <xdr:nvSpPr>
            <xdr:cNvPr id="16416" name="Check Box 32" hidden="1">
              <a:extLst>
                <a:ext uri="{63B3BB69-23CF-44E3-9099-C40C66FF867C}">
                  <a14:compatExt spid="_x0000_s1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28575</xdr:colOff>
          <xdr:row>27</xdr:row>
          <xdr:rowOff>0</xdr:rowOff>
        </xdr:from>
        <xdr:to>
          <xdr:col>49</xdr:col>
          <xdr:colOff>123825</xdr:colOff>
          <xdr:row>28</xdr:row>
          <xdr:rowOff>0</xdr:rowOff>
        </xdr:to>
        <xdr:sp macro="" textlink="">
          <xdr:nvSpPr>
            <xdr:cNvPr id="16417" name="Check Box 33" hidden="1">
              <a:extLst>
                <a:ext uri="{63B3BB69-23CF-44E3-9099-C40C66FF867C}">
                  <a14:compatExt spid="_x0000_s1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85725</xdr:colOff>
          <xdr:row>27</xdr:row>
          <xdr:rowOff>0</xdr:rowOff>
        </xdr:from>
        <xdr:to>
          <xdr:col>35</xdr:col>
          <xdr:colOff>57150</xdr:colOff>
          <xdr:row>28</xdr:row>
          <xdr:rowOff>0</xdr:rowOff>
        </xdr:to>
        <xdr:sp macro="" textlink="">
          <xdr:nvSpPr>
            <xdr:cNvPr id="16418" name="Check Box 34" hidden="1">
              <a:extLst>
                <a:ext uri="{63B3BB69-23CF-44E3-9099-C40C66FF867C}">
                  <a14:compatExt spid="_x0000_s1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8</xdr:col>
      <xdr:colOff>39728</xdr:colOff>
      <xdr:row>33</xdr:row>
      <xdr:rowOff>50815</xdr:rowOff>
    </xdr:from>
    <xdr:to>
      <xdr:col>8</xdr:col>
      <xdr:colOff>152804</xdr:colOff>
      <xdr:row>33</xdr:row>
      <xdr:rowOff>162415</xdr:rowOff>
    </xdr:to>
    <xdr:sp macro="" textlink="$L$34">
      <xdr:nvSpPr>
        <xdr:cNvPr id="5" name="Rectangle 4"/>
        <xdr:cNvSpPr/>
      </xdr:nvSpPr>
      <xdr:spPr>
        <a:xfrm>
          <a:off x="9948488580" y="5452851"/>
          <a:ext cx="113076" cy="1116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lIns="0" tIns="0" rIns="0" bIns="0" rtlCol="0" anchor="ctr" anchorCtr="1"/>
        <a:lstStyle/>
        <a:p>
          <a:pPr algn="l" rtl="1"/>
          <a:fld id="{ED1781DF-B1E8-448F-86AF-EC43AA53E649}" type="TxLink">
            <a:rPr lang="en-US" sz="1050" b="0" i="0" u="none" strike="noStrike">
              <a:solidFill>
                <a:schemeClr val="tx1"/>
              </a:solidFill>
              <a:latin typeface="Webdings" panose="05030102010509060703" pitchFamily="18" charset="2"/>
              <a:cs typeface="B Nazanin"/>
            </a:rPr>
            <a:pPr algn="l" rtl="1"/>
            <a:t> </a:t>
          </a:fld>
          <a:endParaRPr lang="en-US" sz="1000" b="0">
            <a:solidFill>
              <a:schemeClr val="tx1"/>
            </a:solidFill>
            <a:latin typeface="Webdings" panose="05030102010509060703" pitchFamily="18" charset="2"/>
          </a:endParaRPr>
        </a:p>
      </xdr:txBody>
    </xdr:sp>
    <xdr:clientData/>
  </xdr:twoCellAnchor>
  <mc:AlternateContent xmlns:mc="http://schemas.openxmlformats.org/markup-compatibility/2006">
    <mc:Choice xmlns:a14="http://schemas.microsoft.com/office/drawing/2010/main" Requires="a14">
      <xdr:twoCellAnchor editAs="oneCell">
        <xdr:from>
          <xdr:col>17</xdr:col>
          <xdr:colOff>47625</xdr:colOff>
          <xdr:row>68</xdr:row>
          <xdr:rowOff>19050</xdr:rowOff>
        </xdr:from>
        <xdr:to>
          <xdr:col>19</xdr:col>
          <xdr:colOff>19050</xdr:colOff>
          <xdr:row>68</xdr:row>
          <xdr:rowOff>228600</xdr:rowOff>
        </xdr:to>
        <xdr:sp macro="" textlink="">
          <xdr:nvSpPr>
            <xdr:cNvPr id="16419" name="Check Box 35" hidden="1">
              <a:extLst>
                <a:ext uri="{63B3BB69-23CF-44E3-9099-C40C66FF867C}">
                  <a14:compatExt spid="_x0000_s1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68</xdr:row>
          <xdr:rowOff>19050</xdr:rowOff>
        </xdr:from>
        <xdr:to>
          <xdr:col>23</xdr:col>
          <xdr:colOff>95250</xdr:colOff>
          <xdr:row>68</xdr:row>
          <xdr:rowOff>228600</xdr:rowOff>
        </xdr:to>
        <xdr:sp macro="" textlink="">
          <xdr:nvSpPr>
            <xdr:cNvPr id="16420" name="Check Box 36" hidden="1">
              <a:extLst>
                <a:ext uri="{63B3BB69-23CF-44E3-9099-C40C66FF867C}">
                  <a14:compatExt spid="_x0000_s1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47625</xdr:colOff>
          <xdr:row>10</xdr:row>
          <xdr:rowOff>19050</xdr:rowOff>
        </xdr:from>
        <xdr:to>
          <xdr:col>44</xdr:col>
          <xdr:colOff>19050</xdr:colOff>
          <xdr:row>10</xdr:row>
          <xdr:rowOff>228600</xdr:rowOff>
        </xdr:to>
        <xdr:sp macro="" textlink="">
          <xdr:nvSpPr>
            <xdr:cNvPr id="16421" name="Check Box 37" hidden="1">
              <a:extLst>
                <a:ext uri="{63B3BB69-23CF-44E3-9099-C40C66FF867C}">
                  <a14:compatExt spid="_x0000_s1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143</xdr:col>
          <xdr:colOff>190500</xdr:colOff>
          <xdr:row>1</xdr:row>
          <xdr:rowOff>66675</xdr:rowOff>
        </xdr:from>
        <xdr:to>
          <xdr:col>145</xdr:col>
          <xdr:colOff>47625</xdr:colOff>
          <xdr:row>2</xdr:row>
          <xdr:rowOff>161925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78441</xdr:colOff>
      <xdr:row>0</xdr:row>
      <xdr:rowOff>145676</xdr:rowOff>
    </xdr:from>
    <xdr:to>
      <xdr:col>5</xdr:col>
      <xdr:colOff>146796</xdr:colOff>
      <xdr:row>3</xdr:row>
      <xdr:rowOff>44822</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6424704" y="145676"/>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126</xdr:col>
          <xdr:colOff>190500</xdr:colOff>
          <xdr:row>1</xdr:row>
          <xdr:rowOff>66675</xdr:rowOff>
        </xdr:from>
        <xdr:to>
          <xdr:col>128</xdr:col>
          <xdr:colOff>47625</xdr:colOff>
          <xdr:row>3</xdr:row>
          <xdr:rowOff>9525</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44822</xdr:colOff>
      <xdr:row>0</xdr:row>
      <xdr:rowOff>112058</xdr:rowOff>
    </xdr:from>
    <xdr:to>
      <xdr:col>5</xdr:col>
      <xdr:colOff>292472</xdr:colOff>
      <xdr:row>3</xdr:row>
      <xdr:rowOff>22410</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2569881" y="112058"/>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424295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29102455" y="84859"/>
          <a:ext cx="486922" cy="46066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265044</xdr:colOff>
      <xdr:row>0</xdr:row>
      <xdr:rowOff>76577</xdr:rowOff>
    </xdr:from>
    <xdr:to>
      <xdr:col>3</xdr:col>
      <xdr:colOff>362778</xdr:colOff>
      <xdr:row>1</xdr:row>
      <xdr:rowOff>164900</xdr:rowOff>
    </xdr:to>
    <xdr:sp macro="" textlink="">
      <xdr:nvSpPr>
        <xdr:cNvPr id="2" name="Rectangle 5" descr="arm energysaz">
          <a:extLst>
            <a:ext uri="{FF2B5EF4-FFF2-40B4-BE49-F238E27FC236}">
              <a16:creationId xmlns:a16="http://schemas.microsoft.com/office/drawing/2014/main" id="{00000000-0008-0000-0400-000002000000}"/>
            </a:ext>
          </a:extLst>
        </xdr:cNvPr>
        <xdr:cNvSpPr>
          <a:spLocks noChangeArrowheads="1"/>
        </xdr:cNvSpPr>
      </xdr:nvSpPr>
      <xdr:spPr bwMode="auto">
        <a:xfrm>
          <a:off x="10038490266" y="76577"/>
          <a:ext cx="495299" cy="53558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428625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85952850" y="84859"/>
          <a:ext cx="489520" cy="459798"/>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124239</xdr:colOff>
      <xdr:row>0</xdr:row>
      <xdr:rowOff>107673</xdr:rowOff>
    </xdr:from>
    <xdr:to>
      <xdr:col>4</xdr:col>
      <xdr:colOff>149085</xdr:colOff>
      <xdr:row>1</xdr:row>
      <xdr:rowOff>165275</xdr:rowOff>
    </xdr:to>
    <xdr:sp macro="" textlink="">
      <xdr:nvSpPr>
        <xdr:cNvPr id="2" name="Rectangle 5" descr="arm energysaz">
          <a:extLst>
            <a:ext uri="{FF2B5EF4-FFF2-40B4-BE49-F238E27FC236}">
              <a16:creationId xmlns:a16="http://schemas.microsoft.com/office/drawing/2014/main" id="{00000000-0008-0000-0500-000002000000}"/>
            </a:ext>
          </a:extLst>
        </xdr:cNvPr>
        <xdr:cNvSpPr>
          <a:spLocks noChangeArrowheads="1"/>
        </xdr:cNvSpPr>
      </xdr:nvSpPr>
      <xdr:spPr bwMode="auto">
        <a:xfrm>
          <a:off x="10037966806" y="107673"/>
          <a:ext cx="463824" cy="504863"/>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soud/Desktop/test_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soud/Documents/Zapya/Misc/4_4144820049695224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ayanian/Desktop/981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table"/>
      <sheetName val="Sheet2"/>
      <sheetName val="Sheet4"/>
    </sheetNames>
    <sheetDataSet>
      <sheetData sheetId="0"/>
      <sheetData sheetId="1"/>
      <sheetData sheetId="2"/>
      <sheetData sheetId="3">
        <row r="3">
          <cell r="H3" t="str">
            <v>هفتگی</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s"/>
      <sheetName val="Project Status Spectrum Chart"/>
    </sheetNames>
    <sheetDataSet>
      <sheetData sheetId="0">
        <row r="1">
          <cell r="B1">
            <v>3</v>
          </cell>
        </row>
        <row r="3">
          <cell r="B3" t="str">
            <v>Click here to visit
www.ExcelDashboardTemplates.com</v>
          </cell>
        </row>
        <row r="5">
          <cell r="B5" t="str">
            <v>Learn Excel at 
www.ExcelDashboardTemplates.com</v>
          </cell>
        </row>
      </sheetData>
      <sheetData sheetId="1">
        <row r="1">
          <cell r="C1" t="str">
            <v>Spectrum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HyperLink"/>
      <sheetName val="Fanar pichi_Garm"/>
      <sheetName val="Fanar pichi_Sard"/>
      <sheetName val="Sang zani"/>
      <sheetName val="Set"/>
      <sheetName val="Recovery-FG"/>
      <sheetName val="Recovery-S"/>
      <sheetName val="Sheet3"/>
      <sheetName val="981204"/>
    </sheetNames>
    <sheetDataSet>
      <sheetData sheetId="0" refreshError="1"/>
      <sheetData sheetId="1">
        <row r="2">
          <cell r="C2" t="str">
            <v>فکور مغناطیس</v>
          </cell>
        </row>
        <row r="5">
          <cell r="I5" t="str">
            <v>±</v>
          </cell>
        </row>
      </sheetData>
      <sheetData sheetId="2"/>
      <sheetData sheetId="3"/>
      <sheetData sheetId="4"/>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 Type="http://schemas.openxmlformats.org/officeDocument/2006/relationships/vmlDrawing" Target="../drawings/vmlDrawing3.vml"/><Relationship Id="rId21" Type="http://schemas.openxmlformats.org/officeDocument/2006/relationships/ctrlProp" Target="../ctrlProps/ctrlProp23.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2" Type="http://schemas.openxmlformats.org/officeDocument/2006/relationships/drawing" Target="../drawings/drawing2.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786F44"/>
  </sheetPr>
  <dimension ref="A1:AJ41"/>
  <sheetViews>
    <sheetView rightToLeft="1" tabSelected="1" workbookViewId="0">
      <selection activeCell="H20" sqref="H20:H21"/>
    </sheetView>
  </sheetViews>
  <sheetFormatPr defaultRowHeight="15" x14ac:dyDescent="0.25"/>
  <cols>
    <col min="1" max="1" width="0.5703125" style="294" customWidth="1"/>
    <col min="2" max="2" width="0.5703125" style="133" hidden="1" customWidth="1"/>
    <col min="3" max="3" width="10" style="131" customWidth="1"/>
    <col min="4" max="4" width="25" style="132" customWidth="1"/>
    <col min="5" max="5" width="0.7109375" style="288" customWidth="1"/>
    <col min="6" max="6" width="13" style="133" customWidth="1"/>
    <col min="7" max="7" width="16" style="131" customWidth="1"/>
    <col min="8" max="8" width="6.42578125" style="132" customWidth="1"/>
    <col min="9" max="9" width="0.85546875" style="288" customWidth="1"/>
    <col min="10" max="10" width="12.85546875" style="133" customWidth="1"/>
    <col min="11" max="11" width="16" style="131" customWidth="1"/>
    <col min="12" max="12" width="7.42578125" style="131" customWidth="1"/>
    <col min="13" max="13" width="2.140625" style="274" customWidth="1"/>
    <col min="14" max="16" width="6.42578125" style="274" hidden="1" customWidth="1"/>
    <col min="17" max="20" width="1.5703125" style="274" hidden="1" customWidth="1"/>
    <col min="21" max="21" width="4.7109375" style="275" hidden="1" customWidth="1"/>
    <col min="22" max="22" width="10" style="151" customWidth="1"/>
    <col min="23" max="23" width="9.42578125" style="151" customWidth="1"/>
    <col min="24" max="24" width="10" style="151" customWidth="1"/>
    <col min="25" max="25" width="7.5703125" style="151" customWidth="1"/>
    <col min="26" max="26" width="8.7109375" style="151" customWidth="1"/>
    <col min="27" max="27" width="11.140625" style="151" customWidth="1"/>
    <col min="28" max="28" width="9.85546875" style="151" customWidth="1"/>
    <col min="29" max="29" width="11.28515625" style="151" customWidth="1"/>
    <col min="30" max="30" width="9.5703125" style="151" customWidth="1"/>
    <col min="31" max="36" width="9.140625" style="267"/>
  </cols>
  <sheetData>
    <row r="1" spans="1:36" s="291" customFormat="1" x14ac:dyDescent="0.25">
      <c r="A1" s="294"/>
      <c r="B1" s="288"/>
      <c r="C1" s="306"/>
      <c r="D1" s="306"/>
      <c r="E1" s="288"/>
      <c r="F1" s="306"/>
      <c r="G1" s="306"/>
      <c r="H1" s="306"/>
      <c r="I1" s="288"/>
      <c r="J1" s="306"/>
      <c r="K1" s="306"/>
      <c r="L1" s="306"/>
      <c r="M1" s="289"/>
      <c r="N1" s="289"/>
      <c r="O1" s="289"/>
      <c r="P1" s="289"/>
      <c r="Q1" s="289"/>
      <c r="R1" s="289"/>
      <c r="S1" s="289"/>
      <c r="T1" s="289"/>
      <c r="U1" s="290"/>
      <c r="V1" s="288"/>
      <c r="W1" s="288"/>
      <c r="X1" s="288"/>
      <c r="Y1" s="288"/>
      <c r="Z1" s="288"/>
      <c r="AA1" s="306"/>
      <c r="AB1" s="306"/>
      <c r="AC1" s="306"/>
      <c r="AD1" s="306"/>
    </row>
    <row r="2" spans="1:36" ht="22.5" customHeight="1" x14ac:dyDescent="0.25">
      <c r="A2" s="294" t="s">
        <v>158</v>
      </c>
      <c r="B2" s="277"/>
      <c r="C2" s="514" t="s">
        <v>367</v>
      </c>
      <c r="D2" s="514"/>
      <c r="E2" s="311"/>
      <c r="F2" s="514" t="s">
        <v>253</v>
      </c>
      <c r="G2" s="514"/>
      <c r="H2" s="514"/>
      <c r="I2" s="311"/>
      <c r="J2" s="514" t="s">
        <v>261</v>
      </c>
      <c r="K2" s="514"/>
      <c r="L2" s="514"/>
      <c r="M2" s="316"/>
      <c r="N2" s="287"/>
      <c r="O2" s="285"/>
      <c r="P2" s="285"/>
      <c r="Q2" s="285"/>
      <c r="R2" s="285"/>
      <c r="S2" s="285"/>
      <c r="T2" s="285"/>
      <c r="V2" s="288"/>
      <c r="W2" s="288"/>
      <c r="X2" s="288"/>
      <c r="Y2" s="288"/>
      <c r="Z2" s="302"/>
      <c r="AA2" s="516" t="s">
        <v>369</v>
      </c>
      <c r="AB2" s="516"/>
      <c r="AC2" s="516" t="s">
        <v>370</v>
      </c>
      <c r="AD2" s="516"/>
      <c r="AE2" s="323"/>
      <c r="AF2" s="291"/>
      <c r="AG2" s="291"/>
      <c r="AH2" s="291"/>
      <c r="AI2" s="291"/>
      <c r="AJ2" s="291"/>
    </row>
    <row r="3" spans="1:36" ht="19.5" customHeight="1" x14ac:dyDescent="0.25">
      <c r="A3" s="294" t="s">
        <v>157</v>
      </c>
      <c r="B3" s="135"/>
      <c r="C3" s="271" t="s">
        <v>246</v>
      </c>
      <c r="D3" s="271" t="s">
        <v>569</v>
      </c>
      <c r="E3" s="311"/>
      <c r="F3" s="326" t="s">
        <v>106</v>
      </c>
      <c r="G3" s="326" t="s">
        <v>97</v>
      </c>
      <c r="H3" s="326" t="s">
        <v>254</v>
      </c>
      <c r="I3" s="311"/>
      <c r="J3" s="326" t="s">
        <v>106</v>
      </c>
      <c r="K3" s="326" t="s">
        <v>97</v>
      </c>
      <c r="L3" s="326" t="s">
        <v>254</v>
      </c>
      <c r="M3" s="316"/>
      <c r="N3" s="276"/>
      <c r="V3" s="288"/>
      <c r="W3" s="306"/>
      <c r="X3" s="306"/>
      <c r="Y3" s="306"/>
      <c r="Z3" s="324"/>
      <c r="AA3" s="326" t="s">
        <v>291</v>
      </c>
      <c r="AB3" s="326" t="s">
        <v>295</v>
      </c>
      <c r="AC3" s="326" t="s">
        <v>291</v>
      </c>
      <c r="AD3" s="326" t="s">
        <v>295</v>
      </c>
      <c r="AE3" s="323"/>
      <c r="AF3" s="291"/>
      <c r="AG3" s="291"/>
      <c r="AH3" s="291"/>
      <c r="AI3" s="291"/>
      <c r="AJ3" s="291"/>
    </row>
    <row r="4" spans="1:36" ht="19.5" customHeight="1" x14ac:dyDescent="0.25">
      <c r="A4" s="294" t="s">
        <v>258</v>
      </c>
      <c r="B4" s="135"/>
      <c r="C4" s="271" t="s">
        <v>247</v>
      </c>
      <c r="D4" s="271" t="s">
        <v>570</v>
      </c>
      <c r="E4" s="311"/>
      <c r="F4" s="271" t="s">
        <v>155</v>
      </c>
      <c r="G4" s="271" t="str">
        <f>springType</f>
        <v>پیچشی</v>
      </c>
      <c r="H4" s="308"/>
      <c r="I4" s="302"/>
      <c r="J4" s="271" t="s">
        <v>155</v>
      </c>
      <c r="K4" s="271" t="s">
        <v>258</v>
      </c>
      <c r="L4" s="308"/>
      <c r="M4" s="297" t="str">
        <f>IF(OR(K4="",G4=""),"",IF(K4=G4,"a","r"))</f>
        <v>a</v>
      </c>
      <c r="N4" s="276"/>
      <c r="V4" s="282"/>
      <c r="W4" s="326" t="s">
        <v>322</v>
      </c>
      <c r="X4" s="326" t="s">
        <v>321</v>
      </c>
      <c r="Y4" s="326" t="s">
        <v>323</v>
      </c>
      <c r="Z4" s="326" t="s">
        <v>324</v>
      </c>
      <c r="AA4" s="326" t="s">
        <v>326</v>
      </c>
      <c r="AB4" s="326" t="s">
        <v>326</v>
      </c>
      <c r="AC4" s="326" t="s">
        <v>326</v>
      </c>
      <c r="AD4" s="326" t="s">
        <v>326</v>
      </c>
      <c r="AE4" s="323"/>
      <c r="AF4" s="291"/>
      <c r="AG4" s="291"/>
      <c r="AH4" s="291"/>
      <c r="AI4" s="291"/>
      <c r="AJ4" s="291"/>
    </row>
    <row r="5" spans="1:36" ht="19.5" customHeight="1" x14ac:dyDescent="0.25">
      <c r="B5" s="135"/>
      <c r="C5" s="271" t="s">
        <v>249</v>
      </c>
      <c r="D5" s="312" t="s">
        <v>572</v>
      </c>
      <c r="E5" s="311"/>
      <c r="F5" s="271" t="s">
        <v>115</v>
      </c>
      <c r="G5" s="271" t="str">
        <f>material</f>
        <v>54SiCr6</v>
      </c>
      <c r="H5" s="307"/>
      <c r="I5" s="302"/>
      <c r="J5" s="271" t="s">
        <v>115</v>
      </c>
      <c r="K5" s="271" t="str">
        <f>IF(K6&lt;13.5,"54SiCr6","50CrV4")</f>
        <v>54SiCr6</v>
      </c>
      <c r="L5" s="307"/>
      <c r="M5" s="297" t="str">
        <f t="shared" ref="M5:M25" si="0">IF(OR(K5="",G5=""),"",IF(K5=G5,"a","r"))</f>
        <v>a</v>
      </c>
      <c r="N5" s="276"/>
      <c r="V5" s="327" t="s">
        <v>297</v>
      </c>
      <c r="W5" s="213">
        <f>ROUND('نمونه اولیه'!AJ18,2)</f>
        <v>24.92</v>
      </c>
      <c r="X5" s="328">
        <f>ROUND('نمونه اولیه'!AJ17,2)</f>
        <v>8.57</v>
      </c>
      <c r="Y5" s="271"/>
      <c r="Z5" s="325"/>
      <c r="AA5" s="271">
        <f>ROUND(((IST!C6+10)*(IST!J7+25))/2000,2)</f>
        <v>6.98</v>
      </c>
      <c r="AB5" s="213">
        <f>AA5*1.2</f>
        <v>8.3759999999999994</v>
      </c>
      <c r="AC5" s="325">
        <f>AA5</f>
        <v>6.98</v>
      </c>
      <c r="AD5" s="328">
        <f>AB5</f>
        <v>8.3759999999999994</v>
      </c>
      <c r="AE5" s="323"/>
      <c r="AF5" s="291"/>
      <c r="AG5" s="291"/>
      <c r="AH5" s="291"/>
      <c r="AI5" s="291"/>
      <c r="AJ5" s="291"/>
    </row>
    <row r="6" spans="1:36" ht="19.5" customHeight="1" x14ac:dyDescent="0.25">
      <c r="B6" s="135"/>
      <c r="C6" s="271" t="s">
        <v>251</v>
      </c>
      <c r="D6" s="313">
        <v>981225</v>
      </c>
      <c r="E6" s="311"/>
      <c r="F6" s="271" t="s">
        <v>36</v>
      </c>
      <c r="G6" s="304">
        <f>wireD</f>
        <v>7</v>
      </c>
      <c r="H6" s="271"/>
      <c r="I6" s="311"/>
      <c r="J6" s="271" t="s">
        <v>36</v>
      </c>
      <c r="K6" s="271">
        <v>7</v>
      </c>
      <c r="L6" s="271">
        <f>IF(AND(8&lt;=K6,K6&lt;=10),0.05,IF(AND(10.01&lt;=K6,K6&lt;=20),0.08,IF(AND(20.01&lt;=K6,K6&lt;=30),0.1,IF(AND(30.01&lt;=K6,K6&lt;=40),0.12,0.15))))</f>
        <v>0.15</v>
      </c>
      <c r="M6" s="317" t="str">
        <f t="shared" si="0"/>
        <v>a</v>
      </c>
      <c r="N6" s="276"/>
      <c r="V6" s="327" t="s">
        <v>298</v>
      </c>
      <c r="W6" s="271">
        <f>IF('نمونه اولیه'!AE11&lt;13.05,IF('نمونه اولیه'!AJ12&lt;=8,'نمونه اولیه'!AW9,IF('نمونه اولیه'!AJ12&lt;=14,'نمونه اولیه'!AW10,'نمونه اولیه'!AW11)),IF('نمونه اولیه'!AJ12&lt;=8,'نمونه اولیه'!AP9,'نمونه اولیه'!AP10))</f>
        <v>3.3</v>
      </c>
      <c r="X6" s="325">
        <f>W6</f>
        <v>3.3</v>
      </c>
      <c r="Y6" s="271">
        <f>0.015*K7</f>
        <v>2.9099999999999997</v>
      </c>
      <c r="Z6" s="325">
        <f>0.015*K7</f>
        <v>2.9099999999999997</v>
      </c>
      <c r="AA6" s="268" t="str">
        <f>CONCATENATE(ROUND(((1000+((IST!J7+30)*(IST!J12+8)))/10000),2)," &amp; ",ROUND(IST!J12*0.015,2))</f>
        <v>1.21 &amp; 2.81</v>
      </c>
      <c r="AB6" s="271">
        <f>ROUND(((1.5*IST!J12)+(0.166*IST!C6))/100,2)</f>
        <v>3.24</v>
      </c>
      <c r="AC6" s="325" t="str">
        <f>CONCATENATE(ROUND(((1000+((IST!J7+30)*(IST!J12+8)))/10000)*1.5,2)," &amp; ",ROUND(IST!J12*0.015,2))</f>
        <v>1.81 &amp; 2.81</v>
      </c>
      <c r="AD6" s="325">
        <f>ROUND(((1.5*IST!J12)+(0.166*IST!C6))/100*1.5,2)</f>
        <v>4.8499999999999996</v>
      </c>
      <c r="AE6" s="323"/>
      <c r="AF6" s="291"/>
      <c r="AG6" s="291"/>
      <c r="AH6" s="291"/>
      <c r="AI6" s="291"/>
      <c r="AJ6" s="291"/>
    </row>
    <row r="7" spans="1:36" ht="19.5" customHeight="1" x14ac:dyDescent="0.25">
      <c r="A7" s="294" t="s">
        <v>259</v>
      </c>
      <c r="B7" s="135"/>
      <c r="C7" s="271" t="s">
        <v>250</v>
      </c>
      <c r="D7" s="271" t="s">
        <v>571</v>
      </c>
      <c r="E7" s="311"/>
      <c r="F7" s="271" t="s">
        <v>38</v>
      </c>
      <c r="G7" s="281">
        <f>OD</f>
        <v>194</v>
      </c>
      <c r="H7" s="474"/>
      <c r="I7" s="311"/>
      <c r="J7" s="271" t="s">
        <v>38</v>
      </c>
      <c r="K7" s="271">
        <v>194</v>
      </c>
      <c r="L7" s="213">
        <f>INDEX($W$5:$AD$12,2,MATCH($D$10,$W$4:$AD$4,0))</f>
        <v>3.3</v>
      </c>
      <c r="M7" s="317" t="str">
        <f t="shared" si="0"/>
        <v>a</v>
      </c>
      <c r="N7" s="276"/>
      <c r="V7" s="327" t="s">
        <v>2</v>
      </c>
      <c r="W7" s="271"/>
      <c r="X7" s="328">
        <f>ROUND(0.012*K9,2)</f>
        <v>7.0000000000000007E-2</v>
      </c>
      <c r="Y7" s="271"/>
      <c r="Z7" s="325"/>
      <c r="AA7" s="271"/>
      <c r="AB7" s="271"/>
      <c r="AC7" s="325"/>
      <c r="AD7" s="325"/>
      <c r="AE7" s="323"/>
      <c r="AF7" s="291"/>
      <c r="AG7" s="291"/>
      <c r="AH7" s="291"/>
      <c r="AI7" s="291"/>
      <c r="AJ7" s="291"/>
    </row>
    <row r="8" spans="1:36" ht="19.5" customHeight="1" x14ac:dyDescent="0.25">
      <c r="A8" s="294" t="s">
        <v>45</v>
      </c>
      <c r="B8" s="135"/>
      <c r="C8" s="271" t="s">
        <v>248</v>
      </c>
      <c r="D8" s="271">
        <v>1200</v>
      </c>
      <c r="E8" s="311"/>
      <c r="F8" s="271" t="s">
        <v>39</v>
      </c>
      <c r="G8" s="305">
        <f>G7-G6-G6</f>
        <v>180</v>
      </c>
      <c r="H8" s="474"/>
      <c r="I8" s="311"/>
      <c r="J8" s="271" t="s">
        <v>116</v>
      </c>
      <c r="K8" s="271">
        <v>131</v>
      </c>
      <c r="L8" s="213">
        <f>L7</f>
        <v>3.3</v>
      </c>
      <c r="M8" s="317" t="str">
        <f t="shared" si="0"/>
        <v>r</v>
      </c>
      <c r="N8" s="276"/>
      <c r="V8" s="327" t="s">
        <v>299</v>
      </c>
      <c r="W8" s="271">
        <f>0.05*K11</f>
        <v>13</v>
      </c>
      <c r="X8" s="325">
        <f>0.03*K11</f>
        <v>7.8</v>
      </c>
      <c r="Y8" s="271">
        <f>IF(K11&lt;=150,0.02*K11,0.01*K11)</f>
        <v>2.6</v>
      </c>
      <c r="Z8" s="325">
        <f>IF(K11&lt;=150,0.02*K11,0.015*K11)</f>
        <v>3.9</v>
      </c>
      <c r="AA8" s="271">
        <f>IF(K6&lt;=15,K11*0.03,K11*0.015)</f>
        <v>7.8</v>
      </c>
      <c r="AB8" s="271"/>
      <c r="AC8" s="325">
        <f>IF(K6&lt;=15,K11*0.05,K11*0.03)</f>
        <v>13</v>
      </c>
      <c r="AD8" s="325"/>
      <c r="AE8" s="323"/>
      <c r="AF8" s="291"/>
      <c r="AG8" s="291"/>
      <c r="AH8" s="291"/>
      <c r="AI8" s="291"/>
      <c r="AJ8" s="291"/>
    </row>
    <row r="9" spans="1:36" ht="19.5" customHeight="1" x14ac:dyDescent="0.25">
      <c r="A9" s="294" t="s">
        <v>46</v>
      </c>
      <c r="B9" s="135"/>
      <c r="C9" s="271" t="s">
        <v>252</v>
      </c>
      <c r="D9" s="313">
        <v>981225</v>
      </c>
      <c r="E9" s="311"/>
      <c r="F9" s="271" t="s">
        <v>272</v>
      </c>
      <c r="G9" s="283">
        <f>Nt</f>
        <v>5.7</v>
      </c>
      <c r="H9" s="474"/>
      <c r="I9" s="311"/>
      <c r="J9" s="271" t="s">
        <v>272</v>
      </c>
      <c r="K9" s="271">
        <v>5.7</v>
      </c>
      <c r="L9" s="213">
        <f>INDEX($W$5:$AD$12,3,MATCH($D$10,$W$4:$AD$4,0))</f>
        <v>0</v>
      </c>
      <c r="M9" s="317" t="str">
        <f t="shared" si="0"/>
        <v>a</v>
      </c>
      <c r="N9" s="276"/>
      <c r="V9" s="327" t="s">
        <v>300</v>
      </c>
      <c r="W9" s="271">
        <f>0.03*K7</f>
        <v>5.8199999999999994</v>
      </c>
      <c r="X9" s="325">
        <f>0.025*K7</f>
        <v>4.8500000000000005</v>
      </c>
      <c r="Y9" s="271">
        <f>0.03*K7</f>
        <v>5.8199999999999994</v>
      </c>
      <c r="Z9" s="325"/>
      <c r="AA9" s="271">
        <f>IF(K6&lt;=15,K7*0.05,K7*0.025)</f>
        <v>9.7000000000000011</v>
      </c>
      <c r="AB9" s="271"/>
      <c r="AC9" s="325">
        <f>IF(K6&lt;=15,K7*0.1,K7*0.05)</f>
        <v>19.400000000000002</v>
      </c>
      <c r="AD9" s="325"/>
      <c r="AE9" s="323"/>
      <c r="AF9" s="291"/>
      <c r="AG9" s="291"/>
      <c r="AH9" s="291"/>
      <c r="AI9" s="291"/>
      <c r="AJ9" s="291"/>
    </row>
    <row r="10" spans="1:36" ht="17.25" customHeight="1" x14ac:dyDescent="0.25">
      <c r="A10" s="294" t="s">
        <v>47</v>
      </c>
      <c r="B10" s="135"/>
      <c r="C10" s="271" t="s">
        <v>320</v>
      </c>
      <c r="D10" s="271" t="s">
        <v>322</v>
      </c>
      <c r="E10" s="311"/>
      <c r="F10" s="271" t="s">
        <v>273</v>
      </c>
      <c r="G10" s="271">
        <f>Na</f>
        <v>4.2</v>
      </c>
      <c r="H10" s="310"/>
      <c r="I10" s="302"/>
      <c r="J10" s="271" t="s">
        <v>273</v>
      </c>
      <c r="K10" s="215">
        <f>K9-1.5</f>
        <v>4.2</v>
      </c>
      <c r="L10" s="319"/>
      <c r="M10" s="297" t="str">
        <f t="shared" si="0"/>
        <v>a</v>
      </c>
      <c r="N10" s="276"/>
      <c r="V10" s="327" t="s">
        <v>6</v>
      </c>
      <c r="W10" s="271"/>
      <c r="X10" s="328">
        <f>((2/K10)+1)*0.045*K13</f>
        <v>5.771023409695341E-2</v>
      </c>
      <c r="Y10" s="271"/>
      <c r="Z10" s="328">
        <f>0.05*5/K10*K13</f>
        <v>5.1711679298345338E-2</v>
      </c>
      <c r="AA10" s="271">
        <f>ROUND(((0.224*K9)*(K9+2.5))/(K9-2.9)*K13/100*1.2,2)</f>
        <v>0.04</v>
      </c>
      <c r="AB10" s="271"/>
      <c r="AC10" s="325">
        <f>ROUND(((0.224*K9)*(K9+2.5))/(K9-2.9)*K13/100*1.8,2)</f>
        <v>0.06</v>
      </c>
      <c r="AD10" s="325"/>
      <c r="AE10" s="323"/>
      <c r="AF10" s="291"/>
      <c r="AG10" s="291"/>
      <c r="AH10" s="291"/>
      <c r="AI10" s="291"/>
      <c r="AJ10" s="291"/>
    </row>
    <row r="11" spans="1:36" ht="17.25" customHeight="1" x14ac:dyDescent="0.25">
      <c r="A11" s="294" t="s">
        <v>159</v>
      </c>
      <c r="B11" s="135"/>
      <c r="C11" s="271" t="s">
        <v>325</v>
      </c>
      <c r="D11" s="271"/>
      <c r="E11" s="311"/>
      <c r="F11" s="271" t="s">
        <v>37</v>
      </c>
      <c r="G11" s="279">
        <f>L0</f>
        <v>260</v>
      </c>
      <c r="H11" s="474"/>
      <c r="I11" s="311"/>
      <c r="J11" s="271" t="s">
        <v>37</v>
      </c>
      <c r="K11" s="299">
        <v>260</v>
      </c>
      <c r="L11" s="213">
        <f>INDEX($W$5:$AD$12,1,MATCH($D$10,$W$4:$AD$4,0))</f>
        <v>24.92</v>
      </c>
      <c r="M11" s="317" t="str">
        <f t="shared" si="0"/>
        <v>a</v>
      </c>
      <c r="N11" s="276"/>
      <c r="V11" s="327" t="s">
        <v>319</v>
      </c>
      <c r="W11" s="271"/>
      <c r="X11" s="325"/>
      <c r="Y11" s="271"/>
      <c r="Z11" s="325"/>
      <c r="AA11" s="271" t="str">
        <f>CONCATENATE(ROUND(K6*0.28,2)," &amp; ",ROUND(K6*0.06,2))</f>
        <v>1.96 &amp; 0.42</v>
      </c>
      <c r="AB11" s="271"/>
      <c r="AC11" s="325" t="str">
        <f>CONCATENATE(ROUND(K6*0.45,2)," &amp; ",ROUND(K6*0.03,2))</f>
        <v>3.15 &amp; 0.21</v>
      </c>
      <c r="AD11" s="325"/>
      <c r="AE11" s="323"/>
      <c r="AF11" s="291"/>
      <c r="AG11" s="291"/>
      <c r="AH11" s="291"/>
      <c r="AI11" s="291"/>
      <c r="AJ11" s="291"/>
    </row>
    <row r="12" spans="1:36" ht="17.25" customHeight="1" x14ac:dyDescent="0.25">
      <c r="A12" s="294" t="s">
        <v>260</v>
      </c>
      <c r="B12" s="135"/>
      <c r="C12" s="271" t="s">
        <v>389</v>
      </c>
      <c r="D12" s="271" t="s">
        <v>389</v>
      </c>
      <c r="E12" s="311"/>
      <c r="F12" s="271" t="s">
        <v>52</v>
      </c>
      <c r="G12" s="216" t="str">
        <f>coilingDirection</f>
        <v>L.H</v>
      </c>
      <c r="H12" s="300"/>
      <c r="I12" s="302"/>
      <c r="J12" s="271" t="s">
        <v>52</v>
      </c>
      <c r="K12" s="216" t="s">
        <v>267</v>
      </c>
      <c r="L12" s="301"/>
      <c r="M12" s="297" t="str">
        <f t="shared" si="0"/>
        <v>a</v>
      </c>
      <c r="N12" s="276"/>
      <c r="V12" s="327" t="s">
        <v>368</v>
      </c>
      <c r="W12" s="271"/>
      <c r="X12" s="329">
        <v>308</v>
      </c>
      <c r="Y12" s="271"/>
      <c r="Z12" s="325"/>
      <c r="AA12" s="271">
        <f>0.025*K11</f>
        <v>6.5</v>
      </c>
      <c r="AB12" s="271"/>
      <c r="AC12" s="325"/>
      <c r="AD12" s="325"/>
      <c r="AE12" s="323"/>
      <c r="AF12" s="291"/>
      <c r="AG12" s="291"/>
      <c r="AH12" s="291"/>
      <c r="AI12" s="291"/>
      <c r="AJ12" s="291"/>
    </row>
    <row r="13" spans="1:36" ht="17.25" customHeight="1" x14ac:dyDescent="0.25">
      <c r="A13" s="294" t="s">
        <v>349</v>
      </c>
      <c r="B13" s="135"/>
      <c r="C13" s="314"/>
      <c r="D13" s="314"/>
      <c r="E13" s="302"/>
      <c r="F13" s="271" t="s">
        <v>71</v>
      </c>
      <c r="G13" s="272">
        <f>springRate</f>
        <v>0.86875621221220178</v>
      </c>
      <c r="H13" s="474"/>
      <c r="I13" s="311"/>
      <c r="J13" s="271" t="s">
        <v>71</v>
      </c>
      <c r="K13" s="318">
        <f>IF(K11="","",IST!C8)</f>
        <v>0.86875621221220178</v>
      </c>
      <c r="L13" s="213">
        <f>INDEX($W$5:$AD$12,6,MATCH($D$10,$W$4:$AD$4,0))</f>
        <v>0</v>
      </c>
      <c r="M13" s="317" t="str">
        <f t="shared" si="0"/>
        <v>a</v>
      </c>
      <c r="N13" s="276"/>
      <c r="V13" s="327" t="s">
        <v>308</v>
      </c>
      <c r="W13" s="271"/>
      <c r="X13" s="325"/>
      <c r="Y13" s="271"/>
      <c r="Z13" s="325" t="s">
        <v>307</v>
      </c>
      <c r="AA13" s="271"/>
      <c r="AB13" s="271"/>
      <c r="AC13" s="325"/>
      <c r="AD13" s="325"/>
      <c r="AE13" s="323"/>
      <c r="AF13" s="291"/>
      <c r="AG13" s="291"/>
      <c r="AH13" s="291"/>
      <c r="AI13" s="291"/>
      <c r="AJ13" s="291"/>
    </row>
    <row r="14" spans="1:36" ht="17.25" customHeight="1" x14ac:dyDescent="0.25">
      <c r="B14" s="135"/>
      <c r="C14" s="514" t="s">
        <v>574</v>
      </c>
      <c r="D14" s="514"/>
      <c r="E14" s="311"/>
      <c r="F14" s="271" t="s">
        <v>126</v>
      </c>
      <c r="G14" s="279" t="str">
        <f>firstCoil</f>
        <v>بسته و سنگ خورده</v>
      </c>
      <c r="H14" s="321"/>
      <c r="I14" s="311"/>
      <c r="J14" s="271" t="s">
        <v>126</v>
      </c>
      <c r="K14" s="216" t="s">
        <v>45</v>
      </c>
      <c r="L14" s="321"/>
      <c r="M14" s="297" t="str">
        <f t="shared" si="0"/>
        <v>a</v>
      </c>
      <c r="N14" s="276"/>
      <c r="V14" s="295"/>
      <c r="W14" s="309"/>
      <c r="X14" s="309"/>
      <c r="Y14" s="309"/>
      <c r="Z14" s="309"/>
      <c r="AA14" s="309"/>
      <c r="AB14" s="309"/>
      <c r="AC14" s="309"/>
      <c r="AD14" s="309"/>
      <c r="AE14" s="291"/>
      <c r="AF14" s="291"/>
      <c r="AG14" s="291"/>
      <c r="AH14" s="291"/>
      <c r="AI14" s="291"/>
      <c r="AJ14" s="291"/>
    </row>
    <row r="15" spans="1:36" ht="17.25" customHeight="1" x14ac:dyDescent="0.25">
      <c r="A15" s="294" t="s">
        <v>266</v>
      </c>
      <c r="B15" s="135"/>
      <c r="C15" s="271" t="s">
        <v>249</v>
      </c>
      <c r="D15" s="334"/>
      <c r="E15" s="311"/>
      <c r="F15" s="271" t="s">
        <v>127</v>
      </c>
      <c r="G15" s="279" t="str">
        <f>lastCoil</f>
        <v>بسته و سنگ خورده</v>
      </c>
      <c r="H15" s="322"/>
      <c r="I15" s="311"/>
      <c r="J15" s="271" t="s">
        <v>127</v>
      </c>
      <c r="K15" s="216" t="s">
        <v>45</v>
      </c>
      <c r="L15" s="320"/>
      <c r="M15" s="317" t="str">
        <f t="shared" si="0"/>
        <v>a</v>
      </c>
      <c r="N15" s="276"/>
      <c r="V15" s="302"/>
      <c r="W15" s="519"/>
      <c r="X15" s="519"/>
      <c r="Y15" s="519"/>
      <c r="Z15" s="331"/>
      <c r="AA15" s="331"/>
      <c r="AB15" s="331"/>
      <c r="AC15" s="331"/>
      <c r="AD15" s="331"/>
      <c r="AE15" s="323"/>
      <c r="AF15" s="291"/>
      <c r="AG15" s="291"/>
      <c r="AH15" s="291"/>
      <c r="AI15" s="291"/>
      <c r="AJ15" s="291"/>
    </row>
    <row r="16" spans="1:36" ht="17.25" customHeight="1" x14ac:dyDescent="0.25">
      <c r="A16" s="294" t="s">
        <v>267</v>
      </c>
      <c r="B16" s="135"/>
      <c r="C16" s="332" t="s">
        <v>372</v>
      </c>
      <c r="D16" s="273"/>
      <c r="E16" s="311"/>
      <c r="F16" s="271" t="s">
        <v>53</v>
      </c>
      <c r="G16" s="304">
        <f>IF(K16="","",K16)</f>
        <v>8800</v>
      </c>
      <c r="H16" s="515"/>
      <c r="I16" s="311"/>
      <c r="J16" s="271" t="s">
        <v>53</v>
      </c>
      <c r="K16" s="279">
        <v>8800</v>
      </c>
      <c r="L16" s="515"/>
      <c r="M16" s="317" t="str">
        <f t="shared" si="0"/>
        <v>a</v>
      </c>
      <c r="N16" s="276"/>
      <c r="V16" s="288"/>
      <c r="W16" s="330"/>
      <c r="X16" s="517"/>
      <c r="Y16" s="518"/>
      <c r="Z16" s="330"/>
      <c r="AA16" s="330"/>
      <c r="AB16" s="330"/>
      <c r="AC16" s="330"/>
      <c r="AD16" s="330"/>
      <c r="AE16" s="291"/>
      <c r="AF16" s="291"/>
      <c r="AG16" s="291"/>
      <c r="AH16" s="291"/>
      <c r="AI16" s="291"/>
      <c r="AJ16" s="291"/>
    </row>
    <row r="17" spans="1:36" ht="17.25" customHeight="1" x14ac:dyDescent="0.25">
      <c r="B17" s="135"/>
      <c r="C17" s="288"/>
      <c r="D17" s="335"/>
      <c r="E17" s="311"/>
      <c r="F17" s="271" t="s">
        <v>255</v>
      </c>
      <c r="G17" s="304">
        <f t="shared" ref="G17:G22" si="1">IF(K17="","",K17)</f>
        <v>242.5</v>
      </c>
      <c r="H17" s="515"/>
      <c r="I17" s="311"/>
      <c r="J17" s="271" t="s">
        <v>255</v>
      </c>
      <c r="K17" s="318">
        <v>242.5</v>
      </c>
      <c r="L17" s="515"/>
      <c r="M17" s="317" t="str">
        <f t="shared" si="0"/>
        <v>a</v>
      </c>
      <c r="N17" s="276"/>
      <c r="V17" s="288"/>
      <c r="W17" s="293"/>
      <c r="X17" s="293"/>
      <c r="Y17" s="293"/>
      <c r="Z17" s="293"/>
      <c r="AA17" s="293"/>
      <c r="AB17" s="293"/>
      <c r="AC17" s="293"/>
      <c r="AD17" s="293"/>
      <c r="AE17" s="291"/>
      <c r="AF17" s="291"/>
      <c r="AG17" s="291"/>
      <c r="AH17" s="291"/>
      <c r="AI17" s="291"/>
      <c r="AJ17" s="291"/>
    </row>
    <row r="18" spans="1:36" ht="17.25" customHeight="1" x14ac:dyDescent="0.25">
      <c r="B18" s="135"/>
      <c r="C18" s="288"/>
      <c r="D18" s="335"/>
      <c r="E18" s="311"/>
      <c r="F18" s="271" t="s">
        <v>55</v>
      </c>
      <c r="G18" s="304" t="str">
        <f t="shared" si="1"/>
        <v/>
      </c>
      <c r="H18" s="515"/>
      <c r="I18" s="311"/>
      <c r="J18" s="271" t="s">
        <v>55</v>
      </c>
      <c r="K18" s="216"/>
      <c r="L18" s="515"/>
      <c r="M18" s="317" t="str">
        <f t="shared" si="0"/>
        <v/>
      </c>
      <c r="N18" s="276"/>
      <c r="V18" s="288"/>
      <c r="W18" s="293"/>
      <c r="X18" s="293"/>
      <c r="Y18" s="293"/>
      <c r="Z18" s="293"/>
      <c r="AA18" s="293"/>
      <c r="AB18" s="293"/>
      <c r="AC18" s="293"/>
      <c r="AD18" s="293"/>
      <c r="AE18" s="291"/>
      <c r="AF18" s="291"/>
      <c r="AG18" s="291"/>
      <c r="AH18" s="291"/>
      <c r="AI18" s="291"/>
      <c r="AJ18" s="291"/>
    </row>
    <row r="19" spans="1:36" ht="15.75" x14ac:dyDescent="0.25">
      <c r="A19" s="294" t="s">
        <v>3</v>
      </c>
      <c r="B19" s="135"/>
      <c r="C19" s="288"/>
      <c r="D19" s="335"/>
      <c r="E19" s="311"/>
      <c r="F19" s="271" t="s">
        <v>256</v>
      </c>
      <c r="G19" s="304" t="str">
        <f t="shared" si="1"/>
        <v/>
      </c>
      <c r="H19" s="515"/>
      <c r="I19" s="311"/>
      <c r="J19" s="271" t="s">
        <v>256</v>
      </c>
      <c r="K19" s="216"/>
      <c r="L19" s="515"/>
      <c r="M19" s="317" t="str">
        <f t="shared" si="0"/>
        <v/>
      </c>
      <c r="N19" s="276"/>
      <c r="V19" s="288"/>
      <c r="W19" s="293"/>
      <c r="X19" s="293"/>
      <c r="Y19" s="293"/>
      <c r="Z19" s="293"/>
      <c r="AA19" s="293"/>
      <c r="AB19" s="293"/>
      <c r="AC19" s="293"/>
      <c r="AD19" s="293"/>
      <c r="AE19" s="291"/>
      <c r="AF19" s="291"/>
      <c r="AG19" s="291"/>
      <c r="AH19" s="291"/>
      <c r="AI19" s="291"/>
      <c r="AJ19" s="291"/>
    </row>
    <row r="20" spans="1:36" ht="15.75" x14ac:dyDescent="0.25">
      <c r="A20" s="294" t="s">
        <v>4</v>
      </c>
      <c r="B20" s="135"/>
      <c r="C20" s="288"/>
      <c r="D20" s="335"/>
      <c r="E20" s="311"/>
      <c r="F20" s="271" t="s">
        <v>57</v>
      </c>
      <c r="G20" s="304" t="str">
        <f t="shared" si="1"/>
        <v/>
      </c>
      <c r="H20" s="515"/>
      <c r="I20" s="311"/>
      <c r="J20" s="271" t="s">
        <v>57</v>
      </c>
      <c r="K20" s="279"/>
      <c r="L20" s="515"/>
      <c r="M20" s="317" t="str">
        <f t="shared" si="0"/>
        <v/>
      </c>
      <c r="N20" s="276"/>
      <c r="V20" s="288"/>
      <c r="W20" s="293"/>
      <c r="X20" s="293"/>
      <c r="Y20" s="293"/>
      <c r="Z20" s="293"/>
      <c r="AA20" s="293"/>
      <c r="AB20" s="293"/>
      <c r="AC20" s="293"/>
      <c r="AD20" s="293"/>
      <c r="AE20" s="291"/>
      <c r="AF20" s="291"/>
      <c r="AG20" s="291"/>
      <c r="AH20" s="291"/>
      <c r="AI20" s="291"/>
      <c r="AJ20" s="291"/>
    </row>
    <row r="21" spans="1:36" ht="15.75" x14ac:dyDescent="0.25">
      <c r="B21" s="135"/>
      <c r="C21" s="288"/>
      <c r="D21" s="335"/>
      <c r="E21" s="311"/>
      <c r="F21" s="271" t="s">
        <v>257</v>
      </c>
      <c r="G21" s="304" t="str">
        <f t="shared" si="1"/>
        <v/>
      </c>
      <c r="H21" s="515"/>
      <c r="I21" s="311"/>
      <c r="J21" s="271" t="s">
        <v>257</v>
      </c>
      <c r="K21" s="315"/>
      <c r="L21" s="515"/>
      <c r="M21" s="317" t="str">
        <f t="shared" si="0"/>
        <v/>
      </c>
      <c r="N21" s="298"/>
      <c r="O21" s="284"/>
      <c r="P21" s="284"/>
      <c r="Q21" s="284"/>
      <c r="R21" s="284"/>
      <c r="S21" s="284"/>
      <c r="T21" s="284"/>
      <c r="V21" s="288"/>
      <c r="W21" s="293"/>
      <c r="X21" s="293"/>
      <c r="Y21" s="293"/>
      <c r="Z21" s="293"/>
      <c r="AA21" s="293"/>
      <c r="AB21" s="293"/>
      <c r="AC21" s="293"/>
      <c r="AD21" s="293"/>
      <c r="AE21" s="291"/>
      <c r="AF21" s="291"/>
      <c r="AG21" s="291"/>
      <c r="AH21" s="291"/>
      <c r="AI21" s="291"/>
      <c r="AJ21" s="291"/>
    </row>
    <row r="22" spans="1:36" ht="15.75" x14ac:dyDescent="0.25">
      <c r="A22" s="294" t="s">
        <v>322</v>
      </c>
      <c r="B22" s="135"/>
      <c r="C22" s="480" t="s">
        <v>371</v>
      </c>
      <c r="D22" s="480" t="str">
        <f>K6&amp;"/"&amp;K7&amp;"/"&amp;K11</f>
        <v>7/194/260</v>
      </c>
      <c r="E22" s="302"/>
      <c r="F22" s="479" t="s">
        <v>262</v>
      </c>
      <c r="G22" s="440" t="str">
        <f t="shared" si="1"/>
        <v>N</v>
      </c>
      <c r="H22" s="308"/>
      <c r="I22" s="302"/>
      <c r="J22" s="271" t="s">
        <v>262</v>
      </c>
      <c r="K22" s="271" t="s">
        <v>3</v>
      </c>
      <c r="L22" s="308"/>
      <c r="M22" s="292" t="str">
        <f t="shared" si="0"/>
        <v>a</v>
      </c>
      <c r="N22" s="289"/>
      <c r="O22" s="289"/>
      <c r="P22" s="289"/>
      <c r="Q22" s="289"/>
      <c r="R22" s="289"/>
      <c r="S22" s="289"/>
      <c r="T22" s="289"/>
      <c r="U22" s="290"/>
      <c r="V22" s="288"/>
      <c r="W22" s="293"/>
      <c r="X22" s="293"/>
      <c r="Y22" s="293"/>
      <c r="Z22" s="293"/>
      <c r="AA22" s="293"/>
      <c r="AB22" s="293"/>
      <c r="AC22" s="293"/>
      <c r="AD22" s="293"/>
      <c r="AE22" s="291"/>
      <c r="AF22" s="291"/>
      <c r="AG22" s="291"/>
      <c r="AH22" s="291"/>
      <c r="AI22" s="291"/>
      <c r="AJ22" s="291"/>
    </row>
    <row r="23" spans="1:36" ht="15.75" x14ac:dyDescent="0.25">
      <c r="A23" s="294" t="s">
        <v>321</v>
      </c>
      <c r="B23" s="135"/>
      <c r="C23" s="288"/>
      <c r="D23" s="335"/>
      <c r="E23" s="302"/>
      <c r="F23" s="271" t="s">
        <v>49</v>
      </c>
      <c r="G23" s="478"/>
      <c r="H23" s="303"/>
      <c r="I23" s="302"/>
      <c r="J23" s="271" t="s">
        <v>49</v>
      </c>
      <c r="K23" s="271">
        <f>INDEX($W$5:$AD$12,4,MATCH($D$10,$W$4:$AD$4,0))</f>
        <v>13</v>
      </c>
      <c r="L23" s="303"/>
      <c r="M23" s="292" t="str">
        <f t="shared" si="0"/>
        <v/>
      </c>
      <c r="N23" s="289"/>
      <c r="O23" s="289"/>
      <c r="P23" s="289"/>
      <c r="Q23" s="289"/>
      <c r="R23" s="289"/>
      <c r="S23" s="289"/>
      <c r="T23" s="289"/>
      <c r="U23" s="290"/>
      <c r="V23" s="288"/>
      <c r="W23" s="293"/>
      <c r="X23" s="293"/>
      <c r="Y23" s="293"/>
      <c r="Z23" s="293"/>
      <c r="AA23" s="293"/>
      <c r="AB23" s="293"/>
      <c r="AC23" s="293"/>
      <c r="AD23" s="293"/>
      <c r="AE23" s="291"/>
      <c r="AF23" s="291"/>
      <c r="AG23" s="291"/>
      <c r="AH23" s="291"/>
      <c r="AI23" s="291"/>
      <c r="AJ23" s="291"/>
    </row>
    <row r="24" spans="1:36" ht="15.75" x14ac:dyDescent="0.25">
      <c r="A24" s="294" t="s">
        <v>323</v>
      </c>
      <c r="B24" s="135"/>
      <c r="C24" s="288"/>
      <c r="D24" s="288"/>
      <c r="E24" s="302"/>
      <c r="F24" s="271" t="s">
        <v>51</v>
      </c>
      <c r="G24" s="271"/>
      <c r="H24" s="303"/>
      <c r="I24" s="302"/>
      <c r="J24" s="271" t="s">
        <v>51</v>
      </c>
      <c r="K24" s="271">
        <f>INDEX($W$5:$AD$12,5,MATCH($D$10,$W$4:$AD$4,0))</f>
        <v>5.8199999999999994</v>
      </c>
      <c r="L24" s="303"/>
      <c r="M24" s="292" t="str">
        <f t="shared" si="0"/>
        <v/>
      </c>
      <c r="N24" s="289"/>
      <c r="O24" s="289"/>
      <c r="P24" s="289"/>
      <c r="Q24" s="289"/>
      <c r="R24" s="289"/>
      <c r="S24" s="289"/>
      <c r="T24" s="289"/>
      <c r="U24" s="290"/>
      <c r="V24" s="288"/>
      <c r="W24" s="293"/>
      <c r="X24" s="293"/>
      <c r="Y24" s="293"/>
      <c r="Z24" s="293"/>
      <c r="AA24" s="293"/>
      <c r="AB24" s="293"/>
      <c r="AC24" s="293"/>
      <c r="AD24" s="293"/>
      <c r="AE24" s="291"/>
      <c r="AF24" s="291"/>
      <c r="AG24" s="291"/>
      <c r="AH24" s="291"/>
      <c r="AI24" s="291"/>
      <c r="AJ24" s="291"/>
    </row>
    <row r="25" spans="1:36" ht="15.75" x14ac:dyDescent="0.25">
      <c r="A25" s="294" t="s">
        <v>324</v>
      </c>
      <c r="B25" s="278"/>
      <c r="C25" s="288"/>
      <c r="D25" s="288"/>
      <c r="E25" s="302"/>
      <c r="F25" s="271" t="s">
        <v>348</v>
      </c>
      <c r="G25" s="271" t="s">
        <v>573</v>
      </c>
      <c r="H25" s="303"/>
      <c r="J25" s="271" t="s">
        <v>348</v>
      </c>
      <c r="K25" s="271" t="str">
        <f>IF(K6&lt;13.1,"47-51","44-49")</f>
        <v>47-51</v>
      </c>
      <c r="L25" s="288"/>
      <c r="M25" s="292" t="str">
        <f t="shared" si="0"/>
        <v>r</v>
      </c>
      <c r="N25" s="289"/>
      <c r="O25" s="289"/>
      <c r="P25" s="289"/>
      <c r="Q25" s="289"/>
      <c r="R25" s="289"/>
      <c r="S25" s="289"/>
      <c r="T25" s="289"/>
      <c r="U25" s="290"/>
      <c r="V25" s="288"/>
      <c r="W25" s="288"/>
      <c r="X25" s="288"/>
      <c r="Y25" s="288"/>
      <c r="Z25" s="288"/>
      <c r="AA25" s="288"/>
      <c r="AB25" s="288"/>
      <c r="AC25" s="288"/>
      <c r="AD25" s="288"/>
      <c r="AE25" s="291"/>
      <c r="AF25" s="291"/>
      <c r="AG25" s="291"/>
      <c r="AH25" s="291"/>
      <c r="AI25" s="291"/>
      <c r="AJ25" s="291"/>
    </row>
    <row r="26" spans="1:36" s="291" customFormat="1" x14ac:dyDescent="0.25">
      <c r="A26" s="294" t="s">
        <v>326</v>
      </c>
      <c r="B26" s="288"/>
      <c r="C26" s="288"/>
      <c r="D26" s="288"/>
      <c r="E26" s="288"/>
      <c r="F26" s="295" t="s">
        <v>384</v>
      </c>
      <c r="G26" s="295">
        <f>COUNTIF(G16:G21, "&gt; 0")/2</f>
        <v>1</v>
      </c>
      <c r="H26" s="288"/>
      <c r="I26" s="288"/>
      <c r="J26" s="288"/>
      <c r="K26" s="288"/>
      <c r="L26" s="288"/>
      <c r="M26" s="289"/>
      <c r="N26" s="289"/>
      <c r="O26" s="289"/>
      <c r="P26" s="289"/>
      <c r="Q26" s="289"/>
      <c r="R26" s="289"/>
      <c r="S26" s="289"/>
      <c r="T26" s="289"/>
      <c r="U26" s="290"/>
      <c r="V26" s="288"/>
      <c r="W26" s="288"/>
      <c r="X26" s="288"/>
      <c r="Y26" s="288"/>
      <c r="Z26" s="288"/>
      <c r="AA26" s="288"/>
      <c r="AB26" s="288"/>
      <c r="AC26" s="288"/>
      <c r="AD26" s="288"/>
    </row>
    <row r="27" spans="1:36" s="291" customFormat="1" x14ac:dyDescent="0.25">
      <c r="A27" s="294"/>
      <c r="B27" s="288"/>
      <c r="C27" s="288"/>
      <c r="D27" s="288"/>
      <c r="E27" s="288"/>
      <c r="F27" s="288"/>
      <c r="G27" s="288"/>
      <c r="H27" s="288"/>
      <c r="I27" s="288"/>
      <c r="J27" s="288"/>
      <c r="K27" s="288"/>
      <c r="L27" s="288"/>
      <c r="M27" s="289"/>
      <c r="N27" s="289"/>
      <c r="O27" s="289"/>
      <c r="P27" s="289"/>
      <c r="Q27" s="289"/>
      <c r="R27" s="289"/>
      <c r="S27" s="289"/>
      <c r="T27" s="289"/>
      <c r="U27" s="290"/>
      <c r="V27" s="288"/>
      <c r="W27" s="288"/>
      <c r="X27" s="288"/>
      <c r="Y27" s="288"/>
      <c r="Z27" s="288"/>
      <c r="AA27" s="288"/>
      <c r="AB27" s="288"/>
      <c r="AC27" s="288"/>
      <c r="AD27" s="288"/>
    </row>
    <row r="28" spans="1:36" s="291" customFormat="1" x14ac:dyDescent="0.25">
      <c r="A28" s="294"/>
      <c r="B28" s="288"/>
      <c r="C28" s="288"/>
      <c r="D28" s="288"/>
      <c r="E28" s="288"/>
      <c r="F28" s="288"/>
      <c r="G28" s="288"/>
      <c r="H28" s="288"/>
      <c r="I28" s="288"/>
      <c r="J28" s="288"/>
      <c r="K28" s="288"/>
      <c r="L28" s="288"/>
      <c r="M28" s="289"/>
      <c r="N28" s="289"/>
      <c r="O28" s="289"/>
      <c r="P28" s="289"/>
      <c r="Q28" s="289"/>
      <c r="R28" s="289"/>
      <c r="S28" s="289"/>
      <c r="T28" s="289"/>
      <c r="U28" s="290"/>
      <c r="V28" s="288"/>
      <c r="W28" s="288"/>
      <c r="X28" s="288"/>
      <c r="Y28" s="288"/>
      <c r="Z28" s="288"/>
      <c r="AA28" s="288"/>
      <c r="AB28" s="288"/>
      <c r="AC28" s="288"/>
      <c r="AD28" s="288"/>
    </row>
    <row r="29" spans="1:36" s="291" customFormat="1" x14ac:dyDescent="0.25">
      <c r="A29" s="294"/>
      <c r="B29" s="288"/>
      <c r="C29" s="288"/>
      <c r="D29" s="288"/>
      <c r="E29" s="288"/>
      <c r="F29" s="288"/>
      <c r="G29" s="288"/>
      <c r="H29" s="288"/>
      <c r="I29" s="288"/>
      <c r="J29" s="288"/>
      <c r="K29" s="288"/>
      <c r="L29" s="288"/>
      <c r="M29" s="289"/>
      <c r="N29" s="289"/>
      <c r="O29" s="289"/>
      <c r="P29" s="289"/>
      <c r="Q29" s="289"/>
      <c r="R29" s="289"/>
      <c r="S29" s="289"/>
      <c r="T29" s="289"/>
      <c r="U29" s="290"/>
      <c r="V29" s="288"/>
      <c r="W29" s="288"/>
      <c r="X29" s="288"/>
      <c r="Y29" s="288"/>
      <c r="Z29" s="288"/>
      <c r="AA29" s="288"/>
      <c r="AB29" s="288"/>
      <c r="AC29" s="288"/>
      <c r="AD29" s="288"/>
    </row>
    <row r="30" spans="1:36" x14ac:dyDescent="0.25">
      <c r="B30" s="277"/>
      <c r="C30" s="294" t="s">
        <v>297</v>
      </c>
      <c r="D30" s="294"/>
      <c r="E30" s="294"/>
      <c r="F30" s="294"/>
      <c r="G30" s="294"/>
      <c r="H30" s="294"/>
      <c r="I30" s="294"/>
      <c r="J30" s="294"/>
      <c r="K30" s="294"/>
      <c r="L30" s="294"/>
      <c r="M30" s="294"/>
      <c r="N30" s="294"/>
      <c r="O30" s="294"/>
      <c r="P30" s="294"/>
      <c r="Q30" s="294"/>
      <c r="R30" s="294"/>
      <c r="S30" s="294"/>
      <c r="T30" s="294"/>
      <c r="U30" s="296"/>
      <c r="V30" s="294"/>
      <c r="W30" s="294"/>
      <c r="X30" s="294"/>
      <c r="Y30" s="294"/>
      <c r="Z30" s="294"/>
      <c r="AA30" s="294"/>
      <c r="AB30" s="294"/>
      <c r="AC30" s="294"/>
      <c r="AD30" s="294"/>
      <c r="AE30" s="296"/>
      <c r="AF30" s="296"/>
      <c r="AG30" s="296"/>
      <c r="AH30" s="296"/>
      <c r="AI30" s="296"/>
      <c r="AJ30" s="296"/>
    </row>
    <row r="31" spans="1:36" x14ac:dyDescent="0.25">
      <c r="B31" s="135"/>
      <c r="C31" s="294" t="s">
        <v>298</v>
      </c>
      <c r="D31" s="294"/>
      <c r="E31" s="294"/>
      <c r="F31" s="294"/>
      <c r="G31" s="294"/>
      <c r="H31" s="294"/>
      <c r="I31" s="294"/>
      <c r="J31" s="294"/>
      <c r="K31" s="294"/>
      <c r="L31" s="294"/>
      <c r="M31" s="294"/>
      <c r="N31" s="294"/>
      <c r="O31" s="294"/>
      <c r="P31" s="294"/>
      <c r="Q31" s="294"/>
      <c r="R31" s="294"/>
      <c r="S31" s="294"/>
      <c r="T31" s="294"/>
      <c r="U31" s="296"/>
      <c r="V31" s="294"/>
      <c r="W31" s="294"/>
      <c r="X31" s="294"/>
      <c r="Y31" s="294"/>
      <c r="Z31" s="294"/>
      <c r="AA31" s="294"/>
      <c r="AB31" s="294"/>
      <c r="AC31" s="294"/>
      <c r="AD31" s="294"/>
      <c r="AE31" s="296"/>
      <c r="AF31" s="296"/>
      <c r="AG31" s="296"/>
      <c r="AH31" s="296"/>
      <c r="AI31" s="296"/>
      <c r="AJ31" s="296"/>
    </row>
    <row r="32" spans="1:36" x14ac:dyDescent="0.25">
      <c r="B32" s="135"/>
      <c r="C32" s="294" t="s">
        <v>2</v>
      </c>
      <c r="D32" s="294"/>
      <c r="E32" s="294"/>
      <c r="F32" s="294"/>
      <c r="G32" s="294"/>
      <c r="H32" s="294"/>
      <c r="I32" s="294"/>
      <c r="J32" s="294"/>
      <c r="K32" s="294"/>
      <c r="L32" s="294"/>
      <c r="M32" s="294"/>
      <c r="N32" s="294"/>
      <c r="O32" s="294"/>
      <c r="P32" s="294"/>
      <c r="Q32" s="294"/>
      <c r="R32" s="294"/>
      <c r="S32" s="294"/>
      <c r="T32" s="294"/>
      <c r="U32" s="296"/>
      <c r="V32" s="294"/>
      <c r="W32" s="294"/>
      <c r="X32" s="294"/>
      <c r="Y32" s="294"/>
      <c r="Z32" s="294"/>
      <c r="AA32" s="294"/>
      <c r="AB32" s="294"/>
      <c r="AC32" s="294"/>
      <c r="AD32" s="294"/>
      <c r="AE32" s="296"/>
      <c r="AF32" s="296"/>
      <c r="AG32" s="296"/>
      <c r="AH32" s="296"/>
      <c r="AI32" s="296"/>
      <c r="AJ32" s="296"/>
    </row>
    <row r="33" spans="2:36" x14ac:dyDescent="0.25">
      <c r="B33" s="135"/>
      <c r="C33" s="294" t="s">
        <v>299</v>
      </c>
      <c r="D33" s="294"/>
      <c r="E33" s="294"/>
      <c r="F33" s="294"/>
      <c r="G33" s="294"/>
      <c r="H33" s="294"/>
      <c r="I33" s="294"/>
      <c r="J33" s="294"/>
      <c r="K33" s="294"/>
      <c r="L33" s="294"/>
      <c r="M33" s="294"/>
      <c r="N33" s="294"/>
      <c r="O33" s="294"/>
      <c r="P33" s="294"/>
      <c r="Q33" s="294"/>
      <c r="R33" s="294"/>
      <c r="S33" s="294"/>
      <c r="T33" s="294"/>
      <c r="U33" s="296"/>
      <c r="V33" s="294"/>
      <c r="W33" s="294"/>
      <c r="X33" s="294"/>
      <c r="Y33" s="294"/>
      <c r="Z33" s="294"/>
      <c r="AA33" s="294"/>
      <c r="AB33" s="294"/>
      <c r="AC33" s="294"/>
      <c r="AD33" s="294"/>
      <c r="AE33" s="296"/>
      <c r="AF33" s="296"/>
      <c r="AG33" s="296"/>
      <c r="AH33" s="296"/>
      <c r="AI33" s="296"/>
      <c r="AJ33" s="296"/>
    </row>
    <row r="34" spans="2:36" x14ac:dyDescent="0.25">
      <c r="B34" s="135"/>
      <c r="C34" s="294" t="s">
        <v>300</v>
      </c>
      <c r="D34" s="294"/>
      <c r="E34" s="294"/>
      <c r="F34" s="294"/>
      <c r="G34" s="294"/>
      <c r="H34" s="294"/>
      <c r="I34" s="294"/>
      <c r="J34" s="294"/>
      <c r="K34" s="294"/>
      <c r="L34" s="294"/>
      <c r="M34" s="294"/>
      <c r="N34" s="294"/>
      <c r="O34" s="294"/>
      <c r="P34" s="294"/>
      <c r="Q34" s="294"/>
      <c r="R34" s="294"/>
      <c r="S34" s="294"/>
      <c r="T34" s="294"/>
      <c r="U34" s="296"/>
      <c r="V34" s="294"/>
      <c r="W34" s="294"/>
      <c r="X34" s="294"/>
      <c r="Y34" s="294"/>
      <c r="Z34" s="294"/>
      <c r="AA34" s="294"/>
      <c r="AB34" s="294"/>
      <c r="AC34" s="294"/>
      <c r="AD34" s="294"/>
      <c r="AE34" s="296"/>
      <c r="AF34" s="296"/>
      <c r="AG34" s="296"/>
      <c r="AH34" s="296"/>
      <c r="AI34" s="296"/>
      <c r="AJ34" s="296"/>
    </row>
    <row r="35" spans="2:36" x14ac:dyDescent="0.25">
      <c r="B35" s="135"/>
      <c r="C35" s="294" t="s">
        <v>6</v>
      </c>
      <c r="D35" s="294"/>
      <c r="E35" s="294"/>
      <c r="F35" s="294"/>
      <c r="G35" s="294"/>
      <c r="H35" s="294"/>
      <c r="I35" s="294"/>
      <c r="J35" s="294"/>
      <c r="K35" s="294"/>
      <c r="L35" s="294"/>
      <c r="M35" s="294"/>
      <c r="N35" s="294"/>
      <c r="O35" s="294"/>
      <c r="P35" s="294"/>
      <c r="Q35" s="294"/>
      <c r="R35" s="294"/>
      <c r="S35" s="294"/>
      <c r="T35" s="294"/>
      <c r="U35" s="296"/>
      <c r="V35" s="294"/>
      <c r="W35" s="294"/>
      <c r="X35" s="294"/>
      <c r="Y35" s="294"/>
      <c r="Z35" s="294"/>
      <c r="AA35" s="294"/>
      <c r="AB35" s="294"/>
      <c r="AC35" s="294"/>
      <c r="AD35" s="294"/>
      <c r="AE35" s="296"/>
      <c r="AF35" s="296"/>
      <c r="AG35" s="296"/>
      <c r="AH35" s="296"/>
      <c r="AI35" s="296"/>
      <c r="AJ35" s="296"/>
    </row>
    <row r="36" spans="2:36" x14ac:dyDescent="0.25">
      <c r="B36" s="135"/>
      <c r="C36" s="294"/>
      <c r="D36" s="294"/>
      <c r="E36" s="294"/>
      <c r="F36" s="294"/>
      <c r="G36" s="294"/>
      <c r="H36" s="294"/>
      <c r="I36" s="294"/>
      <c r="J36" s="294"/>
      <c r="K36" s="294"/>
      <c r="L36" s="294"/>
      <c r="M36" s="294"/>
      <c r="N36" s="294"/>
      <c r="O36" s="294"/>
      <c r="P36" s="294"/>
      <c r="Q36" s="294"/>
      <c r="R36" s="294"/>
      <c r="S36" s="294"/>
      <c r="T36" s="294"/>
      <c r="U36" s="296"/>
      <c r="V36" s="294"/>
      <c r="W36" s="294"/>
      <c r="X36" s="294"/>
      <c r="Y36" s="294"/>
      <c r="Z36" s="294"/>
      <c r="AA36" s="294"/>
      <c r="AB36" s="294"/>
      <c r="AC36" s="294"/>
      <c r="AD36" s="294"/>
      <c r="AE36" s="296"/>
      <c r="AF36" s="296"/>
      <c r="AG36" s="296"/>
      <c r="AH36" s="296"/>
      <c r="AI36" s="296"/>
      <c r="AJ36" s="296"/>
    </row>
    <row r="37" spans="2:36" x14ac:dyDescent="0.25">
      <c r="B37" s="135"/>
      <c r="C37" s="294"/>
      <c r="D37" s="294"/>
      <c r="E37" s="294"/>
      <c r="F37" s="294"/>
      <c r="G37" s="294"/>
      <c r="H37" s="294"/>
      <c r="I37" s="294"/>
      <c r="J37" s="294"/>
      <c r="K37" s="294"/>
      <c r="L37" s="294"/>
      <c r="M37" s="294"/>
      <c r="N37" s="294"/>
      <c r="O37" s="294"/>
      <c r="P37" s="294"/>
      <c r="Q37" s="294"/>
      <c r="R37" s="294"/>
      <c r="S37" s="294"/>
      <c r="T37" s="294"/>
      <c r="U37" s="296"/>
      <c r="V37" s="294"/>
      <c r="W37" s="294"/>
      <c r="X37" s="294"/>
      <c r="Y37" s="294"/>
      <c r="Z37" s="294"/>
      <c r="AA37" s="294"/>
      <c r="AB37" s="294"/>
      <c r="AC37" s="294"/>
      <c r="AD37" s="294"/>
      <c r="AE37" s="296"/>
      <c r="AF37" s="296"/>
      <c r="AG37" s="296"/>
      <c r="AH37" s="296"/>
      <c r="AI37" s="296"/>
      <c r="AJ37" s="296"/>
    </row>
    <row r="38" spans="2:36" x14ac:dyDescent="0.25">
      <c r="B38" s="135"/>
      <c r="C38" s="294"/>
      <c r="D38" s="294"/>
      <c r="E38" s="294"/>
      <c r="F38" s="294"/>
      <c r="G38" s="294"/>
      <c r="H38" s="294"/>
      <c r="I38" s="294"/>
      <c r="J38" s="294"/>
      <c r="K38" s="294"/>
      <c r="L38" s="294"/>
      <c r="M38" s="294"/>
      <c r="N38" s="294"/>
      <c r="O38" s="294"/>
      <c r="P38" s="294"/>
      <c r="Q38" s="294"/>
      <c r="R38" s="294"/>
      <c r="S38" s="294"/>
      <c r="T38" s="294"/>
      <c r="U38" s="296"/>
      <c r="V38" s="294"/>
      <c r="W38" s="294"/>
      <c r="X38" s="294"/>
      <c r="Y38" s="294"/>
      <c r="Z38" s="294"/>
      <c r="AA38" s="294"/>
      <c r="AB38" s="294"/>
      <c r="AC38" s="294"/>
      <c r="AD38" s="294"/>
      <c r="AE38" s="296"/>
      <c r="AF38" s="296"/>
      <c r="AG38" s="296"/>
      <c r="AH38" s="296"/>
      <c r="AI38" s="296"/>
      <c r="AJ38" s="296"/>
    </row>
    <row r="39" spans="2:36" x14ac:dyDescent="0.25">
      <c r="B39" s="135"/>
      <c r="C39" s="294"/>
      <c r="D39" s="294"/>
      <c r="E39" s="294"/>
      <c r="F39" s="294"/>
      <c r="G39" s="294"/>
      <c r="H39" s="294"/>
      <c r="I39" s="294"/>
      <c r="J39" s="294"/>
      <c r="K39" s="294"/>
      <c r="L39" s="294"/>
      <c r="M39" s="294"/>
      <c r="N39" s="294"/>
      <c r="O39" s="294"/>
      <c r="P39" s="294"/>
      <c r="Q39" s="294"/>
      <c r="R39" s="294"/>
      <c r="S39" s="294"/>
      <c r="T39" s="294"/>
      <c r="U39" s="296"/>
      <c r="V39" s="294"/>
      <c r="W39" s="294"/>
      <c r="X39" s="294"/>
      <c r="Y39" s="294"/>
      <c r="Z39" s="294"/>
      <c r="AA39" s="294"/>
      <c r="AB39" s="294"/>
      <c r="AC39" s="294"/>
      <c r="AD39" s="294"/>
      <c r="AE39" s="296"/>
      <c r="AF39" s="296"/>
      <c r="AG39" s="296"/>
      <c r="AH39" s="296"/>
      <c r="AI39" s="296"/>
      <c r="AJ39" s="296"/>
    </row>
    <row r="40" spans="2:36" x14ac:dyDescent="0.25">
      <c r="B40" s="135"/>
      <c r="C40" s="294"/>
      <c r="D40" s="294"/>
      <c r="E40" s="294"/>
      <c r="F40" s="294"/>
      <c r="G40" s="294"/>
      <c r="H40" s="294"/>
      <c r="I40" s="294"/>
      <c r="J40" s="294"/>
      <c r="K40" s="294"/>
      <c r="L40" s="294"/>
      <c r="M40" s="294"/>
      <c r="N40" s="294"/>
      <c r="O40" s="294"/>
      <c r="P40" s="294"/>
      <c r="Q40" s="294"/>
      <c r="R40" s="294"/>
      <c r="S40" s="294"/>
      <c r="T40" s="294"/>
      <c r="U40" s="296"/>
      <c r="V40" s="294"/>
      <c r="W40" s="294"/>
      <c r="X40" s="294"/>
      <c r="Y40" s="294"/>
      <c r="Z40" s="294"/>
      <c r="AA40" s="294"/>
      <c r="AB40" s="294"/>
      <c r="AC40" s="294"/>
      <c r="AD40" s="294"/>
      <c r="AE40" s="296"/>
      <c r="AF40" s="296"/>
      <c r="AG40" s="296"/>
      <c r="AH40" s="296"/>
      <c r="AI40" s="296"/>
      <c r="AJ40" s="296"/>
    </row>
    <row r="41" spans="2:36" x14ac:dyDescent="0.25">
      <c r="C41" s="134"/>
      <c r="D41" s="280"/>
      <c r="E41" s="295"/>
      <c r="F41" s="214"/>
      <c r="G41" s="134"/>
      <c r="H41" s="280"/>
      <c r="I41" s="295"/>
      <c r="J41" s="214"/>
      <c r="K41" s="134"/>
      <c r="L41" s="134"/>
      <c r="M41" s="285"/>
      <c r="N41" s="285"/>
      <c r="O41" s="285"/>
      <c r="P41" s="285"/>
      <c r="Q41" s="285"/>
      <c r="R41" s="285"/>
      <c r="S41" s="285"/>
      <c r="T41" s="285"/>
      <c r="AE41" s="286"/>
      <c r="AF41" s="286"/>
      <c r="AG41" s="286"/>
      <c r="AH41" s="286"/>
      <c r="AI41" s="286"/>
      <c r="AJ41" s="286"/>
    </row>
  </sheetData>
  <mergeCells count="14">
    <mergeCell ref="AA2:AB2"/>
    <mergeCell ref="AC2:AD2"/>
    <mergeCell ref="H20:H21"/>
    <mergeCell ref="L16:L17"/>
    <mergeCell ref="L18:L19"/>
    <mergeCell ref="L20:L21"/>
    <mergeCell ref="H18:H19"/>
    <mergeCell ref="X16:Y16"/>
    <mergeCell ref="W15:Y15"/>
    <mergeCell ref="C14:D14"/>
    <mergeCell ref="C2:D2"/>
    <mergeCell ref="J2:L2"/>
    <mergeCell ref="F2:H2"/>
    <mergeCell ref="H16:H17"/>
  </mergeCells>
  <conditionalFormatting sqref="M4:M25">
    <cfRule type="containsText" dxfId="21" priority="2" operator="containsText" text="r">
      <formula>NOT(ISERROR(SEARCH("r",M4)))</formula>
    </cfRule>
    <cfRule type="containsText" dxfId="20" priority="3" operator="containsText" text="a">
      <formula>NOT(ISERROR(SEARCH("a",M4)))</formula>
    </cfRule>
  </conditionalFormatting>
  <conditionalFormatting sqref="M4:M21">
    <cfRule type="containsBlanks" dxfId="19" priority="4">
      <formula>LEN(TRIM(M4))=0</formula>
    </cfRule>
  </conditionalFormatting>
  <dataValidations count="3">
    <dataValidation type="list" allowBlank="1" showInputMessage="1" showErrorMessage="1" sqref="L4 H4">
      <formula1>$A$2:$A$5</formula1>
    </dataValidation>
    <dataValidation type="list" allowBlank="1" showInputMessage="1" showErrorMessage="1" sqref="L22 H22">
      <formula1>$A$19:$A$20</formula1>
    </dataValidation>
    <dataValidation type="list" allowBlank="1" showInputMessage="1" showErrorMessage="1" sqref="D10">
      <formula1>$A$22:$A$26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FF00"/>
  </sheetPr>
  <dimension ref="A1:AC74"/>
  <sheetViews>
    <sheetView rightToLeft="1" zoomScale="110" zoomScaleNormal="110" workbookViewId="0">
      <selection activeCell="D8" sqref="D8"/>
    </sheetView>
  </sheetViews>
  <sheetFormatPr defaultColWidth="9.140625" defaultRowHeight="15" x14ac:dyDescent="0.25"/>
  <cols>
    <col min="1" max="1" width="0.7109375" style="38" customWidth="1"/>
    <col min="2" max="2" width="14.28515625" style="38" customWidth="1"/>
    <col min="3" max="3" width="10.85546875" style="38" bestFit="1" customWidth="1"/>
    <col min="4" max="4" width="9.140625" style="35"/>
    <col min="5" max="5" width="1.140625" style="40" customWidth="1"/>
    <col min="6" max="6" width="9.28515625" style="40" customWidth="1"/>
    <col min="7" max="7" width="21.42578125" style="37" customWidth="1"/>
    <col min="8" max="8" width="13.7109375" style="38" customWidth="1"/>
    <col min="9" max="9" width="14" style="38" customWidth="1"/>
    <col min="10" max="10" width="13.7109375" style="38" customWidth="1"/>
    <col min="11" max="11" width="14.28515625" style="38" customWidth="1"/>
    <col min="12" max="12" width="14.42578125" style="38" customWidth="1"/>
    <col min="13" max="13" width="11.85546875" style="38" customWidth="1"/>
    <col min="14" max="14" width="13.28515625" style="38" customWidth="1"/>
    <col min="15" max="15" width="13" style="38" customWidth="1"/>
    <col min="16" max="27" width="9.140625" style="38"/>
    <col min="28" max="28" width="9.7109375" style="38" bestFit="1" customWidth="1"/>
    <col min="29" max="16384" width="9.140625" style="38"/>
  </cols>
  <sheetData>
    <row r="1" spans="1:29" ht="3" customHeight="1" x14ac:dyDescent="0.25">
      <c r="A1" s="35"/>
      <c r="B1" s="85"/>
      <c r="C1" s="86"/>
      <c r="D1" s="87"/>
      <c r="E1" s="88"/>
      <c r="F1" s="89"/>
      <c r="G1" s="90"/>
      <c r="H1" s="36"/>
      <c r="I1" s="85"/>
      <c r="J1" s="86"/>
      <c r="K1" s="87"/>
      <c r="L1" s="37"/>
      <c r="P1" s="32"/>
    </row>
    <row r="2" spans="1:29" ht="17.25" customHeight="1" x14ac:dyDescent="0.25">
      <c r="A2" s="35"/>
      <c r="B2" s="91" t="s">
        <v>98</v>
      </c>
      <c r="C2" s="92" t="s">
        <v>97</v>
      </c>
      <c r="D2" s="93" t="s">
        <v>32</v>
      </c>
      <c r="E2" s="94"/>
      <c r="F2" s="522"/>
      <c r="G2" s="522"/>
      <c r="H2" s="357"/>
      <c r="I2" s="91" t="s">
        <v>98</v>
      </c>
      <c r="J2" s="92" t="s">
        <v>97</v>
      </c>
      <c r="K2" s="95" t="s">
        <v>99</v>
      </c>
      <c r="L2" s="54"/>
      <c r="M2" s="55"/>
      <c r="N2" s="55"/>
      <c r="O2" s="55"/>
      <c r="P2" s="32"/>
    </row>
    <row r="3" spans="1:29" ht="18" x14ac:dyDescent="0.4">
      <c r="A3" s="35"/>
      <c r="B3" s="96" t="s">
        <v>36</v>
      </c>
      <c r="C3" s="242">
        <f>'ورود اطلاعات'!K6</f>
        <v>7</v>
      </c>
      <c r="D3" s="97" t="s">
        <v>72</v>
      </c>
      <c r="E3" s="94"/>
      <c r="F3" s="370"/>
      <c r="G3" s="371">
        <f>C6-J3</f>
        <v>223.6</v>
      </c>
      <c r="H3" s="372" t="s">
        <v>379</v>
      </c>
      <c r="I3" s="98" t="s">
        <v>74</v>
      </c>
      <c r="J3" s="242">
        <f>(C5-0.5)*C3</f>
        <v>36.4</v>
      </c>
      <c r="K3" s="99" t="s">
        <v>82</v>
      </c>
      <c r="L3" s="54"/>
      <c r="M3" s="55"/>
      <c r="N3" s="55"/>
      <c r="O3" s="55"/>
      <c r="P3" s="32"/>
    </row>
    <row r="4" spans="1:29" ht="18" x14ac:dyDescent="0.4">
      <c r="A4" s="35"/>
      <c r="B4" s="96" t="s">
        <v>38</v>
      </c>
      <c r="C4" s="242">
        <f>'ورود اطلاعات'!K7</f>
        <v>194</v>
      </c>
      <c r="D4" s="97" t="s">
        <v>72</v>
      </c>
      <c r="E4" s="94"/>
      <c r="F4" s="370"/>
      <c r="G4" s="373">
        <f>(G3+(J6*C3))/J6</f>
        <v>60.238095238095234</v>
      </c>
      <c r="H4" s="372" t="s">
        <v>315</v>
      </c>
      <c r="I4" s="128" t="s">
        <v>287</v>
      </c>
      <c r="J4" s="243">
        <f>(C6-J3)*C8</f>
        <v>194.25388905064833</v>
      </c>
      <c r="K4" s="99" t="s">
        <v>81</v>
      </c>
      <c r="L4" s="54"/>
      <c r="M4" s="55"/>
      <c r="N4" s="55"/>
      <c r="O4" s="55"/>
      <c r="P4" s="32"/>
      <c r="V4" s="39"/>
      <c r="W4" s="39"/>
      <c r="X4" s="39"/>
      <c r="Y4" s="39"/>
      <c r="Z4" s="39"/>
      <c r="AA4" s="39"/>
    </row>
    <row r="5" spans="1:29" ht="18" x14ac:dyDescent="0.4">
      <c r="A5" s="35"/>
      <c r="B5" s="96" t="s">
        <v>70</v>
      </c>
      <c r="C5" s="242">
        <f>'ورود اطلاعات'!K9</f>
        <v>5.7</v>
      </c>
      <c r="D5" s="97" t="s">
        <v>73</v>
      </c>
      <c r="E5" s="94"/>
      <c r="F5" s="370"/>
      <c r="G5" s="373"/>
      <c r="H5" s="372"/>
      <c r="I5" s="98" t="s">
        <v>9</v>
      </c>
      <c r="J5" s="244">
        <f>(8*((C6-J3)*(C7*C3^4)/(8*(C5-1.5)*(J12^3)))*J12)/(3.14157*(C3^3))</f>
        <v>269.68727481885861</v>
      </c>
      <c r="K5" s="99" t="s">
        <v>88</v>
      </c>
      <c r="L5" s="54"/>
      <c r="M5" s="55"/>
      <c r="N5" s="55" t="s">
        <v>13</v>
      </c>
      <c r="O5" s="55"/>
      <c r="P5" s="32"/>
    </row>
    <row r="6" spans="1:29" ht="18" x14ac:dyDescent="0.4">
      <c r="A6" s="35"/>
      <c r="B6" s="96" t="s">
        <v>37</v>
      </c>
      <c r="C6" s="242">
        <f>'ورود اطلاعات'!K11</f>
        <v>260</v>
      </c>
      <c r="D6" s="97" t="s">
        <v>72</v>
      </c>
      <c r="E6" s="94"/>
      <c r="F6" s="370"/>
      <c r="G6" s="373"/>
      <c r="H6" s="372"/>
      <c r="I6" s="98" t="s">
        <v>75</v>
      </c>
      <c r="J6" s="242">
        <f>C5-1.5</f>
        <v>4.2</v>
      </c>
      <c r="K6" s="99" t="s">
        <v>87</v>
      </c>
      <c r="L6" s="54"/>
      <c r="M6" s="55"/>
      <c r="N6" s="55" t="s">
        <v>14</v>
      </c>
      <c r="O6" s="55"/>
      <c r="P6" s="32"/>
    </row>
    <row r="7" spans="1:29" ht="18" x14ac:dyDescent="0.4">
      <c r="B7" s="101"/>
      <c r="C7" s="156">
        <f>IF(C3&lt;14,79500.5,79299.5)</f>
        <v>79500.5</v>
      </c>
      <c r="D7" s="102"/>
      <c r="E7" s="233"/>
      <c r="F7" s="370"/>
      <c r="G7" s="373"/>
      <c r="H7" s="372"/>
      <c r="I7" s="98" t="s">
        <v>76</v>
      </c>
      <c r="J7" s="244">
        <f>J12/C3</f>
        <v>26.714285714285715</v>
      </c>
      <c r="K7" s="99" t="s">
        <v>86</v>
      </c>
      <c r="L7" s="54"/>
      <c r="M7" s="103"/>
      <c r="N7" s="55"/>
      <c r="O7" s="55"/>
      <c r="P7" s="32"/>
    </row>
    <row r="8" spans="1:29" ht="18" x14ac:dyDescent="0.4">
      <c r="A8" s="35"/>
      <c r="B8" s="96" t="s">
        <v>71</v>
      </c>
      <c r="C8" s="244">
        <f>IF('ورود اطلاعات'!K22="Kg",((C7*C3^4)/(8*(C5-1.5)*(J12^3)))/9.81,(C7*C3^4)/(8*(C5-1.5)*(J12^3)))</f>
        <v>0.86875621221220178</v>
      </c>
      <c r="D8" s="99" t="str">
        <f>IF('ورود اطلاعات'!K22="N","N/mm","Kg/mm")</f>
        <v>N/mm</v>
      </c>
      <c r="E8" s="94"/>
      <c r="F8" s="370"/>
      <c r="G8" s="373"/>
      <c r="H8" s="372"/>
      <c r="I8" s="98" t="s">
        <v>77</v>
      </c>
      <c r="J8" s="244">
        <f>DEGREES(ATAN(N8))</f>
        <v>5.8544655336279749</v>
      </c>
      <c r="K8" s="99" t="s">
        <v>83</v>
      </c>
      <c r="L8" s="104"/>
      <c r="M8" s="55"/>
      <c r="N8" s="55">
        <f>J9/(J12*3.1415926)</f>
        <v>0.102536799819498</v>
      </c>
      <c r="O8" s="55" t="s">
        <v>96</v>
      </c>
      <c r="P8" s="32"/>
    </row>
    <row r="9" spans="1:29" ht="18" x14ac:dyDescent="0.25">
      <c r="A9" s="35"/>
      <c r="B9" s="96" t="s">
        <v>39</v>
      </c>
      <c r="C9" s="242">
        <f>C4-C3-C3</f>
        <v>180</v>
      </c>
      <c r="D9" s="97" t="s">
        <v>72</v>
      </c>
      <c r="E9" s="100"/>
      <c r="F9" s="374"/>
      <c r="G9" s="375"/>
      <c r="H9" s="376"/>
      <c r="I9" s="98" t="s">
        <v>42</v>
      </c>
      <c r="J9" s="244">
        <f>((C6-J3)/J6)+C3</f>
        <v>60.238095238095234</v>
      </c>
      <c r="K9" s="99" t="s">
        <v>84</v>
      </c>
      <c r="L9" s="105"/>
      <c r="M9" s="57"/>
      <c r="N9" s="57"/>
      <c r="O9" s="57"/>
      <c r="P9" s="32"/>
    </row>
    <row r="10" spans="1:29" ht="18" x14ac:dyDescent="0.25">
      <c r="A10" s="35"/>
      <c r="B10" s="106"/>
      <c r="C10" s="107"/>
      <c r="D10" s="106"/>
      <c r="E10" s="269"/>
      <c r="F10" s="270"/>
      <c r="G10" s="377"/>
      <c r="H10" s="376">
        <f>IF(C3&lt;15,0.02189,0.02)</f>
        <v>2.189E-2</v>
      </c>
      <c r="I10" s="98" t="s">
        <v>162</v>
      </c>
      <c r="J10" s="244">
        <f>(H10*C4*(C5-1.5))+J3</f>
        <v>54.235972000000004</v>
      </c>
      <c r="K10" s="99" t="s">
        <v>163</v>
      </c>
      <c r="L10" s="108"/>
      <c r="M10" s="109"/>
      <c r="N10" s="109"/>
      <c r="O10" s="109"/>
      <c r="P10" s="31"/>
    </row>
    <row r="11" spans="1:29" ht="18" x14ac:dyDescent="0.25">
      <c r="A11" s="35"/>
      <c r="B11" s="110"/>
      <c r="C11" s="111"/>
      <c r="D11" s="110"/>
      <c r="E11" s="269"/>
      <c r="F11" s="270"/>
      <c r="G11" s="377"/>
      <c r="H11" s="376">
        <f>IF(C3&lt;15,0.0328,0.04)</f>
        <v>3.2800000000000003E-2</v>
      </c>
      <c r="I11" s="98" t="s">
        <v>164</v>
      </c>
      <c r="J11" s="244">
        <f>(H11*C4*(C5-1.5))+J3</f>
        <v>63.125440000000005</v>
      </c>
      <c r="K11" s="99" t="s">
        <v>165</v>
      </c>
      <c r="L11" s="108"/>
      <c r="M11" s="109"/>
      <c r="N11" s="109"/>
      <c r="O11" s="109"/>
      <c r="P11" s="31"/>
    </row>
    <row r="12" spans="1:29" ht="17.25" customHeight="1" x14ac:dyDescent="0.25">
      <c r="B12" s="114" t="s">
        <v>288</v>
      </c>
      <c r="C12" s="520">
        <v>0</v>
      </c>
      <c r="D12" s="520"/>
      <c r="E12" s="270"/>
      <c r="F12" s="270"/>
      <c r="G12" s="377"/>
      <c r="H12" s="376"/>
      <c r="I12" s="98" t="s">
        <v>78</v>
      </c>
      <c r="J12" s="242">
        <f>C4-C3</f>
        <v>187</v>
      </c>
      <c r="K12" s="99" t="s">
        <v>85</v>
      </c>
      <c r="L12" s="112"/>
      <c r="M12" s="247">
        <v>56</v>
      </c>
      <c r="N12" s="248">
        <f>IF((N14*M12*J4/100)/J5&gt;J4,0,(N14*M12*J4/100)/J5)</f>
        <v>0</v>
      </c>
      <c r="O12" s="113" t="s">
        <v>108</v>
      </c>
      <c r="P12" s="31"/>
    </row>
    <row r="13" spans="1:29" ht="17.25" customHeight="1" x14ac:dyDescent="0.25">
      <c r="A13" s="35"/>
      <c r="B13" s="114" t="s">
        <v>12</v>
      </c>
      <c r="C13" s="520">
        <f>'ورود اطلاعات'!K8</f>
        <v>131</v>
      </c>
      <c r="D13" s="520"/>
      <c r="E13" s="270"/>
      <c r="F13" s="378" t="s">
        <v>285</v>
      </c>
      <c r="G13" s="379">
        <f>SQRT((C3^2)+(((C13+C3+C12)*3.14)^2))</f>
        <v>433.37653651299581</v>
      </c>
      <c r="H13" s="376"/>
      <c r="I13" s="98" t="s">
        <v>380</v>
      </c>
      <c r="J13" s="244">
        <f>0.1*((G4^2)-(0.8*G4*C3)-(0.2*C3^2))/(C4-C3)</f>
        <v>1.7548100452302129</v>
      </c>
      <c r="K13" s="99" t="s">
        <v>381</v>
      </c>
      <c r="L13" s="112"/>
      <c r="M13" s="247">
        <v>45</v>
      </c>
      <c r="N13" s="248">
        <f>IF((N14*M13/100*J4)/J5&gt;J4,0,(580.5*J4)/J5)</f>
        <v>0</v>
      </c>
      <c r="O13" s="113" t="s">
        <v>107</v>
      </c>
      <c r="P13" s="31"/>
      <c r="AA13" s="38" t="s">
        <v>14</v>
      </c>
      <c r="AB13" s="38" t="s">
        <v>13</v>
      </c>
    </row>
    <row r="14" spans="1:29" ht="17.25" customHeight="1" x14ac:dyDescent="0.25">
      <c r="A14" s="35"/>
      <c r="B14" s="114" t="s">
        <v>101</v>
      </c>
      <c r="C14" s="520">
        <f>(C13+C3+C12)*3.14</f>
        <v>433.32</v>
      </c>
      <c r="D14" s="520"/>
      <c r="E14" s="270"/>
      <c r="F14" s="378" t="s">
        <v>286</v>
      </c>
      <c r="G14" s="379">
        <f>SQRT(((C5-2)*3.14*(C13+C3+C12))^2+(C6-1.5)^2)</f>
        <v>1623.9894810792341</v>
      </c>
      <c r="H14" s="376"/>
      <c r="I14" s="126" t="s">
        <v>79</v>
      </c>
      <c r="J14" s="245">
        <f>J12*3.14157</f>
        <v>587.47359000000006</v>
      </c>
      <c r="K14" s="127"/>
      <c r="L14" s="53"/>
      <c r="M14" s="249">
        <f>J5/N14</f>
        <v>0.15771185661921555</v>
      </c>
      <c r="N14" s="250">
        <f>IF(C3&gt;15,1290,1710)</f>
        <v>1710</v>
      </c>
      <c r="O14" s="232" t="s">
        <v>22</v>
      </c>
      <c r="P14" s="31"/>
      <c r="AA14" s="38">
        <f>C6</f>
        <v>260</v>
      </c>
      <c r="AB14" s="38">
        <v>0</v>
      </c>
    </row>
    <row r="15" spans="1:29" ht="17.25" customHeight="1" x14ac:dyDescent="0.25">
      <c r="A15" s="35"/>
      <c r="B15" s="114" t="s">
        <v>11</v>
      </c>
      <c r="C15" s="521">
        <f>CEILING((2*G13)+G14,10)</f>
        <v>2500</v>
      </c>
      <c r="D15" s="521"/>
      <c r="E15" s="56"/>
      <c r="F15" s="359"/>
      <c r="G15" s="360"/>
      <c r="H15" s="358"/>
      <c r="I15" s="98" t="s">
        <v>80</v>
      </c>
      <c r="J15" s="244">
        <f>(C15/100)*3.14157*(C3^2/10000)*196.6/100</f>
        <v>0.75660001095000018</v>
      </c>
      <c r="K15" s="99" t="s">
        <v>89</v>
      </c>
      <c r="L15" s="54"/>
      <c r="M15" s="115"/>
      <c r="N15" s="115"/>
      <c r="O15" s="115"/>
      <c r="P15" s="32"/>
      <c r="AA15" s="41">
        <f>IF((N14*M13*J4/100)/J5&gt;J4,AA14,$C$6-(N13/$C$8))</f>
        <v>260</v>
      </c>
      <c r="AB15" s="39">
        <f>N13</f>
        <v>0</v>
      </c>
      <c r="AC15" s="38" t="str">
        <f>IF(N13=0,"","pre-st")</f>
        <v/>
      </c>
    </row>
    <row r="16" spans="1:29" ht="3" customHeight="1" x14ac:dyDescent="0.25">
      <c r="A16" s="42"/>
      <c r="B16" s="58"/>
      <c r="C16" s="58"/>
      <c r="D16" s="116"/>
      <c r="E16" s="56"/>
      <c r="F16" s="56"/>
      <c r="G16" s="54"/>
      <c r="H16" s="57"/>
      <c r="I16" s="58"/>
      <c r="J16" s="58"/>
      <c r="K16" s="58"/>
      <c r="L16" s="57"/>
      <c r="M16" s="55"/>
      <c r="N16" s="55"/>
      <c r="O16" s="55"/>
      <c r="AA16" s="41">
        <f>IF((N14*M12*J4/100)/J5&gt;J4,AA14,$C$6-(N12/$C$8))</f>
        <v>260</v>
      </c>
      <c r="AB16" s="39">
        <f>N12</f>
        <v>0</v>
      </c>
      <c r="AC16" s="38" t="str">
        <f>IF(N12=0,"","st")</f>
        <v/>
      </c>
    </row>
    <row r="17" spans="1:29" ht="17.25" customHeight="1" x14ac:dyDescent="0.25">
      <c r="A17" s="44"/>
      <c r="B17" s="59" t="s">
        <v>100</v>
      </c>
      <c r="C17" s="59" t="s">
        <v>97</v>
      </c>
      <c r="D17" s="59" t="s">
        <v>352</v>
      </c>
      <c r="E17" s="56"/>
      <c r="F17" s="56"/>
      <c r="G17" s="53"/>
      <c r="H17" s="60">
        <v>5</v>
      </c>
      <c r="I17" s="60">
        <v>4</v>
      </c>
      <c r="J17" s="60">
        <v>3</v>
      </c>
      <c r="K17" s="60">
        <v>2</v>
      </c>
      <c r="L17" s="60">
        <v>1</v>
      </c>
      <c r="M17" s="129"/>
      <c r="N17" s="130"/>
      <c r="O17" s="55"/>
      <c r="AA17" s="41">
        <f>J11</f>
        <v>63.125440000000005</v>
      </c>
      <c r="AB17" s="39">
        <f>($C$6-AA17)*$C$8</f>
        <v>171.03599702654387</v>
      </c>
      <c r="AC17" s="38" t="s">
        <v>109</v>
      </c>
    </row>
    <row r="18" spans="1:29" ht="18.75" customHeight="1" x14ac:dyDescent="0.25">
      <c r="A18" s="46"/>
      <c r="B18" s="47">
        <v>1</v>
      </c>
      <c r="C18" s="246">
        <f>IF(D18="",ROUND($J$4*0.3,5),D18)</f>
        <v>58.27617</v>
      </c>
      <c r="D18" s="227"/>
      <c r="E18" s="226"/>
      <c r="G18" s="36"/>
      <c r="H18" s="234" t="str">
        <f>IF(B22=2,C22,IF(B22=1,$C$6-(C22/$C$8),""))</f>
        <v/>
      </c>
      <c r="I18" s="234" t="str">
        <f>IF(B21=2,C21,IF(B21=1,$C$6-(C21/$C$8),""))</f>
        <v/>
      </c>
      <c r="J18" s="234">
        <f>IF(B20=2,C20,IF(B20=1,$C$6-(C20/$C$8),""))</f>
        <v>-9869.4239699209411</v>
      </c>
      <c r="K18" s="234">
        <f>IF(B19=2,C19,IF(B19=1,$C$6-(C19/$C$8),""))</f>
        <v>103.48000268827295</v>
      </c>
      <c r="L18" s="234">
        <f>IF(B18=2,C18,IF(B18=1,$C$6-(C18/$C$8),"" ))</f>
        <v>192.91999621895596</v>
      </c>
      <c r="M18" s="61" t="s">
        <v>14</v>
      </c>
      <c r="N18" s="60" t="s">
        <v>21</v>
      </c>
      <c r="O18" s="54"/>
      <c r="AA18" s="41">
        <f>J10</f>
        <v>54.235972000000004</v>
      </c>
      <c r="AB18" s="39">
        <f>($C$6-AA18)*$C$8</f>
        <v>178.75877757480544</v>
      </c>
      <c r="AC18" s="38" t="s">
        <v>110</v>
      </c>
    </row>
    <row r="19" spans="1:29" ht="18.75" customHeight="1" x14ac:dyDescent="0.25">
      <c r="A19" s="46"/>
      <c r="B19" s="47">
        <v>1</v>
      </c>
      <c r="C19" s="246">
        <f>IF(D19="",ROUND($J$4*0.7,5),D19)</f>
        <v>135.97772000000001</v>
      </c>
      <c r="D19" s="227"/>
      <c r="E19" s="226"/>
      <c r="G19" s="36"/>
      <c r="H19" s="235" t="str">
        <f>IF(B22=2,($C$6-H18)*$C$8,IF(B22=1,C22,""))</f>
        <v/>
      </c>
      <c r="I19" s="235" t="str">
        <f>IF(B21=2,($C$6-I18)*$C$8,IF(B21=1,C21,""))</f>
        <v/>
      </c>
      <c r="J19" s="235">
        <f>IF(B20=2,($C$6-J18)*$C$8,IF(B20=1,C20,""))</f>
        <v>8800</v>
      </c>
      <c r="K19" s="235">
        <f>IF(B19=2,($C$6-K18)*$C$8,IF(B19=1,C19,""))</f>
        <v>135.97772000000001</v>
      </c>
      <c r="L19" s="235">
        <f>IF(B18=2,($C$6-L18)*$C$8,IF(B18=1,C18,""))</f>
        <v>58.27617</v>
      </c>
      <c r="M19" s="61" t="s">
        <v>13</v>
      </c>
      <c r="N19" s="60" t="s">
        <v>20</v>
      </c>
      <c r="O19" s="54"/>
      <c r="AA19" s="41">
        <f>J3</f>
        <v>36.4</v>
      </c>
      <c r="AB19" s="39">
        <f>J4</f>
        <v>194.25388905064833</v>
      </c>
    </row>
    <row r="20" spans="1:29" ht="18.75" customHeight="1" x14ac:dyDescent="0.25">
      <c r="A20" s="46"/>
      <c r="B20" s="47">
        <v>1</v>
      </c>
      <c r="C20" s="241">
        <v>8800</v>
      </c>
      <c r="D20" s="228"/>
      <c r="G20" s="36"/>
      <c r="H20" s="234" t="str">
        <f>IFERROR($C$6-H18,"")</f>
        <v/>
      </c>
      <c r="I20" s="234" t="str">
        <f>IFERROR($C$6-I18,"")</f>
        <v/>
      </c>
      <c r="J20" s="234">
        <f>IFERROR($C$6-J18,"")</f>
        <v>10129.423969920941</v>
      </c>
      <c r="K20" s="234">
        <f>IFERROR($C$6-K18,"")</f>
        <v>156.51999731172705</v>
      </c>
      <c r="L20" s="234">
        <f>IFERROR($C$6-L18,"")</f>
        <v>67.080003781044041</v>
      </c>
      <c r="M20" s="61" t="s">
        <v>15</v>
      </c>
      <c r="N20" s="60" t="s">
        <v>17</v>
      </c>
      <c r="O20" s="54"/>
      <c r="Z20" s="38" t="s">
        <v>166</v>
      </c>
      <c r="AA20" s="41">
        <f>L18</f>
        <v>192.91999621895596</v>
      </c>
      <c r="AB20" s="39">
        <f>L19</f>
        <v>58.27617</v>
      </c>
    </row>
    <row r="21" spans="1:29" ht="18.75" customHeight="1" x14ac:dyDescent="0.25">
      <c r="A21" s="46"/>
      <c r="B21" s="47">
        <v>3</v>
      </c>
      <c r="C21" s="241"/>
      <c r="D21" s="36"/>
      <c r="G21" s="36"/>
      <c r="H21" s="236" t="str">
        <f>IFERROR((H19*$J$5)/$J$4,"")</f>
        <v/>
      </c>
      <c r="I21" s="236" t="str">
        <f>IFERROR((I19*$J$5)/$J$4,"")</f>
        <v/>
      </c>
      <c r="J21" s="236">
        <f>IFERROR((J19*$J$5)/$J$4,"")</f>
        <v>12217.248416515216</v>
      </c>
      <c r="K21" s="236">
        <f>IFERROR((K19*$J$5)/$J$4,"")</f>
        <v>188.78108913083517</v>
      </c>
      <c r="L21" s="236">
        <f>IFERROR((L19*$J$5)/$J$4,"")</f>
        <v>80.906187006030862</v>
      </c>
      <c r="M21" s="61" t="s">
        <v>9</v>
      </c>
      <c r="N21" s="60" t="s">
        <v>18</v>
      </c>
      <c r="O21" s="54"/>
      <c r="Z21" s="38" t="s">
        <v>167</v>
      </c>
      <c r="AA21" s="39">
        <f>K18</f>
        <v>103.48000268827295</v>
      </c>
      <c r="AB21" s="39">
        <f>K19</f>
        <v>135.97772000000001</v>
      </c>
    </row>
    <row r="22" spans="1:29" ht="18.75" customHeight="1" x14ac:dyDescent="0.25">
      <c r="A22" s="46"/>
      <c r="B22" s="47">
        <v>3</v>
      </c>
      <c r="C22" s="241"/>
      <c r="D22" s="36"/>
      <c r="G22" s="36"/>
      <c r="H22" s="237" t="str">
        <f>IFERROR(H21/$J$5,"")</f>
        <v/>
      </c>
      <c r="I22" s="237" t="str">
        <f>IFERROR(I21/$J$5,"")</f>
        <v/>
      </c>
      <c r="J22" s="237">
        <f>IFERROR(J21/$J$5,"")</f>
        <v>45.301538327016729</v>
      </c>
      <c r="K22" s="237">
        <f>IFERROR(K21/$J$5,"")</f>
        <v>0.69999998797731244</v>
      </c>
      <c r="L22" s="237">
        <f>IFERROR(L21/$J$5,"")</f>
        <v>0.30000001690985711</v>
      </c>
      <c r="M22" s="61" t="s">
        <v>16</v>
      </c>
      <c r="N22" s="60" t="s">
        <v>19</v>
      </c>
      <c r="O22" s="54"/>
      <c r="AA22" s="41"/>
      <c r="AB22" s="39"/>
    </row>
    <row r="23" spans="1:29" ht="18.75" customHeight="1" x14ac:dyDescent="0.25">
      <c r="A23" s="43"/>
      <c r="B23" s="43"/>
      <c r="C23" s="43"/>
      <c r="H23" s="237" t="str">
        <f>IFERROR(H21/$N$14,"")</f>
        <v/>
      </c>
      <c r="I23" s="237" t="str">
        <f>IFERROR(I21/$N$14,"")</f>
        <v/>
      </c>
      <c r="J23" s="237">
        <f>IFERROR(J21/$N$14,"")</f>
        <v>7.1445897172603603</v>
      </c>
      <c r="K23" s="237">
        <f>IFERROR(K21/$N$14,"")</f>
        <v>0.11039829773733051</v>
      </c>
      <c r="L23" s="237">
        <f>IFERROR(L21/$N$14,"")</f>
        <v>4.7313559652649627E-2</v>
      </c>
      <c r="M23" s="61" t="s">
        <v>173</v>
      </c>
      <c r="N23" s="60" t="s">
        <v>174</v>
      </c>
      <c r="O23" s="55"/>
    </row>
    <row r="24" spans="1:29" ht="18.75" hidden="1" customHeight="1" x14ac:dyDescent="0.25">
      <c r="H24" s="238"/>
      <c r="I24" s="238"/>
      <c r="J24" s="238"/>
      <c r="K24" s="238"/>
      <c r="L24" s="238"/>
      <c r="M24" s="229"/>
      <c r="N24" s="55"/>
      <c r="O24" s="55"/>
    </row>
    <row r="25" spans="1:29" ht="18.75" hidden="1" customHeight="1" x14ac:dyDescent="0.25">
      <c r="H25" s="238"/>
      <c r="I25" s="238"/>
      <c r="J25" s="238"/>
      <c r="K25" s="238"/>
      <c r="L25" s="238"/>
      <c r="M25" s="229"/>
      <c r="N25" s="55"/>
      <c r="O25" s="55"/>
    </row>
    <row r="26" spans="1:29" ht="18.75" hidden="1" customHeight="1" x14ac:dyDescent="0.25">
      <c r="H26" s="238"/>
      <c r="I26" s="238"/>
      <c r="J26" s="238"/>
      <c r="K26" s="238" t="b">
        <f>ISBLANK(K19)</f>
        <v>0</v>
      </c>
      <c r="L26" s="238"/>
      <c r="M26" s="229"/>
      <c r="N26" s="55"/>
      <c r="O26" s="55"/>
    </row>
    <row r="27" spans="1:29" ht="18.75" hidden="1" customHeight="1" x14ac:dyDescent="0.25">
      <c r="H27" s="238"/>
      <c r="I27" s="238"/>
      <c r="J27" s="238"/>
      <c r="K27" s="238">
        <f>IF(K18="",J27,5)</f>
        <v>5</v>
      </c>
      <c r="L27" s="238"/>
      <c r="M27" s="229"/>
      <c r="N27" s="55"/>
      <c r="O27" s="55"/>
    </row>
    <row r="28" spans="1:29" ht="18.75" hidden="1" customHeight="1" x14ac:dyDescent="0.25">
      <c r="H28" s="239"/>
      <c r="I28" s="239"/>
      <c r="J28" s="239"/>
      <c r="K28" s="239"/>
      <c r="L28" s="239"/>
      <c r="M28" s="230"/>
    </row>
    <row r="29" spans="1:29" ht="18.75" hidden="1" customHeight="1" x14ac:dyDescent="0.25">
      <c r="H29" s="239"/>
      <c r="I29" s="239"/>
      <c r="J29" s="239"/>
      <c r="K29" s="239"/>
      <c r="L29" s="239"/>
      <c r="M29" s="230"/>
    </row>
    <row r="30" spans="1:29" ht="18.75" hidden="1" customHeight="1" x14ac:dyDescent="0.25">
      <c r="H30" s="239"/>
      <c r="I30" s="239"/>
      <c r="J30" s="239"/>
      <c r="K30" s="239"/>
      <c r="L30" s="239"/>
      <c r="M30" s="230"/>
    </row>
    <row r="31" spans="1:29" ht="18.75" hidden="1" customHeight="1" x14ac:dyDescent="0.25">
      <c r="H31" s="239"/>
      <c r="I31" s="239"/>
      <c r="J31" s="239"/>
      <c r="K31" s="239"/>
      <c r="L31" s="239"/>
      <c r="M31" s="230"/>
    </row>
    <row r="32" spans="1:29" ht="18.75" hidden="1" customHeight="1" x14ac:dyDescent="0.25">
      <c r="H32" s="239"/>
      <c r="I32" s="239"/>
      <c r="J32" s="239"/>
      <c r="K32" s="239"/>
      <c r="L32" s="239"/>
      <c r="M32" s="230"/>
    </row>
    <row r="33" spans="7:15" ht="18.75" hidden="1" customHeight="1" x14ac:dyDescent="0.25">
      <c r="H33" s="239"/>
      <c r="I33" s="239"/>
      <c r="J33" s="239"/>
      <c r="K33" s="239"/>
      <c r="L33" s="239"/>
      <c r="M33" s="230"/>
    </row>
    <row r="34" spans="7:15" ht="18.75" hidden="1" customHeight="1" x14ac:dyDescent="0.25">
      <c r="H34" s="240"/>
      <c r="I34" s="240"/>
      <c r="J34" s="240"/>
      <c r="K34" s="240"/>
      <c r="L34" s="240"/>
      <c r="M34" s="231"/>
      <c r="N34" s="42"/>
    </row>
    <row r="35" spans="7:15" ht="18.75" customHeight="1" x14ac:dyDescent="0.25">
      <c r="G35" s="36"/>
      <c r="H35" s="241" t="str">
        <f>IF(H20="","",ROUND(0.012*(($C$6+H20)*((2/'ورود اطلاعات'!$K$10)+1)*$C$8),1))</f>
        <v/>
      </c>
      <c r="I35" s="241" t="str">
        <f>IF(I20="","",ROUND(0.012*(($C$6+I20)*((2/'ورود اطلاعات'!$K$10)+1)*$C$8),1))</f>
        <v/>
      </c>
      <c r="J35" s="241">
        <f>IF(J20="","",ROUND(0.012*(($C$6+J20)*((2/'ورود اطلاعات'!$K$10)+1)*$C$8),1))</f>
        <v>159.9</v>
      </c>
      <c r="K35" s="241">
        <f>IF(K20="","",ROUND(0.012*(($C$6+K20)*((2/'ورود اطلاعات'!$K$10)+1)*$C$8),1))</f>
        <v>6.4</v>
      </c>
      <c r="L35" s="241">
        <f>IF(L20="","",ROUND(0.012*(($C$6+L20)*((2/'ورود اطلاعات'!$K$10)+1)*$C$8),1))</f>
        <v>5</v>
      </c>
      <c r="M35" s="61" t="s">
        <v>351</v>
      </c>
      <c r="N35" s="61"/>
      <c r="O35" s="37"/>
    </row>
    <row r="36" spans="7:15" x14ac:dyDescent="0.25">
      <c r="G36" s="45"/>
      <c r="H36" s="86"/>
      <c r="I36" s="86"/>
      <c r="J36" s="86"/>
      <c r="K36" s="43"/>
      <c r="L36" s="43"/>
      <c r="M36" s="43"/>
      <c r="N36" s="43"/>
    </row>
    <row r="37" spans="7:15" x14ac:dyDescent="0.25">
      <c r="G37" s="45"/>
      <c r="H37" s="42"/>
      <c r="I37" s="42"/>
      <c r="J37" s="42"/>
    </row>
    <row r="38" spans="7:15" x14ac:dyDescent="0.25">
      <c r="G38" s="45"/>
      <c r="H38" s="42"/>
      <c r="I38" s="42"/>
      <c r="J38" s="42"/>
    </row>
    <row r="39" spans="7:15" x14ac:dyDescent="0.25">
      <c r="G39" s="45"/>
      <c r="H39" s="42"/>
      <c r="I39" s="42"/>
      <c r="J39" s="42"/>
    </row>
    <row r="40" spans="7:15" x14ac:dyDescent="0.25">
      <c r="G40" s="45"/>
      <c r="H40" s="42"/>
      <c r="I40" s="42"/>
      <c r="J40" s="42"/>
    </row>
    <row r="41" spans="7:15" x14ac:dyDescent="0.25">
      <c r="G41" s="45"/>
      <c r="H41" s="42"/>
      <c r="I41" s="42"/>
      <c r="J41" s="42"/>
    </row>
    <row r="42" spans="7:15" x14ac:dyDescent="0.25">
      <c r="G42" s="45"/>
      <c r="H42" s="42"/>
      <c r="I42" s="42"/>
      <c r="J42" s="42"/>
    </row>
    <row r="43" spans="7:15" x14ac:dyDescent="0.25">
      <c r="G43" s="45"/>
      <c r="H43" s="42"/>
      <c r="I43" s="42"/>
      <c r="J43" s="42"/>
    </row>
    <row r="44" spans="7:15" x14ac:dyDescent="0.25">
      <c r="G44" s="45"/>
      <c r="H44" s="42"/>
      <c r="I44" s="42"/>
      <c r="J44" s="42"/>
    </row>
    <row r="45" spans="7:15" x14ac:dyDescent="0.25">
      <c r="G45" s="45"/>
      <c r="H45" s="42"/>
      <c r="I45" s="42"/>
      <c r="J45" s="42"/>
    </row>
    <row r="46" spans="7:15" x14ac:dyDescent="0.25">
      <c r="G46" s="45"/>
      <c r="H46" s="42"/>
      <c r="I46" s="42"/>
      <c r="J46" s="42"/>
    </row>
    <row r="47" spans="7:15" x14ac:dyDescent="0.25">
      <c r="G47" s="45"/>
      <c r="H47" s="42"/>
      <c r="I47" s="42"/>
      <c r="J47" s="42"/>
    </row>
    <row r="48" spans="7:15" x14ac:dyDescent="0.25">
      <c r="G48" s="45"/>
      <c r="H48" s="42"/>
      <c r="I48" s="42"/>
      <c r="J48" s="42"/>
    </row>
    <row r="49" spans="7:10" x14ac:dyDescent="0.25">
      <c r="G49" s="45"/>
      <c r="H49" s="42"/>
      <c r="I49" s="42"/>
      <c r="J49" s="42"/>
    </row>
    <row r="50" spans="7:10" x14ac:dyDescent="0.25">
      <c r="G50" s="45"/>
      <c r="H50" s="42"/>
      <c r="I50" s="42"/>
      <c r="J50" s="42"/>
    </row>
    <row r="51" spans="7:10" x14ac:dyDescent="0.25">
      <c r="G51" s="45"/>
      <c r="H51" s="42"/>
      <c r="I51" s="42"/>
      <c r="J51" s="42"/>
    </row>
    <row r="52" spans="7:10" x14ac:dyDescent="0.25">
      <c r="G52" s="45"/>
      <c r="H52" s="42"/>
      <c r="I52" s="42"/>
      <c r="J52" s="42"/>
    </row>
    <row r="53" spans="7:10" x14ac:dyDescent="0.25">
      <c r="G53" s="45"/>
      <c r="H53" s="42"/>
      <c r="I53" s="42"/>
      <c r="J53" s="42"/>
    </row>
    <row r="54" spans="7:10" x14ac:dyDescent="0.25">
      <c r="G54" s="45"/>
      <c r="H54" s="42"/>
      <c r="I54" s="42"/>
      <c r="J54" s="42"/>
    </row>
    <row r="55" spans="7:10" x14ac:dyDescent="0.25">
      <c r="G55" s="45"/>
      <c r="H55" s="42"/>
      <c r="I55" s="42"/>
      <c r="J55" s="42"/>
    </row>
    <row r="56" spans="7:10" x14ac:dyDescent="0.25">
      <c r="G56" s="45"/>
      <c r="H56" s="42"/>
      <c r="I56" s="42"/>
      <c r="J56" s="42"/>
    </row>
    <row r="57" spans="7:10" x14ac:dyDescent="0.25">
      <c r="G57" s="45"/>
      <c r="H57" s="42"/>
      <c r="I57" s="42"/>
      <c r="J57" s="42"/>
    </row>
    <row r="58" spans="7:10" x14ac:dyDescent="0.25">
      <c r="G58" s="45"/>
      <c r="H58" s="42"/>
      <c r="I58" s="42"/>
      <c r="J58" s="42"/>
    </row>
    <row r="59" spans="7:10" x14ac:dyDescent="0.25">
      <c r="G59" s="45"/>
      <c r="H59" s="42"/>
      <c r="I59" s="42"/>
      <c r="J59" s="42"/>
    </row>
    <row r="60" spans="7:10" x14ac:dyDescent="0.25">
      <c r="G60" s="45"/>
      <c r="H60" s="42"/>
      <c r="I60" s="42"/>
      <c r="J60" s="42"/>
    </row>
    <row r="61" spans="7:10" x14ac:dyDescent="0.25">
      <c r="G61" s="45"/>
      <c r="H61" s="42"/>
      <c r="I61" s="42"/>
      <c r="J61" s="42"/>
    </row>
    <row r="62" spans="7:10" x14ac:dyDescent="0.25">
      <c r="G62" s="45"/>
      <c r="H62" s="42"/>
      <c r="I62" s="42"/>
      <c r="J62" s="42"/>
    </row>
    <row r="63" spans="7:10" x14ac:dyDescent="0.25">
      <c r="G63" s="45"/>
      <c r="H63" s="42"/>
      <c r="I63" s="42"/>
      <c r="J63" s="42"/>
    </row>
    <row r="64" spans="7:10" x14ac:dyDescent="0.25">
      <c r="G64" s="45"/>
      <c r="H64" s="42"/>
      <c r="I64" s="42"/>
      <c r="J64" s="42"/>
    </row>
    <row r="65" spans="6:11" x14ac:dyDescent="0.25">
      <c r="G65" s="45"/>
      <c r="H65" s="42"/>
      <c r="I65" s="42"/>
      <c r="J65" s="42"/>
    </row>
    <row r="66" spans="6:11" x14ac:dyDescent="0.25">
      <c r="G66" s="45"/>
      <c r="H66" s="42"/>
      <c r="I66" s="42"/>
      <c r="J66" s="42"/>
    </row>
    <row r="67" spans="6:11" x14ac:dyDescent="0.25">
      <c r="G67" s="45"/>
      <c r="H67" s="42"/>
      <c r="I67" s="42"/>
      <c r="J67" s="42"/>
    </row>
    <row r="68" spans="6:11" x14ac:dyDescent="0.25">
      <c r="G68" s="45"/>
      <c r="H68" s="42"/>
      <c r="I68" s="42"/>
      <c r="J68" s="42"/>
    </row>
    <row r="69" spans="6:11" x14ac:dyDescent="0.25">
      <c r="F69" s="35"/>
      <c r="G69" s="48" t="s">
        <v>14</v>
      </c>
      <c r="H69" s="48" t="s">
        <v>175</v>
      </c>
      <c r="I69" s="48" t="s">
        <v>176</v>
      </c>
      <c r="J69" s="48" t="s">
        <v>177</v>
      </c>
      <c r="K69" s="37"/>
    </row>
    <row r="70" spans="6:11" x14ac:dyDescent="0.25">
      <c r="F70" s="35"/>
      <c r="G70" s="48">
        <v>1200</v>
      </c>
      <c r="H70" s="48">
        <v>1000</v>
      </c>
      <c r="I70" s="48">
        <v>500</v>
      </c>
      <c r="J70" s="49">
        <v>300000</v>
      </c>
      <c r="K70" s="37"/>
    </row>
    <row r="71" spans="6:11" x14ac:dyDescent="0.25">
      <c r="F71" s="35"/>
      <c r="G71" s="50">
        <f>G70/$C$4</f>
        <v>6.1855670103092786</v>
      </c>
      <c r="H71" s="50">
        <f>H70/$C$4</f>
        <v>5.1546391752577323</v>
      </c>
      <c r="I71" s="50">
        <f>I70/$C$6</f>
        <v>1.9230769230769231</v>
      </c>
      <c r="J71" s="48"/>
      <c r="K71" s="37"/>
    </row>
    <row r="72" spans="6:11" x14ac:dyDescent="0.25">
      <c r="F72" s="35"/>
      <c r="G72" s="48">
        <f>ROUNDDOWN(G71,0)</f>
        <v>6</v>
      </c>
      <c r="H72" s="48">
        <f>ROUNDDOWN(H71,0)</f>
        <v>5</v>
      </c>
      <c r="I72" s="48">
        <f>ROUNDDOWN(I71,0)</f>
        <v>1</v>
      </c>
      <c r="J72" s="48">
        <f>I72*H72*G72</f>
        <v>30</v>
      </c>
      <c r="K72" s="37"/>
    </row>
    <row r="73" spans="6:11" ht="19.5" x14ac:dyDescent="0.25">
      <c r="F73" s="35"/>
      <c r="G73" s="523" t="s">
        <v>178</v>
      </c>
      <c r="H73" s="524"/>
      <c r="I73" s="525"/>
      <c r="J73" s="51">
        <f>J70/J72</f>
        <v>10000</v>
      </c>
      <c r="K73" s="52" t="s">
        <v>179</v>
      </c>
    </row>
    <row r="74" spans="6:11" x14ac:dyDescent="0.25">
      <c r="F74" s="38"/>
      <c r="G74" s="43"/>
      <c r="H74" s="43"/>
      <c r="I74" s="43"/>
      <c r="J74" s="43"/>
    </row>
  </sheetData>
  <sheetProtection formatCells="0" formatColumns="0" formatRows="0" insertColumns="0" insertRows="0" insertHyperlinks="0" deleteColumns="0" deleteRows="0" sort="0" autoFilter="0" pivotTables="0"/>
  <protectedRanges>
    <protectedRange password="EA25" sqref="I3:K15 M12:O14 H18:L23 C14:D15 C8:C9" name="Range1"/>
  </protectedRanges>
  <mergeCells count="6">
    <mergeCell ref="C13:D13"/>
    <mergeCell ref="C14:D14"/>
    <mergeCell ref="C15:D15"/>
    <mergeCell ref="F2:G2"/>
    <mergeCell ref="G73:I73"/>
    <mergeCell ref="C12:D12"/>
  </mergeCells>
  <conditionalFormatting sqref="J5">
    <cfRule type="cellIs" dxfId="18" priority="2" operator="greaterThan">
      <formula>900</formula>
    </cfRule>
    <cfRule type="cellIs" dxfId="17" priority="3" operator="lessThan">
      <formula>699</formula>
    </cfRule>
    <cfRule type="cellIs" dxfId="16" priority="4" operator="greaterThan">
      <formula>700</formula>
    </cfRule>
    <cfRule type="cellIs" dxfId="15" priority="7" operator="greaterThan">
      <formula>700</formula>
    </cfRule>
  </conditionalFormatting>
  <conditionalFormatting sqref="M14">
    <cfRule type="cellIs" dxfId="14" priority="5" operator="greaterThan">
      <formula>0.45</formula>
    </cfRule>
    <cfRule type="cellIs" dxfId="13" priority="6" operator="greaterThan">
      <formula>0.561</formula>
    </cfRule>
  </conditionalFormatting>
  <conditionalFormatting sqref="C15:D15">
    <cfRule type="cellIs" dxfId="12" priority="1" operator="greaterThan">
      <formula>6100</formula>
    </cfRule>
  </conditionalFormatting>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1</xdr:col>
                    <xdr:colOff>0</xdr:colOff>
                    <xdr:row>17</xdr:row>
                    <xdr:rowOff>9525</xdr:rowOff>
                  </from>
                  <to>
                    <xdr:col>1</xdr:col>
                    <xdr:colOff>933450</xdr:colOff>
                    <xdr:row>17</xdr:row>
                    <xdr:rowOff>228600</xdr:rowOff>
                  </to>
                </anchor>
              </controlPr>
            </control>
          </mc:Choice>
        </mc:AlternateContent>
        <mc:AlternateContent xmlns:mc="http://schemas.openxmlformats.org/markup-compatibility/2006">
          <mc:Choice Requires="x14">
            <control shapeId="3078" r:id="rId5" name="Drop Down 6">
              <controlPr defaultSize="0" autoLine="0" autoPict="0">
                <anchor moveWithCells="1">
                  <from>
                    <xdr:col>1</xdr:col>
                    <xdr:colOff>0</xdr:colOff>
                    <xdr:row>18</xdr:row>
                    <xdr:rowOff>9525</xdr:rowOff>
                  </from>
                  <to>
                    <xdr:col>1</xdr:col>
                    <xdr:colOff>933450</xdr:colOff>
                    <xdr:row>18</xdr:row>
                    <xdr:rowOff>228600</xdr:rowOff>
                  </to>
                </anchor>
              </controlPr>
            </control>
          </mc:Choice>
        </mc:AlternateContent>
        <mc:AlternateContent xmlns:mc="http://schemas.openxmlformats.org/markup-compatibility/2006">
          <mc:Choice Requires="x14">
            <control shapeId="3080" r:id="rId6" name="Drop Down 8">
              <controlPr defaultSize="0" autoLine="0" autoPict="0">
                <anchor moveWithCells="1">
                  <from>
                    <xdr:col>1</xdr:col>
                    <xdr:colOff>0</xdr:colOff>
                    <xdr:row>19</xdr:row>
                    <xdr:rowOff>9525</xdr:rowOff>
                  </from>
                  <to>
                    <xdr:col>1</xdr:col>
                    <xdr:colOff>933450</xdr:colOff>
                    <xdr:row>19</xdr:row>
                    <xdr:rowOff>238125</xdr:rowOff>
                  </to>
                </anchor>
              </controlPr>
            </control>
          </mc:Choice>
        </mc:AlternateContent>
        <mc:AlternateContent xmlns:mc="http://schemas.openxmlformats.org/markup-compatibility/2006">
          <mc:Choice Requires="x14">
            <control shapeId="3081" r:id="rId7" name="Drop Down 9">
              <controlPr defaultSize="0" autoLine="0" autoPict="0">
                <anchor moveWithCells="1">
                  <from>
                    <xdr:col>1</xdr:col>
                    <xdr:colOff>0</xdr:colOff>
                    <xdr:row>20</xdr:row>
                    <xdr:rowOff>19050</xdr:rowOff>
                  </from>
                  <to>
                    <xdr:col>1</xdr:col>
                    <xdr:colOff>933450</xdr:colOff>
                    <xdr:row>20</xdr:row>
                    <xdr:rowOff>238125</xdr:rowOff>
                  </to>
                </anchor>
              </controlPr>
            </control>
          </mc:Choice>
        </mc:AlternateContent>
        <mc:AlternateContent xmlns:mc="http://schemas.openxmlformats.org/markup-compatibility/2006">
          <mc:Choice Requires="x14">
            <control shapeId="3082" r:id="rId8" name="Drop Down 10">
              <controlPr defaultSize="0" autoLine="0" autoPict="0">
                <anchor moveWithCells="1">
                  <from>
                    <xdr:col>1</xdr:col>
                    <xdr:colOff>0</xdr:colOff>
                    <xdr:row>21</xdr:row>
                    <xdr:rowOff>19050</xdr:rowOff>
                  </from>
                  <to>
                    <xdr:col>1</xdr:col>
                    <xdr:colOff>933450</xdr:colOff>
                    <xdr:row>22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0000"/>
  </sheetPr>
  <dimension ref="A1:BZ544"/>
  <sheetViews>
    <sheetView rightToLeft="1" view="pageBreakPreview" topLeftCell="A4" zoomScaleNormal="100" zoomScaleSheetLayoutView="100" workbookViewId="0">
      <selection activeCell="AY68" sqref="AY68:BG68"/>
    </sheetView>
  </sheetViews>
  <sheetFormatPr defaultRowHeight="15" x14ac:dyDescent="0.25"/>
  <cols>
    <col min="1" max="2" width="1.85546875" customWidth="1"/>
    <col min="3" max="3" width="2" customWidth="1"/>
    <col min="4" max="8" width="1.85546875" customWidth="1"/>
    <col min="9" max="9" width="2.5703125" customWidth="1"/>
    <col min="10" max="10" width="1.5703125" customWidth="1"/>
    <col min="11" max="27" width="1.85546875" customWidth="1"/>
    <col min="28" max="28" width="2.42578125" customWidth="1"/>
    <col min="29" max="41" width="1.85546875" customWidth="1"/>
    <col min="42" max="42" width="1.5703125" customWidth="1"/>
    <col min="43" max="44" width="1.85546875" customWidth="1"/>
    <col min="45" max="45" width="1.5703125" customWidth="1"/>
    <col min="46" max="46" width="1.85546875" customWidth="1"/>
    <col min="47" max="47" width="2.5703125" customWidth="1"/>
    <col min="48" max="49" width="1.85546875" customWidth="1"/>
    <col min="50" max="50" width="2" customWidth="1"/>
    <col min="51" max="51" width="2.85546875" customWidth="1"/>
    <col min="52" max="52" width="4" customWidth="1"/>
    <col min="53" max="53" width="1.85546875" customWidth="1"/>
    <col min="54" max="54" width="2" customWidth="1"/>
    <col min="55" max="57" width="1.85546875" customWidth="1"/>
    <col min="58" max="58" width="0.5703125" customWidth="1"/>
    <col min="59" max="59" width="1.140625" customWidth="1"/>
    <col min="60" max="60" width="5.85546875" customWidth="1"/>
    <col min="61" max="61" width="11.140625" customWidth="1"/>
    <col min="62" max="62" width="13" customWidth="1"/>
    <col min="63" max="63" width="11.140625" customWidth="1"/>
    <col min="64" max="64" width="10.42578125" customWidth="1"/>
    <col min="65" max="65" width="9.28515625" customWidth="1"/>
    <col min="66" max="66" width="11.42578125" customWidth="1"/>
    <col min="67" max="70" width="7.5703125" customWidth="1"/>
    <col min="71" max="71" width="11.140625" customWidth="1"/>
    <col min="72" max="77" width="7.5703125" customWidth="1"/>
  </cols>
  <sheetData>
    <row r="1" spans="1:78" ht="13.5" customHeight="1" x14ac:dyDescent="0.25">
      <c r="A1" s="537" t="s">
        <v>199</v>
      </c>
      <c r="B1" s="538"/>
      <c r="C1" s="538"/>
      <c r="D1" s="538"/>
      <c r="E1" s="538"/>
      <c r="F1" s="538"/>
      <c r="G1" s="538"/>
      <c r="H1" s="538"/>
      <c r="I1" s="538"/>
      <c r="J1" s="538"/>
      <c r="K1" s="538"/>
      <c r="L1" s="539"/>
      <c r="M1" s="552" t="s">
        <v>200</v>
      </c>
      <c r="N1" s="553"/>
      <c r="O1" s="553"/>
      <c r="P1" s="553"/>
      <c r="Q1" s="553"/>
      <c r="R1" s="553"/>
      <c r="S1" s="553"/>
      <c r="T1" s="553"/>
      <c r="U1" s="553"/>
      <c r="V1" s="553"/>
      <c r="W1" s="553"/>
      <c r="X1" s="553"/>
      <c r="Y1" s="553"/>
      <c r="Z1" s="553"/>
      <c r="AA1" s="553"/>
      <c r="AB1" s="553"/>
      <c r="AC1" s="553"/>
      <c r="AD1" s="553"/>
      <c r="AE1" s="553"/>
      <c r="AF1" s="553"/>
      <c r="AG1" s="553"/>
      <c r="AH1" s="553"/>
      <c r="AI1" s="553"/>
      <c r="AJ1" s="553"/>
      <c r="AK1" s="553"/>
      <c r="AL1" s="553"/>
      <c r="AM1" s="553"/>
      <c r="AN1" s="553"/>
      <c r="AO1" s="553"/>
      <c r="AP1" s="553"/>
      <c r="AQ1" s="553"/>
      <c r="AR1" s="553"/>
      <c r="AS1" s="553"/>
      <c r="AT1" s="554"/>
      <c r="AU1" s="569" t="s">
        <v>341</v>
      </c>
      <c r="AV1" s="569"/>
      <c r="AW1" s="569"/>
      <c r="AX1" s="569"/>
      <c r="AY1" s="569"/>
      <c r="AZ1" s="569"/>
      <c r="BA1" s="569"/>
      <c r="BB1" s="569"/>
      <c r="BC1" s="569"/>
      <c r="BD1" s="569"/>
      <c r="BE1" s="569"/>
      <c r="BF1" s="569"/>
      <c r="BG1" s="569"/>
      <c r="BI1" s="21"/>
      <c r="BJ1" s="21"/>
      <c r="BK1" s="21"/>
      <c r="BL1" s="21"/>
      <c r="BM1" s="466"/>
      <c r="BN1" s="469"/>
      <c r="BO1" s="469" t="str">
        <f>MID(productionProcess,10,1)</f>
        <v>0</v>
      </c>
      <c r="BP1" s="469" t="str">
        <f>MID(productionProcess,9,1)</f>
        <v>0</v>
      </c>
      <c r="BQ1" s="469" t="str">
        <f>MID(productionProcess,8,1)</f>
        <v>0</v>
      </c>
      <c r="BR1" s="469" t="str">
        <f>MID(productionProcess,7,1)</f>
        <v>0</v>
      </c>
      <c r="BS1" s="469" t="str">
        <f>MID(productionProcess,6,1)</f>
        <v>0</v>
      </c>
      <c r="BT1" s="469" t="str">
        <f>MID(productionProcess,5,1)</f>
        <v>0</v>
      </c>
      <c r="BU1" s="469" t="str">
        <f>MID(productionProcess,4,1)</f>
        <v>0</v>
      </c>
      <c r="BV1" s="469" t="str">
        <f>MID(productionProcess,3,1)</f>
        <v>0</v>
      </c>
      <c r="BW1" s="469" t="str">
        <f>MID(productionProcess,2,1)</f>
        <v>0</v>
      </c>
      <c r="BX1" s="469" t="str">
        <f>MID(productionProcess,1,1)</f>
        <v>0</v>
      </c>
      <c r="BY1" s="470" t="s">
        <v>578</v>
      </c>
      <c r="BZ1" t="s">
        <v>575</v>
      </c>
    </row>
    <row r="2" spans="1:78" ht="13.5" customHeight="1" x14ac:dyDescent="0.25">
      <c r="A2" s="540"/>
      <c r="B2" s="541"/>
      <c r="C2" s="541"/>
      <c r="D2" s="541"/>
      <c r="E2" s="541"/>
      <c r="F2" s="541"/>
      <c r="G2" s="541"/>
      <c r="H2" s="541"/>
      <c r="I2" s="541"/>
      <c r="J2" s="541"/>
      <c r="K2" s="541"/>
      <c r="L2" s="542"/>
      <c r="M2" s="555"/>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6"/>
      <c r="AT2" s="557"/>
      <c r="AU2" s="569"/>
      <c r="AV2" s="569"/>
      <c r="AW2" s="569"/>
      <c r="AX2" s="569"/>
      <c r="AY2" s="569"/>
      <c r="AZ2" s="569"/>
      <c r="BA2" s="569"/>
      <c r="BB2" s="569"/>
      <c r="BC2" s="569"/>
      <c r="BD2" s="569"/>
      <c r="BE2" s="569"/>
      <c r="BF2" s="569"/>
      <c r="BG2" s="569"/>
      <c r="BI2" s="21"/>
      <c r="BJ2" s="21"/>
      <c r="BK2" s="21"/>
      <c r="BL2" s="21"/>
      <c r="BM2" s="467"/>
      <c r="BN2" s="464"/>
      <c r="BO2" s="464"/>
      <c r="BP2" s="464"/>
      <c r="BQ2" s="464"/>
      <c r="BR2" s="464"/>
      <c r="BS2" s="464" t="str">
        <f>RIGHT(inspectionProcess,LEN(inspectionProcess)-FIND("-",inspectionProcess))</f>
        <v/>
      </c>
      <c r="BT2" s="464" t="str">
        <f>MID(inspectionProcess,5,1)</f>
        <v>0</v>
      </c>
      <c r="BU2" s="464" t="str">
        <f>MID(inspectionProcess,4,1)</f>
        <v>0</v>
      </c>
      <c r="BV2" s="464" t="str">
        <f>MID(inspectionProcess,3,1)</f>
        <v>0</v>
      </c>
      <c r="BW2" s="464" t="str">
        <f>MID(inspectionProcess,2,1)</f>
        <v>0</v>
      </c>
      <c r="BX2" s="464" t="str">
        <f>MID(inspectionProcess,1,1)</f>
        <v>0</v>
      </c>
      <c r="BY2" s="471" t="s">
        <v>580</v>
      </c>
      <c r="BZ2" t="s">
        <v>576</v>
      </c>
    </row>
    <row r="3" spans="1:78" ht="13.5" customHeight="1" x14ac:dyDescent="0.25">
      <c r="A3" s="540"/>
      <c r="B3" s="541"/>
      <c r="C3" s="541"/>
      <c r="D3" s="541"/>
      <c r="E3" s="541"/>
      <c r="F3" s="541"/>
      <c r="G3" s="541"/>
      <c r="H3" s="541"/>
      <c r="I3" s="541"/>
      <c r="J3" s="541"/>
      <c r="K3" s="541"/>
      <c r="L3" s="542"/>
      <c r="M3" s="555"/>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556"/>
      <c r="AO3" s="556"/>
      <c r="AP3" s="556"/>
      <c r="AQ3" s="556"/>
      <c r="AR3" s="556"/>
      <c r="AS3" s="556"/>
      <c r="AT3" s="557"/>
      <c r="AU3" s="634" t="s">
        <v>225</v>
      </c>
      <c r="AV3" s="634"/>
      <c r="AW3" s="634"/>
      <c r="AX3" s="634"/>
      <c r="AY3" s="634"/>
      <c r="AZ3" s="634"/>
      <c r="BA3" s="634"/>
      <c r="BB3" s="634"/>
      <c r="BC3" s="634"/>
      <c r="BD3" s="634"/>
      <c r="BE3" s="634"/>
      <c r="BF3" s="634"/>
      <c r="BG3" s="634"/>
      <c r="BI3" s="21"/>
      <c r="BJ3" s="21"/>
      <c r="BK3" s="21"/>
      <c r="BL3" s="21"/>
      <c r="BM3" s="467"/>
      <c r="BN3" s="618"/>
      <c r="BO3" s="618"/>
      <c r="BP3" s="464"/>
      <c r="BQ3" s="464"/>
      <c r="BR3" s="472" t="b">
        <f>IF(BW3="2",TRUE,FALSE)</f>
        <v>0</v>
      </c>
      <c r="BS3" s="473" t="b">
        <f>IF(BW3="1",TRUE,FALSE)</f>
        <v>1</v>
      </c>
      <c r="BT3" s="472" t="b">
        <f>IF(BX3="3",TRUE,FALSE)</f>
        <v>1</v>
      </c>
      <c r="BU3" s="281" t="b">
        <f>IF(BX3="2",TRUE,FALSE)</f>
        <v>0</v>
      </c>
      <c r="BV3" s="473" t="b">
        <f>IF(BX3="1",TRUE,FALSE)</f>
        <v>0</v>
      </c>
      <c r="BW3" s="464" t="str">
        <f>MID(orderTypeCode,2,1)</f>
        <v>1</v>
      </c>
      <c r="BX3" s="464" t="str">
        <f>MID(orderTypeCode,1,1)</f>
        <v>3</v>
      </c>
      <c r="BY3" s="471" t="s">
        <v>579</v>
      </c>
      <c r="BZ3" t="s">
        <v>577</v>
      </c>
    </row>
    <row r="4" spans="1:78" ht="13.5" customHeight="1" x14ac:dyDescent="0.25">
      <c r="A4" s="543"/>
      <c r="B4" s="544"/>
      <c r="C4" s="544"/>
      <c r="D4" s="544"/>
      <c r="E4" s="544"/>
      <c r="F4" s="544"/>
      <c r="G4" s="544"/>
      <c r="H4" s="544"/>
      <c r="I4" s="544"/>
      <c r="J4" s="544"/>
      <c r="K4" s="544"/>
      <c r="L4" s="545"/>
      <c r="M4" s="558"/>
      <c r="N4" s="559"/>
      <c r="O4" s="559"/>
      <c r="P4" s="559"/>
      <c r="Q4" s="559"/>
      <c r="R4" s="559"/>
      <c r="S4" s="559"/>
      <c r="T4" s="559"/>
      <c r="U4" s="559"/>
      <c r="V4" s="559"/>
      <c r="W4" s="559"/>
      <c r="X4" s="559"/>
      <c r="Y4" s="559"/>
      <c r="Z4" s="559"/>
      <c r="AA4" s="559"/>
      <c r="AB4" s="559"/>
      <c r="AC4" s="559"/>
      <c r="AD4" s="559"/>
      <c r="AE4" s="559"/>
      <c r="AF4" s="559"/>
      <c r="AG4" s="559"/>
      <c r="AH4" s="559"/>
      <c r="AI4" s="559"/>
      <c r="AJ4" s="559"/>
      <c r="AK4" s="559"/>
      <c r="AL4" s="559"/>
      <c r="AM4" s="559"/>
      <c r="AN4" s="559"/>
      <c r="AO4" s="559"/>
      <c r="AP4" s="559"/>
      <c r="AQ4" s="559"/>
      <c r="AR4" s="559"/>
      <c r="AS4" s="559"/>
      <c r="AT4" s="560"/>
      <c r="AU4" s="634"/>
      <c r="AV4" s="634"/>
      <c r="AW4" s="634"/>
      <c r="AX4" s="634"/>
      <c r="AY4" s="634"/>
      <c r="AZ4" s="634"/>
      <c r="BA4" s="634"/>
      <c r="BB4" s="634"/>
      <c r="BC4" s="634"/>
      <c r="BD4" s="634"/>
      <c r="BE4" s="634"/>
      <c r="BF4" s="634"/>
      <c r="BG4" s="634"/>
      <c r="BI4" s="21"/>
      <c r="BJ4" s="21"/>
      <c r="BK4" s="21"/>
      <c r="BL4" s="21"/>
      <c r="BM4" s="465"/>
      <c r="BN4" s="463"/>
      <c r="BO4" s="157"/>
      <c r="BP4" s="526"/>
      <c r="BQ4" s="464"/>
      <c r="BR4" s="464"/>
      <c r="BS4" s="464"/>
      <c r="BT4" s="464"/>
      <c r="BU4" s="464"/>
      <c r="BV4" s="464"/>
      <c r="BW4" s="464"/>
      <c r="BX4" s="464"/>
      <c r="BY4" s="471"/>
    </row>
    <row r="5" spans="1:78" ht="6.75" customHeight="1" x14ac:dyDescent="0.7">
      <c r="A5" s="6">
        <v>1</v>
      </c>
      <c r="B5" s="6">
        <v>2</v>
      </c>
      <c r="C5" s="6">
        <v>3</v>
      </c>
      <c r="D5" s="6">
        <v>4</v>
      </c>
      <c r="E5" s="6">
        <v>5</v>
      </c>
      <c r="F5" s="6">
        <v>6</v>
      </c>
      <c r="G5" s="6">
        <v>7</v>
      </c>
      <c r="H5" s="6">
        <v>8</v>
      </c>
      <c r="I5" s="6">
        <v>9</v>
      </c>
      <c r="J5" s="6">
        <v>10</v>
      </c>
      <c r="K5" s="6">
        <v>11</v>
      </c>
      <c r="L5" s="6">
        <v>12</v>
      </c>
      <c r="M5" s="6">
        <v>13</v>
      </c>
      <c r="N5" s="6">
        <v>14</v>
      </c>
      <c r="O5" s="6">
        <v>15</v>
      </c>
      <c r="P5" s="6">
        <v>16</v>
      </c>
      <c r="Q5" s="6">
        <v>17</v>
      </c>
      <c r="R5" s="6">
        <v>18</v>
      </c>
      <c r="S5" s="6">
        <v>19</v>
      </c>
      <c r="T5" s="6">
        <v>20</v>
      </c>
      <c r="U5" s="6">
        <v>21</v>
      </c>
      <c r="V5" s="6">
        <v>22</v>
      </c>
      <c r="W5" s="6">
        <v>23</v>
      </c>
      <c r="X5" s="6">
        <v>24</v>
      </c>
      <c r="Y5" s="6">
        <v>25</v>
      </c>
      <c r="Z5" s="6">
        <v>26</v>
      </c>
      <c r="AA5" s="6">
        <v>27</v>
      </c>
      <c r="AB5" s="6">
        <v>28</v>
      </c>
      <c r="AC5" s="6">
        <v>29</v>
      </c>
      <c r="AD5" s="6">
        <v>30</v>
      </c>
      <c r="AE5" s="6">
        <v>31</v>
      </c>
      <c r="AF5" s="6">
        <v>32</v>
      </c>
      <c r="AG5" s="6">
        <v>33</v>
      </c>
      <c r="AH5" s="6">
        <v>34</v>
      </c>
      <c r="AI5" s="6">
        <v>35</v>
      </c>
      <c r="AJ5" s="6">
        <v>36</v>
      </c>
      <c r="AK5" s="6">
        <v>37</v>
      </c>
      <c r="AL5" s="6">
        <v>38</v>
      </c>
      <c r="AM5" s="6">
        <v>39</v>
      </c>
      <c r="AN5" s="6">
        <v>40</v>
      </c>
      <c r="AO5" s="6">
        <v>41</v>
      </c>
      <c r="AP5" s="6">
        <v>42</v>
      </c>
      <c r="AQ5" s="6">
        <v>43</v>
      </c>
      <c r="AR5" s="6">
        <v>44</v>
      </c>
      <c r="AS5" s="6">
        <v>45</v>
      </c>
      <c r="AT5" s="6">
        <v>46</v>
      </c>
      <c r="AU5" s="7"/>
      <c r="AV5" s="62"/>
      <c r="AW5" s="7"/>
      <c r="AX5" s="7"/>
      <c r="AY5" s="7"/>
      <c r="AZ5" s="7"/>
      <c r="BA5" s="7"/>
      <c r="BB5" s="7"/>
      <c r="BC5" s="7"/>
      <c r="BD5" s="7"/>
      <c r="BE5" s="7"/>
      <c r="BF5" s="7"/>
      <c r="BG5" s="7"/>
      <c r="BI5" s="21"/>
      <c r="BJ5" s="21"/>
      <c r="BK5" s="21"/>
      <c r="BL5" s="21"/>
      <c r="BM5" s="465"/>
      <c r="BN5" s="463"/>
      <c r="BO5" s="468"/>
      <c r="BP5" s="526"/>
      <c r="BQ5" s="464"/>
      <c r="BR5" s="464"/>
      <c r="BS5" s="464"/>
      <c r="BT5" s="464"/>
      <c r="BU5" s="464"/>
      <c r="BV5" s="464"/>
      <c r="BW5" s="464"/>
      <c r="BX5" s="464"/>
      <c r="BY5" s="471"/>
    </row>
    <row r="6" spans="1:78" ht="16.5" customHeight="1" x14ac:dyDescent="0.25">
      <c r="A6" s="527" t="s">
        <v>235</v>
      </c>
      <c r="B6" s="528"/>
      <c r="C6" s="528"/>
      <c r="D6" s="528"/>
      <c r="E6" s="528"/>
      <c r="F6" s="528"/>
      <c r="G6" s="528"/>
      <c r="H6" s="528"/>
      <c r="I6" s="604" t="str">
        <f>'ورود اطلاعات'!D5</f>
        <v>Y25-LSD1</v>
      </c>
      <c r="J6" s="604"/>
      <c r="K6" s="604"/>
      <c r="L6" s="604"/>
      <c r="M6" s="604"/>
      <c r="N6" s="604"/>
      <c r="O6" s="604"/>
      <c r="P6" s="604"/>
      <c r="Q6" s="604"/>
      <c r="R6" s="604"/>
      <c r="S6" s="604"/>
      <c r="T6" s="604"/>
      <c r="U6" s="604"/>
      <c r="V6" s="604"/>
      <c r="W6" s="604"/>
      <c r="X6" s="547" t="s">
        <v>582</v>
      </c>
      <c r="Y6" s="536"/>
      <c r="Z6" s="536"/>
      <c r="AA6" s="536"/>
      <c r="AB6" s="536"/>
      <c r="AC6" s="548" t="str">
        <f>'ورود اطلاعات'!D3</f>
        <v>آروین تبریز</v>
      </c>
      <c r="AD6" s="548"/>
      <c r="AE6" s="548"/>
      <c r="AF6" s="548"/>
      <c r="AG6" s="548"/>
      <c r="AH6" s="548"/>
      <c r="AI6" s="548"/>
      <c r="AJ6" s="548"/>
      <c r="AK6" s="548"/>
      <c r="AL6" s="548"/>
      <c r="AM6" s="548"/>
      <c r="AN6" s="548"/>
      <c r="AO6" s="548"/>
      <c r="AP6" s="548"/>
      <c r="AQ6" s="548"/>
      <c r="AR6" s="548"/>
      <c r="AS6" s="548"/>
      <c r="AT6" s="549"/>
      <c r="AU6" s="547" t="s">
        <v>214</v>
      </c>
      <c r="AV6" s="536"/>
      <c r="AW6" s="536"/>
      <c r="AX6" s="536"/>
      <c r="AY6" s="536"/>
      <c r="AZ6" s="536">
        <f>'ورود اطلاعات'!D8</f>
        <v>1200</v>
      </c>
      <c r="BA6" s="536"/>
      <c r="BB6" s="550" t="s">
        <v>156</v>
      </c>
      <c r="BC6" s="550"/>
      <c r="BD6" s="550"/>
      <c r="BE6" s="550"/>
      <c r="BF6" s="550"/>
      <c r="BG6" s="551"/>
      <c r="BI6" s="21"/>
      <c r="BJ6" s="21"/>
      <c r="BK6" s="21"/>
      <c r="BL6" s="21"/>
      <c r="BM6" s="759" t="s">
        <v>581</v>
      </c>
      <c r="BN6" s="760"/>
      <c r="BO6" s="760"/>
      <c r="BP6" s="760"/>
      <c r="BQ6" s="760"/>
      <c r="BR6" s="760"/>
      <c r="BS6" s="760"/>
      <c r="BT6" s="760"/>
      <c r="BU6" s="760"/>
      <c r="BV6" s="760"/>
      <c r="BW6" s="760"/>
      <c r="BX6" s="760"/>
      <c r="BY6" s="761"/>
    </row>
    <row r="7" spans="1:78" ht="16.5" customHeight="1" x14ac:dyDescent="0.25">
      <c r="A7" s="529" t="s">
        <v>236</v>
      </c>
      <c r="B7" s="530"/>
      <c r="C7" s="530"/>
      <c r="D7" s="530"/>
      <c r="E7" s="530"/>
      <c r="F7" s="530"/>
      <c r="G7" s="530"/>
      <c r="H7" s="530"/>
      <c r="I7" s="604">
        <f>'ورود اطلاعات'!D15</f>
        <v>0</v>
      </c>
      <c r="J7" s="604"/>
      <c r="K7" s="604"/>
      <c r="L7" s="604"/>
      <c r="M7" s="604"/>
      <c r="N7" s="604"/>
      <c r="O7" s="604"/>
      <c r="P7" s="604"/>
      <c r="Q7" s="604"/>
      <c r="R7" s="604"/>
      <c r="S7" s="604"/>
      <c r="T7" s="604"/>
      <c r="U7" s="604"/>
      <c r="V7" s="604"/>
      <c r="W7" s="758"/>
      <c r="X7" s="547" t="s">
        <v>583</v>
      </c>
      <c r="Y7" s="536"/>
      <c r="Z7" s="536"/>
      <c r="AA7" s="536"/>
      <c r="AB7" s="536"/>
      <c r="AC7" s="548" t="str">
        <f>'ورود اطلاعات'!D4</f>
        <v>ندارد</v>
      </c>
      <c r="AD7" s="548"/>
      <c r="AE7" s="548"/>
      <c r="AF7" s="548"/>
      <c r="AG7" s="548"/>
      <c r="AH7" s="548"/>
      <c r="AI7" s="548"/>
      <c r="AJ7" s="548"/>
      <c r="AK7" s="548"/>
      <c r="AL7" s="548"/>
      <c r="AM7" s="548"/>
      <c r="AN7" s="548"/>
      <c r="AO7" s="548"/>
      <c r="AP7" s="548"/>
      <c r="AQ7" s="548"/>
      <c r="AR7" s="548"/>
      <c r="AS7" s="548"/>
      <c r="AT7" s="549"/>
      <c r="AU7" s="527" t="s">
        <v>603</v>
      </c>
      <c r="AV7" s="528"/>
      <c r="AW7" s="528"/>
      <c r="AX7" s="528"/>
      <c r="AY7" s="528"/>
      <c r="AZ7" s="534" t="str">
        <f>'ورود اطلاعات'!D10</f>
        <v>Din 15800</v>
      </c>
      <c r="BA7" s="534"/>
      <c r="BB7" s="534"/>
      <c r="BC7" s="534"/>
      <c r="BD7" s="534"/>
      <c r="BE7" s="534"/>
      <c r="BF7" s="534"/>
      <c r="BG7" s="565"/>
      <c r="BI7" s="21"/>
      <c r="BJ7" s="21"/>
      <c r="BK7" s="21"/>
      <c r="BL7" s="21"/>
      <c r="BM7" s="759"/>
      <c r="BN7" s="760"/>
      <c r="BO7" s="760"/>
      <c r="BP7" s="760"/>
      <c r="BQ7" s="760"/>
      <c r="BR7" s="760"/>
      <c r="BS7" s="760"/>
      <c r="BT7" s="760"/>
      <c r="BU7" s="760"/>
      <c r="BV7" s="760"/>
      <c r="BW7" s="760"/>
      <c r="BX7" s="760"/>
      <c r="BY7" s="761"/>
    </row>
    <row r="8" spans="1:78" ht="18" customHeight="1" x14ac:dyDescent="0.25">
      <c r="A8" s="547" t="s">
        <v>212</v>
      </c>
      <c r="B8" s="536"/>
      <c r="C8" s="536"/>
      <c r="D8" s="536"/>
      <c r="E8" s="536"/>
      <c r="F8" s="536"/>
      <c r="G8" s="536"/>
      <c r="H8" s="528" t="str">
        <f>'ورود اطلاعات'!D12</f>
        <v>کد قطعه</v>
      </c>
      <c r="I8" s="528"/>
      <c r="J8" s="528"/>
      <c r="K8" s="528"/>
      <c r="L8" s="528"/>
      <c r="M8" s="528"/>
      <c r="N8" s="528"/>
      <c r="O8" s="528"/>
      <c r="P8" s="528"/>
      <c r="Q8" s="528"/>
      <c r="R8" s="528"/>
      <c r="S8" s="528"/>
      <c r="T8" s="528"/>
      <c r="U8" s="528"/>
      <c r="V8" s="528"/>
      <c r="W8" s="528"/>
      <c r="X8" s="547" t="s">
        <v>342</v>
      </c>
      <c r="Y8" s="536"/>
      <c r="Z8" s="536"/>
      <c r="AA8" s="536"/>
      <c r="AB8" s="536"/>
      <c r="AC8" s="585" t="str">
        <f>IF('ورود اطلاعات'!D16="","",'ورود اطلاعات'!D16)</f>
        <v/>
      </c>
      <c r="AD8" s="585"/>
      <c r="AE8" s="585"/>
      <c r="AF8" s="585"/>
      <c r="AG8" s="585"/>
      <c r="AH8" s="585"/>
      <c r="AI8" s="585"/>
      <c r="AJ8" s="585"/>
      <c r="AK8" s="585"/>
      <c r="AL8" s="585"/>
      <c r="AM8" s="585"/>
      <c r="AN8" s="585"/>
      <c r="AO8" s="585"/>
      <c r="AP8" s="585"/>
      <c r="AQ8" s="585"/>
      <c r="AR8" s="585"/>
      <c r="AS8" s="585"/>
      <c r="AT8" s="586"/>
      <c r="AU8" s="613" t="s">
        <v>213</v>
      </c>
      <c r="AV8" s="614"/>
      <c r="AW8" s="614"/>
      <c r="AX8" s="614"/>
      <c r="AY8" s="614"/>
      <c r="AZ8" s="607"/>
      <c r="BA8" s="607"/>
      <c r="BB8" s="607"/>
      <c r="BC8" s="607"/>
      <c r="BD8" s="607"/>
      <c r="BE8" s="607"/>
      <c r="BF8" s="607"/>
      <c r="BG8" s="608"/>
      <c r="BH8" s="333" t="str">
        <f>IF(AC8="","","a")</f>
        <v/>
      </c>
      <c r="BI8" s="21"/>
      <c r="BJ8" s="21"/>
      <c r="BK8" s="21"/>
      <c r="BL8" s="21"/>
      <c r="BM8" s="759"/>
      <c r="BN8" s="760"/>
      <c r="BO8" s="760"/>
      <c r="BP8" s="760"/>
      <c r="BQ8" s="760"/>
      <c r="BR8" s="760"/>
      <c r="BS8" s="760"/>
      <c r="BT8" s="760"/>
      <c r="BU8" s="760"/>
      <c r="BV8" s="760"/>
      <c r="BW8" s="760"/>
      <c r="BX8" s="760"/>
      <c r="BY8" s="761"/>
    </row>
    <row r="9" spans="1:78" ht="18" customHeight="1" x14ac:dyDescent="0.25">
      <c r="A9" s="197" t="s">
        <v>211</v>
      </c>
      <c r="B9" s="196"/>
      <c r="C9" s="196"/>
      <c r="D9" s="196"/>
      <c r="E9" s="196"/>
      <c r="F9" s="196"/>
      <c r="G9" s="196"/>
      <c r="H9" s="534" t="str">
        <f>'ورود اطلاعات'!D7</f>
        <v>0318.000000.0008</v>
      </c>
      <c r="I9" s="534"/>
      <c r="J9" s="534"/>
      <c r="K9" s="534"/>
      <c r="L9" s="534"/>
      <c r="M9" s="534"/>
      <c r="N9" s="534"/>
      <c r="O9" s="534"/>
      <c r="P9" s="534"/>
      <c r="Q9" s="534"/>
      <c r="R9" s="534"/>
      <c r="S9" s="534"/>
      <c r="T9" s="534"/>
      <c r="U9" s="534"/>
      <c r="V9" s="534"/>
      <c r="W9" s="534"/>
      <c r="X9" s="535" t="s">
        <v>243</v>
      </c>
      <c r="Y9" s="536"/>
      <c r="Z9" s="536"/>
      <c r="AA9" s="536"/>
      <c r="AB9" s="536"/>
      <c r="AC9" s="528" t="s">
        <v>244</v>
      </c>
      <c r="AD9" s="528"/>
      <c r="AE9" s="528"/>
      <c r="AF9" s="528"/>
      <c r="AG9" s="528"/>
      <c r="AH9" s="528"/>
      <c r="AI9" s="528"/>
      <c r="AJ9" s="528"/>
      <c r="AK9" s="528"/>
      <c r="AL9" s="528" t="s">
        <v>245</v>
      </c>
      <c r="AM9" s="528"/>
      <c r="AN9" s="528"/>
      <c r="AO9" s="528"/>
      <c r="AP9" s="528"/>
      <c r="AQ9" s="528"/>
      <c r="AR9" s="528"/>
      <c r="AS9" s="528"/>
      <c r="AT9" s="528"/>
      <c r="AU9" s="527" t="s">
        <v>154</v>
      </c>
      <c r="AV9" s="528"/>
      <c r="AW9" s="528"/>
      <c r="AX9" s="528"/>
      <c r="AY9" s="528"/>
      <c r="AZ9" s="611">
        <f>'ورود اطلاعات'!D9</f>
        <v>981225</v>
      </c>
      <c r="BA9" s="611"/>
      <c r="BB9" s="611"/>
      <c r="BC9" s="611"/>
      <c r="BD9" s="611"/>
      <c r="BE9" s="611"/>
      <c r="BF9" s="611"/>
      <c r="BG9" s="612"/>
      <c r="BI9" s="21"/>
      <c r="BJ9" s="21"/>
      <c r="BK9" s="21"/>
      <c r="BL9" s="21"/>
      <c r="BM9" s="759"/>
      <c r="BN9" s="760"/>
      <c r="BO9" s="760"/>
      <c r="BP9" s="760"/>
      <c r="BQ9" s="760"/>
      <c r="BR9" s="760"/>
      <c r="BS9" s="760"/>
      <c r="BT9" s="760"/>
      <c r="BU9" s="760"/>
      <c r="BV9" s="760"/>
      <c r="BW9" s="760"/>
      <c r="BX9" s="760"/>
      <c r="BY9" s="761"/>
    </row>
    <row r="10" spans="1:78" s="21" customFormat="1" ht="6.75" customHeight="1" x14ac:dyDescent="0.25">
      <c r="A10" s="188"/>
      <c r="B10" s="188"/>
      <c r="C10" s="188"/>
      <c r="D10" s="188"/>
      <c r="E10" s="187"/>
      <c r="F10" s="187"/>
      <c r="G10" s="187"/>
      <c r="H10" s="189"/>
      <c r="I10" s="189"/>
      <c r="J10" s="189"/>
      <c r="K10" s="189"/>
      <c r="L10" s="189"/>
      <c r="M10" s="189"/>
      <c r="N10" s="189"/>
      <c r="O10" s="189"/>
      <c r="P10" s="189"/>
      <c r="Q10" s="189"/>
      <c r="R10" s="189"/>
      <c r="S10" s="189"/>
      <c r="T10" s="188"/>
      <c r="U10" s="188"/>
      <c r="V10" s="188"/>
      <c r="W10" s="188"/>
      <c r="X10" s="188"/>
      <c r="Y10" s="188"/>
      <c r="Z10" s="188"/>
      <c r="AA10" s="190"/>
      <c r="AB10" s="190"/>
      <c r="AC10" s="190"/>
      <c r="AD10" s="190"/>
      <c r="AE10" s="190"/>
      <c r="AF10" s="190"/>
      <c r="AG10" s="190"/>
      <c r="AH10" s="190"/>
      <c r="AI10" s="190"/>
      <c r="AJ10" s="190"/>
      <c r="AK10" s="190"/>
      <c r="AL10" s="190"/>
      <c r="AM10" s="188"/>
      <c r="AN10" s="188"/>
      <c r="AO10" s="188"/>
      <c r="AP10" s="188"/>
      <c r="AQ10" s="188"/>
      <c r="AR10" s="188"/>
      <c r="AS10" s="190"/>
      <c r="AT10" s="190"/>
      <c r="AU10" s="190"/>
      <c r="AV10" s="190"/>
      <c r="AW10" s="190"/>
      <c r="AX10" s="190"/>
      <c r="AY10" s="190"/>
      <c r="AZ10" s="190"/>
      <c r="BA10" s="190"/>
      <c r="BB10" s="190"/>
      <c r="BC10" s="190"/>
      <c r="BD10" s="190"/>
      <c r="BE10" s="190"/>
      <c r="BF10" s="190"/>
      <c r="BG10" s="190"/>
      <c r="BM10" s="759"/>
      <c r="BN10" s="760"/>
      <c r="BO10" s="760"/>
      <c r="BP10" s="760"/>
      <c r="BQ10" s="760"/>
      <c r="BR10" s="760"/>
      <c r="BS10" s="760"/>
      <c r="BT10" s="760"/>
      <c r="BU10" s="760"/>
      <c r="BV10" s="760"/>
      <c r="BW10" s="760"/>
      <c r="BX10" s="760"/>
      <c r="BY10" s="761"/>
    </row>
    <row r="11" spans="1:78" ht="19.5" customHeight="1" x14ac:dyDescent="0.25">
      <c r="A11" s="563" t="s">
        <v>196</v>
      </c>
      <c r="B11" s="563"/>
      <c r="C11" s="563"/>
      <c r="D11" s="563"/>
      <c r="E11" s="563"/>
      <c r="F11" s="563"/>
      <c r="G11" s="563"/>
      <c r="H11" s="563"/>
      <c r="I11" s="563"/>
      <c r="J11" s="563"/>
      <c r="K11" s="563"/>
      <c r="L11" s="563"/>
      <c r="M11" s="563"/>
      <c r="N11" s="563"/>
      <c r="O11" s="563"/>
      <c r="P11" s="563"/>
      <c r="Q11" s="563"/>
      <c r="R11" s="563"/>
      <c r="S11" s="563"/>
      <c r="T11" s="563" t="s">
        <v>197</v>
      </c>
      <c r="U11" s="563"/>
      <c r="V11" s="563"/>
      <c r="W11" s="563"/>
      <c r="X11" s="563"/>
      <c r="Y11" s="563"/>
      <c r="Z11" s="563"/>
      <c r="AA11" s="563"/>
      <c r="AB11" s="563"/>
      <c r="AC11" s="563"/>
      <c r="AD11" s="563"/>
      <c r="AE11" s="563"/>
      <c r="AF11" s="563"/>
      <c r="AG11" s="563"/>
      <c r="AH11" s="563"/>
      <c r="AI11" s="563"/>
      <c r="AJ11" s="563"/>
      <c r="AK11" s="563"/>
      <c r="AL11" s="563"/>
      <c r="AM11" s="563" t="s">
        <v>198</v>
      </c>
      <c r="AN11" s="563"/>
      <c r="AO11" s="563"/>
      <c r="AP11" s="563"/>
      <c r="AQ11" s="563"/>
      <c r="AR11" s="563"/>
      <c r="AS11" s="563"/>
      <c r="AT11" s="563"/>
      <c r="AU11" s="563"/>
      <c r="AV11" s="563"/>
      <c r="AW11" s="563"/>
      <c r="AX11" s="563"/>
      <c r="AY11" s="563"/>
      <c r="AZ11" s="563"/>
      <c r="BA11" s="563"/>
      <c r="BB11" s="563"/>
      <c r="BC11" s="563"/>
      <c r="BD11" s="563"/>
      <c r="BE11" s="563"/>
      <c r="BF11" s="563"/>
      <c r="BG11" s="563"/>
      <c r="BI11" s="21"/>
      <c r="BJ11" s="21"/>
      <c r="BK11" s="21"/>
      <c r="BL11" s="21"/>
      <c r="BM11" s="759"/>
      <c r="BN11" s="760"/>
      <c r="BO11" s="760"/>
      <c r="BP11" s="760"/>
      <c r="BQ11" s="760"/>
      <c r="BR11" s="760"/>
      <c r="BS11" s="760"/>
      <c r="BT11" s="760"/>
      <c r="BU11" s="760"/>
      <c r="BV11" s="760"/>
      <c r="BW11" s="760"/>
      <c r="BX11" s="760"/>
      <c r="BY11" s="761"/>
    </row>
    <row r="12" spans="1:78" ht="6.75" customHeight="1" x14ac:dyDescent="0.25">
      <c r="A12" s="18"/>
      <c r="B12" s="18"/>
      <c r="C12" s="18"/>
      <c r="D12" s="18"/>
      <c r="E12" s="18"/>
      <c r="F12" s="18"/>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I12" s="21"/>
      <c r="BJ12" s="21"/>
      <c r="BK12" s="21"/>
      <c r="BL12" s="21"/>
      <c r="BM12" s="759"/>
      <c r="BN12" s="760"/>
      <c r="BO12" s="760"/>
      <c r="BP12" s="760"/>
      <c r="BQ12" s="760"/>
      <c r="BR12" s="760"/>
      <c r="BS12" s="760"/>
      <c r="BT12" s="760"/>
      <c r="BU12" s="760"/>
      <c r="BV12" s="760"/>
      <c r="BW12" s="760"/>
      <c r="BX12" s="760"/>
      <c r="BY12" s="761"/>
    </row>
    <row r="13" spans="1:78" ht="18.75" customHeight="1" thickBot="1" x14ac:dyDescent="0.3">
      <c r="A13" s="527" t="s">
        <v>215</v>
      </c>
      <c r="B13" s="528"/>
      <c r="C13" s="528"/>
      <c r="D13" s="528"/>
      <c r="E13" s="528"/>
      <c r="F13" s="528"/>
      <c r="G13" s="530" t="s">
        <v>216</v>
      </c>
      <c r="H13" s="530"/>
      <c r="I13" s="530"/>
      <c r="J13" s="530"/>
      <c r="K13" s="530"/>
      <c r="L13" s="530"/>
      <c r="M13" s="530" t="s">
        <v>217</v>
      </c>
      <c r="N13" s="530"/>
      <c r="O13" s="530"/>
      <c r="P13" s="530"/>
      <c r="Q13" s="530"/>
      <c r="R13" s="530"/>
      <c r="S13" s="530" t="s">
        <v>131</v>
      </c>
      <c r="T13" s="530"/>
      <c r="U13" s="530"/>
      <c r="V13" s="530"/>
      <c r="W13" s="530"/>
      <c r="X13" s="530" t="s">
        <v>218</v>
      </c>
      <c r="Y13" s="530"/>
      <c r="Z13" s="530"/>
      <c r="AA13" s="530"/>
      <c r="AB13" s="530"/>
      <c r="AC13" s="530" t="s">
        <v>219</v>
      </c>
      <c r="AD13" s="530"/>
      <c r="AE13" s="530"/>
      <c r="AF13" s="530"/>
      <c r="AG13" s="530"/>
      <c r="AH13" s="530" t="s">
        <v>65</v>
      </c>
      <c r="AI13" s="530"/>
      <c r="AJ13" s="530"/>
      <c r="AK13" s="530"/>
      <c r="AL13" s="530"/>
      <c r="AM13" s="530" t="s">
        <v>133</v>
      </c>
      <c r="AN13" s="530"/>
      <c r="AO13" s="530"/>
      <c r="AP13" s="530"/>
      <c r="AQ13" s="530"/>
      <c r="AR13" s="530" t="s">
        <v>220</v>
      </c>
      <c r="AS13" s="530"/>
      <c r="AT13" s="530"/>
      <c r="AU13" s="530"/>
      <c r="AV13" s="530"/>
      <c r="AW13" s="530" t="s">
        <v>373</v>
      </c>
      <c r="AX13" s="530"/>
      <c r="AY13" s="530"/>
      <c r="AZ13" s="530"/>
      <c r="BA13" s="530"/>
      <c r="BB13" s="530" t="s">
        <v>221</v>
      </c>
      <c r="BC13" s="530"/>
      <c r="BD13" s="530"/>
      <c r="BE13" s="530"/>
      <c r="BF13" s="530"/>
      <c r="BG13" s="562"/>
      <c r="BI13" s="21"/>
      <c r="BJ13" s="21"/>
      <c r="BK13" s="21"/>
      <c r="BL13" s="21"/>
      <c r="BM13" s="762"/>
      <c r="BN13" s="763"/>
      <c r="BO13" s="763"/>
      <c r="BP13" s="763"/>
      <c r="BQ13" s="763"/>
      <c r="BR13" s="763"/>
      <c r="BS13" s="763"/>
      <c r="BT13" s="763"/>
      <c r="BU13" s="763"/>
      <c r="BV13" s="763"/>
      <c r="BW13" s="763"/>
      <c r="BX13" s="763"/>
      <c r="BY13" s="764"/>
    </row>
    <row r="14" spans="1:78" ht="6.75" customHeight="1" x14ac:dyDescent="0.25">
      <c r="A14" s="155"/>
      <c r="B14" s="155"/>
      <c r="C14" s="155"/>
      <c r="D14" s="155"/>
      <c r="E14" s="155"/>
      <c r="F14" s="155"/>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530"/>
      <c r="AE14" s="530"/>
      <c r="AF14" s="530"/>
      <c r="AG14" s="530"/>
      <c r="AH14" s="30"/>
      <c r="AI14" s="30"/>
      <c r="AJ14" s="30"/>
      <c r="AK14" s="30"/>
      <c r="AL14" s="530"/>
      <c r="AM14" s="530"/>
      <c r="AN14" s="530"/>
      <c r="AO14" s="530"/>
      <c r="AP14" s="530"/>
      <c r="AQ14" s="530"/>
      <c r="AR14" s="530"/>
      <c r="AS14" s="530"/>
      <c r="AT14" s="530"/>
      <c r="AU14" s="530"/>
      <c r="AV14" s="530"/>
      <c r="AW14" s="530"/>
      <c r="AX14" s="530"/>
      <c r="AY14" s="530"/>
      <c r="AZ14" s="530"/>
      <c r="BA14" s="30"/>
      <c r="BB14" s="530"/>
      <c r="BC14" s="530"/>
      <c r="BD14" s="530"/>
      <c r="BE14" s="530"/>
      <c r="BF14" s="530"/>
      <c r="BG14" s="562"/>
      <c r="BI14" s="21"/>
      <c r="BJ14" s="21"/>
      <c r="BK14" s="21"/>
      <c r="BL14" s="21"/>
      <c r="BM14" s="158"/>
      <c r="BN14" s="160"/>
      <c r="BO14" s="124"/>
      <c r="BP14" s="21"/>
    </row>
    <row r="15" spans="1:78" ht="18.75" customHeight="1" x14ac:dyDescent="0.25">
      <c r="A15" s="527" t="s">
        <v>328</v>
      </c>
      <c r="B15" s="528"/>
      <c r="C15" s="528"/>
      <c r="D15" s="528"/>
      <c r="E15" s="528"/>
      <c r="F15" s="528"/>
      <c r="G15" s="528"/>
      <c r="H15" s="528" t="s">
        <v>329</v>
      </c>
      <c r="I15" s="528"/>
      <c r="J15" s="528"/>
      <c r="K15" s="528"/>
      <c r="L15" s="528"/>
      <c r="M15" s="528"/>
      <c r="N15" s="528"/>
      <c r="O15" s="528"/>
      <c r="P15" s="528"/>
      <c r="Q15" s="528" t="s">
        <v>330</v>
      </c>
      <c r="R15" s="528"/>
      <c r="S15" s="528"/>
      <c r="T15" s="528"/>
      <c r="U15" s="528"/>
      <c r="V15" s="528"/>
      <c r="W15" s="528"/>
      <c r="X15" s="528" t="s">
        <v>332</v>
      </c>
      <c r="Y15" s="528"/>
      <c r="Z15" s="528"/>
      <c r="AA15" s="528"/>
      <c r="AB15" s="528"/>
      <c r="AC15" s="528"/>
      <c r="AD15" s="528"/>
      <c r="AE15" s="528"/>
      <c r="AF15" s="528"/>
      <c r="AG15" s="528"/>
      <c r="AH15" s="528"/>
      <c r="AI15" s="528"/>
      <c r="AJ15" s="528" t="s">
        <v>331</v>
      </c>
      <c r="AK15" s="528"/>
      <c r="AL15" s="528"/>
      <c r="AM15" s="528"/>
      <c r="AN15" s="528"/>
      <c r="AO15" s="528"/>
      <c r="AP15" s="528"/>
      <c r="AQ15" s="528"/>
      <c r="AR15" s="528"/>
      <c r="AS15" s="528"/>
      <c r="AT15" s="528" t="s">
        <v>333</v>
      </c>
      <c r="AU15" s="528"/>
      <c r="AV15" s="528"/>
      <c r="AW15" s="528"/>
      <c r="AX15" s="528"/>
      <c r="AY15" s="528"/>
      <c r="AZ15" s="164" t="s">
        <v>334</v>
      </c>
      <c r="BA15" s="536" t="str">
        <f>BS2</f>
        <v/>
      </c>
      <c r="BB15" s="536"/>
      <c r="BC15" s="536"/>
      <c r="BD15" s="536"/>
      <c r="BE15" s="536"/>
      <c r="BF15" s="536"/>
      <c r="BG15" s="633"/>
      <c r="BI15" s="21"/>
      <c r="BJ15" s="21"/>
      <c r="BK15" s="21"/>
      <c r="BL15" s="21"/>
      <c r="BM15" s="158"/>
      <c r="BN15" s="160"/>
      <c r="BO15" s="124"/>
      <c r="BP15" s="21"/>
    </row>
    <row r="16" spans="1:78" ht="6.75" customHeight="1" x14ac:dyDescent="0.25">
      <c r="A16" s="83"/>
      <c r="B16" s="83"/>
      <c r="C16" s="83"/>
      <c r="D16" s="83"/>
      <c r="E16" s="83"/>
      <c r="F16" s="83"/>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22"/>
      <c r="AI16" s="22"/>
      <c r="AJ16" s="22"/>
      <c r="AK16" s="22"/>
      <c r="AL16" s="84"/>
      <c r="AM16" s="84"/>
      <c r="AN16" s="84"/>
      <c r="AO16" s="84"/>
      <c r="AP16" s="84"/>
      <c r="AQ16" s="84"/>
      <c r="AR16" s="84"/>
      <c r="AS16" s="84"/>
      <c r="AT16" s="84"/>
      <c r="AU16" s="84"/>
      <c r="AV16" s="84"/>
      <c r="AW16" s="84"/>
      <c r="AX16" s="84"/>
      <c r="AY16" s="84"/>
      <c r="AZ16" s="84"/>
      <c r="BA16" s="22"/>
      <c r="BB16" s="84"/>
      <c r="BC16" s="84"/>
      <c r="BD16" s="84"/>
      <c r="BE16" s="84"/>
      <c r="BF16" s="84"/>
      <c r="BG16" s="84"/>
      <c r="BI16" s="21"/>
      <c r="BJ16" s="21"/>
      <c r="BK16" s="21"/>
      <c r="BL16" s="21"/>
      <c r="BM16" s="158"/>
      <c r="BN16" s="160"/>
      <c r="BO16" s="124"/>
      <c r="BP16" s="21"/>
    </row>
    <row r="17" spans="1:68" s="125" customFormat="1" ht="16.5" customHeight="1" x14ac:dyDescent="0.25">
      <c r="A17" s="702" t="s">
        <v>106</v>
      </c>
      <c r="B17" s="702"/>
      <c r="C17" s="702"/>
      <c r="D17" s="561" t="s">
        <v>263</v>
      </c>
      <c r="E17" s="561"/>
      <c r="F17" s="561"/>
      <c r="G17" s="561" t="s">
        <v>274</v>
      </c>
      <c r="H17" s="561"/>
      <c r="I17" s="561"/>
      <c r="J17" s="561" t="s">
        <v>7</v>
      </c>
      <c r="K17" s="561"/>
      <c r="L17" s="561"/>
      <c r="M17" s="561" t="s">
        <v>264</v>
      </c>
      <c r="N17" s="561"/>
      <c r="O17" s="561"/>
      <c r="P17" s="561" t="s">
        <v>280</v>
      </c>
      <c r="Q17" s="561"/>
      <c r="R17" s="561"/>
      <c r="S17" s="561" t="s">
        <v>265</v>
      </c>
      <c r="T17" s="561"/>
      <c r="U17" s="561"/>
      <c r="V17" s="564" t="s">
        <v>282</v>
      </c>
      <c r="W17" s="564"/>
      <c r="X17" s="564"/>
      <c r="Y17" s="561" t="s">
        <v>3</v>
      </c>
      <c r="Z17" s="561"/>
      <c r="AA17" s="561"/>
      <c r="AB17" s="561" t="s">
        <v>327</v>
      </c>
      <c r="AC17" s="561"/>
      <c r="AD17" s="561"/>
      <c r="AE17" s="561" t="s">
        <v>6</v>
      </c>
      <c r="AF17" s="561"/>
      <c r="AG17" s="561"/>
      <c r="AH17" s="561" t="s">
        <v>275</v>
      </c>
      <c r="AI17" s="561"/>
      <c r="AJ17" s="561"/>
      <c r="AK17" s="561" t="s">
        <v>276</v>
      </c>
      <c r="AL17" s="561"/>
      <c r="AM17" s="561"/>
      <c r="AN17" s="561" t="s">
        <v>277</v>
      </c>
      <c r="AO17" s="561"/>
      <c r="AP17" s="561"/>
      <c r="AQ17" s="561" t="s">
        <v>278</v>
      </c>
      <c r="AR17" s="561"/>
      <c r="AS17" s="561"/>
      <c r="AT17" s="561" t="s">
        <v>279</v>
      </c>
      <c r="AU17" s="561"/>
      <c r="AV17" s="561"/>
      <c r="AW17" s="561" t="s">
        <v>289</v>
      </c>
      <c r="AX17" s="561"/>
      <c r="AY17" s="561"/>
      <c r="AZ17" s="561"/>
      <c r="BA17" s="561" t="s">
        <v>283</v>
      </c>
      <c r="BB17" s="561"/>
      <c r="BC17" s="561"/>
      <c r="BD17" s="561" t="s">
        <v>284</v>
      </c>
      <c r="BE17" s="561"/>
      <c r="BF17" s="561"/>
      <c r="BG17" s="561"/>
      <c r="BI17" s="21"/>
      <c r="BJ17" s="21"/>
      <c r="BK17" s="21"/>
      <c r="BL17" s="21"/>
      <c r="BM17" s="161"/>
      <c r="BN17" s="162"/>
      <c r="BO17" s="154"/>
      <c r="BP17" s="163"/>
    </row>
    <row r="18" spans="1:68" ht="12" customHeight="1" x14ac:dyDescent="0.25">
      <c r="A18" s="641" t="s">
        <v>268</v>
      </c>
      <c r="B18" s="641"/>
      <c r="C18" s="641"/>
      <c r="D18" s="648" t="str">
        <f>'ورود اطلاعات'!$G4</f>
        <v>پیچشی</v>
      </c>
      <c r="E18" s="648"/>
      <c r="F18" s="648"/>
      <c r="G18" s="652" t="str">
        <f>IF('ورود اطلاعات'!$G5="","",'ورود اطلاعات'!$G5)</f>
        <v>54SiCr6</v>
      </c>
      <c r="H18" s="652"/>
      <c r="I18" s="652"/>
      <c r="J18" s="621">
        <f>IF('ورود اطلاعات'!$G6="","",'ورود اطلاعات'!$G6)</f>
        <v>7</v>
      </c>
      <c r="K18" s="621"/>
      <c r="L18" s="621"/>
      <c r="M18" s="621">
        <f>IF('ورود اطلاعات'!$G7="","",'ورود اطلاعات'!$G7)</f>
        <v>194</v>
      </c>
      <c r="N18" s="621"/>
      <c r="O18" s="621"/>
      <c r="P18" s="621">
        <f>IF('ورود اطلاعات'!$G8="","",'ورود اطلاعات'!$G8)</f>
        <v>180</v>
      </c>
      <c r="Q18" s="621"/>
      <c r="R18" s="621"/>
      <c r="S18" s="629">
        <f>IF('ورود اطلاعات'!$G11="","",'ورود اطلاعات'!$G11)</f>
        <v>260</v>
      </c>
      <c r="T18" s="629"/>
      <c r="U18" s="629"/>
      <c r="V18" s="621">
        <f>IF('ورود اطلاعات'!$G9="","",'ورود اطلاعات'!$G9)</f>
        <v>5.7</v>
      </c>
      <c r="W18" s="621"/>
      <c r="X18" s="621"/>
      <c r="Y18" s="621">
        <f>IF('ورود اطلاعات'!$G10="","",'ورود اطلاعات'!$G10)</f>
        <v>4.2</v>
      </c>
      <c r="Z18" s="621"/>
      <c r="AA18" s="621"/>
      <c r="AB18" s="619" t="str">
        <f>IF('ورود اطلاعات'!$G12="","",'ورود اطلاعات'!$G12)</f>
        <v>L.H</v>
      </c>
      <c r="AC18" s="619"/>
      <c r="AD18" s="619"/>
      <c r="AE18" s="629">
        <f>IF('ورود اطلاعات'!$G13="","",ROUND('ورود اطلاعات'!$G13,2))</f>
        <v>0.87</v>
      </c>
      <c r="AF18" s="629"/>
      <c r="AG18" s="630"/>
      <c r="AH18" s="584">
        <f>IF(ISBLANK('ورود اطلاعات'!G16),"",'ورود اطلاعات'!G16)</f>
        <v>8800</v>
      </c>
      <c r="AI18" s="584"/>
      <c r="AJ18" s="584"/>
      <c r="AK18" s="584" t="str">
        <f>IF(ISBLANK('ورود اطلاعات'!G18),"",'ورود اطلاعات'!G18)</f>
        <v/>
      </c>
      <c r="AL18" s="584"/>
      <c r="AM18" s="584"/>
      <c r="AN18" s="584" t="str">
        <f>IF(ISBLANK('ورود اطلاعات'!G20),"",'ورود اطلاعات'!G20)</f>
        <v/>
      </c>
      <c r="AO18" s="584"/>
      <c r="AP18" s="584"/>
      <c r="AQ18" s="584"/>
      <c r="AR18" s="584"/>
      <c r="AS18" s="584"/>
      <c r="AT18" s="584"/>
      <c r="AU18" s="584"/>
      <c r="AV18" s="584"/>
      <c r="AW18" s="649"/>
      <c r="AX18" s="649"/>
      <c r="AY18" s="649"/>
      <c r="AZ18" s="649"/>
      <c r="BA18" s="584"/>
      <c r="BB18" s="584"/>
      <c r="BC18" s="584"/>
      <c r="BD18" s="623"/>
      <c r="BE18" s="624"/>
      <c r="BF18" s="624"/>
      <c r="BG18" s="625"/>
      <c r="BI18" s="21"/>
      <c r="BJ18" s="21"/>
      <c r="BK18" s="21"/>
      <c r="BL18" s="21"/>
      <c r="BM18" s="158"/>
      <c r="BN18" s="160"/>
      <c r="BO18" s="124"/>
      <c r="BP18" s="21"/>
    </row>
    <row r="19" spans="1:68" ht="12" customHeight="1" x14ac:dyDescent="0.25">
      <c r="A19" s="642"/>
      <c r="B19" s="642"/>
      <c r="C19" s="642"/>
      <c r="D19" s="649"/>
      <c r="E19" s="649"/>
      <c r="F19" s="649"/>
      <c r="G19" s="653"/>
      <c r="H19" s="653"/>
      <c r="I19" s="653"/>
      <c r="J19" s="622"/>
      <c r="K19" s="622"/>
      <c r="L19" s="622"/>
      <c r="M19" s="622"/>
      <c r="N19" s="622"/>
      <c r="O19" s="622"/>
      <c r="P19" s="622"/>
      <c r="Q19" s="622"/>
      <c r="R19" s="622"/>
      <c r="S19" s="631"/>
      <c r="T19" s="631"/>
      <c r="U19" s="631"/>
      <c r="V19" s="622"/>
      <c r="W19" s="622"/>
      <c r="X19" s="622"/>
      <c r="Y19" s="622"/>
      <c r="Z19" s="622"/>
      <c r="AA19" s="622"/>
      <c r="AB19" s="620"/>
      <c r="AC19" s="620"/>
      <c r="AD19" s="620"/>
      <c r="AE19" s="631"/>
      <c r="AF19" s="631"/>
      <c r="AG19" s="632"/>
      <c r="AH19" s="546">
        <f>IF(ISBLANK('ورود اطلاعات'!G17),"",'ورود اطلاعات'!G17)</f>
        <v>242.5</v>
      </c>
      <c r="AI19" s="546"/>
      <c r="AJ19" s="546"/>
      <c r="AK19" s="546" t="str">
        <f>IF(ISBLANK('ورود اطلاعات'!G19),"",'ورود اطلاعات'!G19)</f>
        <v/>
      </c>
      <c r="AL19" s="546"/>
      <c r="AM19" s="546"/>
      <c r="AN19" s="546" t="str">
        <f>IF(ISBLANK('ورود اطلاعات'!G21),"",'ورود اطلاعات'!G21)</f>
        <v/>
      </c>
      <c r="AO19" s="546"/>
      <c r="AP19" s="546"/>
      <c r="AQ19" s="546"/>
      <c r="AR19" s="546"/>
      <c r="AS19" s="546"/>
      <c r="AT19" s="546"/>
      <c r="AU19" s="546"/>
      <c r="AV19" s="546"/>
      <c r="AW19" s="771"/>
      <c r="AX19" s="771"/>
      <c r="AY19" s="771"/>
      <c r="AZ19" s="771"/>
      <c r="BA19" s="546"/>
      <c r="BB19" s="546"/>
      <c r="BC19" s="546"/>
      <c r="BD19" s="626"/>
      <c r="BE19" s="627"/>
      <c r="BF19" s="627"/>
      <c r="BG19" s="628"/>
      <c r="BI19" s="21"/>
      <c r="BJ19" s="21"/>
      <c r="BK19" s="21"/>
      <c r="BL19" s="21"/>
      <c r="BM19" s="158"/>
      <c r="BN19" s="160"/>
      <c r="BO19" s="124"/>
      <c r="BP19" s="21"/>
    </row>
    <row r="20" spans="1:68" ht="12" customHeight="1" x14ac:dyDescent="0.25">
      <c r="A20" s="654" t="s">
        <v>254</v>
      </c>
      <c r="B20" s="655"/>
      <c r="C20" s="656"/>
      <c r="D20" s="654" t="str">
        <f>IF('ورود اطلاعات'!$H4="","",'ورود اطلاعات'!$H4)</f>
        <v/>
      </c>
      <c r="E20" s="655"/>
      <c r="F20" s="656"/>
      <c r="G20" s="708" t="str">
        <f>IF('ورود اطلاعات'!$H5="","",'ورود اطلاعات'!$H5)</f>
        <v/>
      </c>
      <c r="H20" s="709"/>
      <c r="I20" s="710"/>
      <c r="J20" s="531" t="str">
        <f>IF('ورود اطلاعات'!$H6="","",'ورود اطلاعات'!$H6)</f>
        <v/>
      </c>
      <c r="K20" s="532"/>
      <c r="L20" s="533"/>
      <c r="M20" s="531" t="str">
        <f>IF('ورود اطلاعات'!$H7="","",'ورود اطلاعات'!$H7)</f>
        <v/>
      </c>
      <c r="N20" s="532"/>
      <c r="O20" s="533"/>
      <c r="P20" s="531" t="str">
        <f>IF('ورود اطلاعات'!$H8="","",'ورود اطلاعات'!$H8)</f>
        <v/>
      </c>
      <c r="Q20" s="532"/>
      <c r="R20" s="533"/>
      <c r="S20" s="531" t="str">
        <f>IF('ورود اطلاعات'!$H11="","",'ورود اطلاعات'!$H11)</f>
        <v/>
      </c>
      <c r="T20" s="532"/>
      <c r="U20" s="533"/>
      <c r="V20" s="531" t="str">
        <f>IF('ورود اطلاعات'!$H9="","",'ورود اطلاعات'!$H9)</f>
        <v/>
      </c>
      <c r="W20" s="532"/>
      <c r="X20" s="533"/>
      <c r="Y20" s="531" t="str">
        <f>IF('ورود اطلاعات'!$H10="","",'ورود اطلاعات'!$H10)</f>
        <v/>
      </c>
      <c r="Z20" s="532"/>
      <c r="AA20" s="533"/>
      <c r="AB20" s="531" t="str">
        <f>IF('ورود اطلاعات'!$H12="","",'ورود اطلاعات'!$H12)</f>
        <v/>
      </c>
      <c r="AC20" s="532"/>
      <c r="AD20" s="533"/>
      <c r="AE20" s="531" t="str">
        <f>IF('ورود اطلاعات'!$H13="","",'ورود اطلاعات'!$H13)</f>
        <v/>
      </c>
      <c r="AF20" s="532"/>
      <c r="AG20" s="533"/>
      <c r="AH20" s="531" t="str">
        <f>IF('ورود اطلاعات'!$H16="","",'ورود اطلاعات'!$H16)</f>
        <v/>
      </c>
      <c r="AI20" s="532"/>
      <c r="AJ20" s="533"/>
      <c r="AK20" s="531" t="str">
        <f>IF('ورود اطلاعات'!$H18="","",'ورود اطلاعات'!$H18)</f>
        <v/>
      </c>
      <c r="AL20" s="532"/>
      <c r="AM20" s="533"/>
      <c r="AN20" s="531" t="str">
        <f>IF('ورود اطلاعات'!$H20="","",'ورود اطلاعات'!$H20)</f>
        <v/>
      </c>
      <c r="AO20" s="532"/>
      <c r="AP20" s="533"/>
      <c r="AQ20" s="531"/>
      <c r="AR20" s="532"/>
      <c r="AS20" s="533"/>
      <c r="AT20" s="531"/>
      <c r="AU20" s="532"/>
      <c r="AV20" s="533"/>
      <c r="AW20" s="566"/>
      <c r="AX20" s="567"/>
      <c r="AY20" s="567"/>
      <c r="AZ20" s="567"/>
      <c r="BA20" s="566"/>
      <c r="BB20" s="567"/>
      <c r="BC20" s="701"/>
      <c r="BD20" s="566"/>
      <c r="BE20" s="567"/>
      <c r="BF20" s="567"/>
      <c r="BG20" s="701"/>
      <c r="BI20" s="21"/>
      <c r="BJ20" s="21"/>
      <c r="BK20" s="21"/>
      <c r="BL20" s="21"/>
      <c r="BM20" s="158"/>
      <c r="BN20" s="160"/>
      <c r="BO20" s="124"/>
      <c r="BP20" s="21"/>
    </row>
    <row r="21" spans="1:68" ht="12.75" customHeight="1" x14ac:dyDescent="0.25">
      <c r="A21" s="711" t="s">
        <v>269</v>
      </c>
      <c r="B21" s="711"/>
      <c r="C21" s="711"/>
      <c r="D21" s="650" t="str">
        <f>'ورود اطلاعات'!K4</f>
        <v>پیچشی</v>
      </c>
      <c r="E21" s="650"/>
      <c r="F21" s="650"/>
      <c r="G21" s="644" t="str">
        <f>'ورود اطلاعات'!K5</f>
        <v>54SiCr6</v>
      </c>
      <c r="H21" s="644"/>
      <c r="I21" s="644"/>
      <c r="J21" s="646">
        <f>'ورود اطلاعات'!K6</f>
        <v>7</v>
      </c>
      <c r="K21" s="646"/>
      <c r="L21" s="646"/>
      <c r="M21" s="646">
        <f>'ورود اطلاعات'!K7</f>
        <v>194</v>
      </c>
      <c r="N21" s="646"/>
      <c r="O21" s="646"/>
      <c r="P21" s="646">
        <f>IST!C13</f>
        <v>131</v>
      </c>
      <c r="Q21" s="646"/>
      <c r="R21" s="646"/>
      <c r="S21" s="599">
        <f>'ورود اطلاعات'!K11</f>
        <v>260</v>
      </c>
      <c r="T21" s="599"/>
      <c r="U21" s="599"/>
      <c r="V21" s="646">
        <f>'ورود اطلاعات'!K9</f>
        <v>5.7</v>
      </c>
      <c r="W21" s="646"/>
      <c r="X21" s="646"/>
      <c r="Y21" s="773">
        <f>'ورود اطلاعات'!K10</f>
        <v>4.2</v>
      </c>
      <c r="Z21" s="773"/>
      <c r="AA21" s="773"/>
      <c r="AB21" s="773" t="str">
        <f>'ورود اطلاعات'!K12</f>
        <v>L.H</v>
      </c>
      <c r="AC21" s="773"/>
      <c r="AD21" s="773"/>
      <c r="AE21" s="599">
        <f>ROUND(IST!C8,2)</f>
        <v>0.87</v>
      </c>
      <c r="AF21" s="599"/>
      <c r="AG21" s="600"/>
      <c r="AH21" s="571" t="str">
        <f>IF(ISBLANK('ورود اطلاعات'!L16),"",'ورود اطلاعات'!L16)</f>
        <v/>
      </c>
      <c r="AI21" s="571"/>
      <c r="AJ21" s="571"/>
      <c r="AK21" s="571" t="str">
        <f>IF(ISBLANK('ورود اطلاعات'!L18),"",'ورود اطلاعات'!L18)</f>
        <v/>
      </c>
      <c r="AL21" s="571"/>
      <c r="AM21" s="571"/>
      <c r="AN21" s="571" t="str">
        <f>IF(ISBLANK('ورود اطلاعات'!L20),"",'ورود اطلاعات'!L20)</f>
        <v/>
      </c>
      <c r="AO21" s="571"/>
      <c r="AP21" s="571"/>
      <c r="AQ21" s="593">
        <f>IST!J5</f>
        <v>269.68727481885861</v>
      </c>
      <c r="AR21" s="594"/>
      <c r="AS21" s="595"/>
      <c r="AT21" s="572">
        <f>IST!J4</f>
        <v>194.25388905064833</v>
      </c>
      <c r="AU21" s="573"/>
      <c r="AV21" s="574"/>
      <c r="AW21" s="770"/>
      <c r="AX21" s="616"/>
      <c r="AY21" s="616"/>
      <c r="AZ21" s="617"/>
      <c r="BA21" s="615">
        <f>IST!J15</f>
        <v>0.75660001095000018</v>
      </c>
      <c r="BB21" s="616"/>
      <c r="BC21" s="617"/>
      <c r="BD21" s="572">
        <f>ROUNDUP(IST!C15,0)+10</f>
        <v>2510</v>
      </c>
      <c r="BE21" s="616"/>
      <c r="BF21" s="616"/>
      <c r="BG21" s="617"/>
      <c r="BI21" s="21"/>
      <c r="BJ21" s="21"/>
      <c r="BK21" s="21"/>
      <c r="BL21" s="21"/>
      <c r="BM21" s="158"/>
      <c r="BN21" s="160"/>
      <c r="BO21" s="124"/>
      <c r="BP21" s="21"/>
    </row>
    <row r="22" spans="1:68" ht="12.75" customHeight="1" x14ac:dyDescent="0.25">
      <c r="A22" s="712"/>
      <c r="B22" s="712"/>
      <c r="C22" s="712"/>
      <c r="D22" s="651"/>
      <c r="E22" s="651"/>
      <c r="F22" s="651"/>
      <c r="G22" s="645"/>
      <c r="H22" s="645"/>
      <c r="I22" s="645"/>
      <c r="J22" s="647"/>
      <c r="K22" s="647"/>
      <c r="L22" s="647"/>
      <c r="M22" s="647"/>
      <c r="N22" s="647"/>
      <c r="O22" s="647"/>
      <c r="P22" s="647"/>
      <c r="Q22" s="647"/>
      <c r="R22" s="647"/>
      <c r="S22" s="601"/>
      <c r="T22" s="601"/>
      <c r="U22" s="601"/>
      <c r="V22" s="647"/>
      <c r="W22" s="647"/>
      <c r="X22" s="647"/>
      <c r="Y22" s="774"/>
      <c r="Z22" s="774"/>
      <c r="AA22" s="774"/>
      <c r="AB22" s="774"/>
      <c r="AC22" s="774"/>
      <c r="AD22" s="774"/>
      <c r="AE22" s="601"/>
      <c r="AF22" s="601"/>
      <c r="AG22" s="602"/>
      <c r="AH22" s="568" t="str">
        <f>IF(ISBLANK('ورود اطلاعات'!L17),"",'ورود اطلاعات'!L17)</f>
        <v/>
      </c>
      <c r="AI22" s="568"/>
      <c r="AJ22" s="568"/>
      <c r="AK22" s="568" t="str">
        <f>IF(ISBLANK('ورود اطلاعات'!L19),"",'ورود اطلاعات'!L19)</f>
        <v/>
      </c>
      <c r="AL22" s="568"/>
      <c r="AM22" s="568"/>
      <c r="AN22" s="568" t="str">
        <f>IF(ISBLANK('ورود اطلاعات'!L21),"",'ورود اطلاعات'!L21)</f>
        <v/>
      </c>
      <c r="AO22" s="568"/>
      <c r="AP22" s="568"/>
      <c r="AQ22" s="596"/>
      <c r="AR22" s="597"/>
      <c r="AS22" s="598"/>
      <c r="AT22" s="575"/>
      <c r="AU22" s="576"/>
      <c r="AV22" s="577"/>
      <c r="AW22" s="590"/>
      <c r="AX22" s="591"/>
      <c r="AY22" s="591"/>
      <c r="AZ22" s="592"/>
      <c r="BA22" s="590"/>
      <c r="BB22" s="591"/>
      <c r="BC22" s="592"/>
      <c r="BD22" s="590"/>
      <c r="BE22" s="591"/>
      <c r="BF22" s="591"/>
      <c r="BG22" s="592"/>
      <c r="BI22" s="21"/>
      <c r="BJ22" s="21"/>
      <c r="BK22" s="21"/>
      <c r="BL22" s="21"/>
      <c r="BM22" s="158"/>
      <c r="BN22" s="160"/>
      <c r="BO22" s="124"/>
      <c r="BP22" s="21"/>
    </row>
    <row r="23" spans="1:68" ht="12.75" customHeight="1" x14ac:dyDescent="0.25">
      <c r="A23" s="657" t="s">
        <v>254</v>
      </c>
      <c r="B23" s="658"/>
      <c r="C23" s="659"/>
      <c r="D23" s="657" t="str">
        <f>IF('ورود اطلاعات'!$L4="","",'ورود اطلاعات'!$L4)</f>
        <v/>
      </c>
      <c r="E23" s="658"/>
      <c r="F23" s="659"/>
      <c r="G23" s="660" t="str">
        <f>IF('ورود اطلاعات'!$L5="","",'ورود اطلاعات'!$L5)</f>
        <v/>
      </c>
      <c r="H23" s="661"/>
      <c r="I23" s="662"/>
      <c r="J23" s="578">
        <f>IF('ورود اطلاعات'!$L6="","",'ورود اطلاعات'!$L6)</f>
        <v>0.15</v>
      </c>
      <c r="K23" s="579"/>
      <c r="L23" s="580"/>
      <c r="M23" s="578">
        <f>IF('ورود اطلاعات'!$L7="","",'ورود اطلاعات'!$L7)</f>
        <v>3.3</v>
      </c>
      <c r="N23" s="579"/>
      <c r="O23" s="580"/>
      <c r="P23" s="578">
        <f>IF('ورود اطلاعات'!$L8="","",'ورود اطلاعات'!$L8)</f>
        <v>3.3</v>
      </c>
      <c r="Q23" s="579"/>
      <c r="R23" s="580"/>
      <c r="S23" s="578">
        <f>IF('ورود اطلاعات'!$L11="","",'ورود اطلاعات'!$L11)</f>
        <v>24.92</v>
      </c>
      <c r="T23" s="579"/>
      <c r="U23" s="580"/>
      <c r="V23" s="578">
        <f>IF('ورود اطلاعات'!$L9="","",'ورود اطلاعات'!$L9)</f>
        <v>0</v>
      </c>
      <c r="W23" s="579"/>
      <c r="X23" s="580"/>
      <c r="Y23" s="578" t="str">
        <f>IF('ورود اطلاعات'!$L10="","",'ورود اطلاعات'!$L10)</f>
        <v/>
      </c>
      <c r="Z23" s="579"/>
      <c r="AA23" s="580"/>
      <c r="AB23" s="578" t="str">
        <f>IF('ورود اطلاعات'!$L12="","",'ورود اطلاعات'!$L12)</f>
        <v/>
      </c>
      <c r="AC23" s="579"/>
      <c r="AD23" s="580"/>
      <c r="AE23" s="578">
        <f>IF('ورود اطلاعات'!$L13="","",'ورود اطلاعات'!$L13)</f>
        <v>0</v>
      </c>
      <c r="AF23" s="579"/>
      <c r="AG23" s="579"/>
      <c r="AH23" s="578" t="str">
        <f>IF('ورود اطلاعات'!$L16="","",'ورود اطلاعات'!$L16)</f>
        <v/>
      </c>
      <c r="AI23" s="579"/>
      <c r="AJ23" s="580"/>
      <c r="AK23" s="578" t="str">
        <f>IF('ورود اطلاعات'!$L18="","",'ورود اطلاعات'!$L18)</f>
        <v/>
      </c>
      <c r="AL23" s="579"/>
      <c r="AM23" s="580"/>
      <c r="AN23" s="578" t="str">
        <f>IF('ورود اطلاعات'!$L20="","",'ورود اطلاعات'!$L20)</f>
        <v/>
      </c>
      <c r="AO23" s="579"/>
      <c r="AP23" s="580"/>
      <c r="AQ23" s="581"/>
      <c r="AR23" s="582"/>
      <c r="AS23" s="583"/>
      <c r="AT23" s="581"/>
      <c r="AU23" s="582"/>
      <c r="AV23" s="583"/>
      <c r="AW23" s="587"/>
      <c r="AX23" s="588"/>
      <c r="AY23" s="588"/>
      <c r="AZ23" s="589"/>
      <c r="BA23" s="587"/>
      <c r="BB23" s="588"/>
      <c r="BC23" s="589"/>
      <c r="BD23" s="587"/>
      <c r="BE23" s="588"/>
      <c r="BF23" s="588"/>
      <c r="BG23" s="589"/>
      <c r="BI23" s="21"/>
      <c r="BJ23" s="21"/>
      <c r="BK23" s="21"/>
      <c r="BL23" s="21"/>
      <c r="BM23" s="158"/>
      <c r="BN23" s="160"/>
      <c r="BO23" s="124"/>
      <c r="BP23" s="21"/>
    </row>
    <row r="24" spans="1:68" ht="18.75" customHeight="1" x14ac:dyDescent="0.25">
      <c r="A24" s="603" t="s">
        <v>270</v>
      </c>
      <c r="B24" s="603"/>
      <c r="C24" s="603"/>
      <c r="D24" s="603"/>
      <c r="E24" s="603"/>
      <c r="F24" s="603"/>
      <c r="G24" s="603"/>
      <c r="H24" s="603"/>
      <c r="I24" s="603"/>
      <c r="J24" s="570"/>
      <c r="K24" s="570"/>
      <c r="L24" s="570"/>
      <c r="M24" s="570"/>
      <c r="N24" s="570"/>
      <c r="O24" s="570"/>
      <c r="P24" s="570"/>
      <c r="Q24" s="570"/>
      <c r="R24" s="570"/>
      <c r="S24" s="570"/>
      <c r="T24" s="570"/>
      <c r="U24" s="570"/>
      <c r="V24" s="570"/>
      <c r="W24" s="570"/>
      <c r="X24" s="570"/>
      <c r="Y24" s="570" t="s">
        <v>281</v>
      </c>
      <c r="Z24" s="570"/>
      <c r="AA24" s="570"/>
      <c r="AB24" s="570"/>
      <c r="AC24" s="570"/>
      <c r="AD24" s="570"/>
      <c r="AE24" s="570"/>
      <c r="AF24" s="570"/>
      <c r="AG24" s="570"/>
      <c r="AH24" s="570"/>
      <c r="AI24" s="570"/>
      <c r="AJ24" s="570"/>
      <c r="AK24" s="570"/>
      <c r="AL24" s="570"/>
      <c r="AM24" s="570"/>
      <c r="AN24" s="570"/>
      <c r="AO24" s="570"/>
      <c r="AP24" s="570"/>
      <c r="AQ24" s="570"/>
      <c r="AR24" s="570"/>
      <c r="AS24" s="570"/>
      <c r="AT24" s="570"/>
      <c r="AU24" s="570"/>
      <c r="AV24" s="570"/>
      <c r="AW24" s="570"/>
      <c r="AX24" s="570"/>
      <c r="AY24" s="570"/>
      <c r="AZ24" s="570"/>
      <c r="BA24" s="603"/>
      <c r="BB24" s="603"/>
      <c r="BC24" s="603"/>
      <c r="BD24" s="570"/>
      <c r="BE24" s="570"/>
      <c r="BF24" s="570"/>
      <c r="BG24" s="570"/>
      <c r="BI24" s="21"/>
      <c r="BJ24" s="21"/>
      <c r="BK24" s="21"/>
      <c r="BL24" s="21"/>
      <c r="BM24" s="158"/>
      <c r="BN24" s="160"/>
      <c r="BO24" s="124"/>
      <c r="BP24" s="21"/>
    </row>
    <row r="25" spans="1:68" ht="18.75" customHeight="1" x14ac:dyDescent="0.25">
      <c r="A25" s="643" t="s">
        <v>271</v>
      </c>
      <c r="B25" s="643"/>
      <c r="C25" s="643"/>
      <c r="D25" s="609" t="str">
        <f>IF(OR(D18="",D21=""),"",IF(D21=D18,"a","r"))</f>
        <v>a</v>
      </c>
      <c r="E25" s="609"/>
      <c r="F25" s="609"/>
      <c r="G25" s="609" t="str">
        <f>IF(OR(G18="",G21=""),"",IF(G21=G18,"a","r"))</f>
        <v>a</v>
      </c>
      <c r="H25" s="609"/>
      <c r="I25" s="609"/>
      <c r="J25" s="609" t="str">
        <f>IF(OR(J18="",J21=""),"",IF(J21=J18,"a","r"))</f>
        <v>a</v>
      </c>
      <c r="K25" s="609"/>
      <c r="L25" s="609"/>
      <c r="M25" s="609" t="str">
        <f>IF(OR(M18="",M21=""),"",IF(M21=M18,"a","r"))</f>
        <v>a</v>
      </c>
      <c r="N25" s="609"/>
      <c r="O25" s="609"/>
      <c r="P25" s="609" t="str">
        <f>IF(OR(P18="",P21=""),"",IF(P21=P18,"a","r"))</f>
        <v>r</v>
      </c>
      <c r="Q25" s="609"/>
      <c r="R25" s="609"/>
      <c r="S25" s="609" t="str">
        <f>IF(OR(S18="",S21=""),"",IF(S21=S18,"a","r"))</f>
        <v>a</v>
      </c>
      <c r="T25" s="609"/>
      <c r="U25" s="609"/>
      <c r="V25" s="609" t="str">
        <f>IF(OR(V18="",V21=""),"",IF(V21=V18,"a","r"))</f>
        <v>a</v>
      </c>
      <c r="W25" s="609"/>
      <c r="X25" s="609"/>
      <c r="Y25" s="609" t="str">
        <f>IF(OR(Y18="",Y21=""),"",IF(Y21=Y18,"a","r"))</f>
        <v>a</v>
      </c>
      <c r="Z25" s="609"/>
      <c r="AA25" s="609"/>
      <c r="AB25" s="609" t="str">
        <f>IF(OR(AB18="",AB21=""),"",IF(AB21=AB18,"a","r"))</f>
        <v>a</v>
      </c>
      <c r="AC25" s="609"/>
      <c r="AD25" s="609"/>
      <c r="AE25" s="609" t="str">
        <f>IF(OR(AE18="",AE21=""),"",IF(ABS(AE21-AE18&lt;0.05),"a","r"))</f>
        <v>a</v>
      </c>
      <c r="AF25" s="609"/>
      <c r="AG25" s="609"/>
      <c r="AH25" s="609" t="str">
        <f>IF(OR(AH18="",AH21=""),"",IF(AH21=AH18,"a","r"))</f>
        <v/>
      </c>
      <c r="AI25" s="609"/>
      <c r="AJ25" s="609"/>
      <c r="AK25" s="609" t="str">
        <f>IF(OR(AK18="",AK21=""),"",IF(AK21=AK18,"a","r"))</f>
        <v/>
      </c>
      <c r="AL25" s="609"/>
      <c r="AM25" s="609"/>
      <c r="AN25" s="609" t="str">
        <f>IF(OR(AN18="",AN21=""),"",IF(AN21=AN18,"a","r"))</f>
        <v/>
      </c>
      <c r="AO25" s="609"/>
      <c r="AP25" s="609"/>
      <c r="AQ25" s="610" t="str">
        <f>IF(J21&lt;13.2,IF(AQ21&lt;900,"مناسب",IF(AND(AQ21&gt;901,AQ21&lt;1101),"هشدار","خطرناک")),IF(AQ21&lt;780,"مناسب",IF(AND(AQ21&gt;781,AQ21&lt;900),"هشدار","خطرناک")))</f>
        <v>مناسب</v>
      </c>
      <c r="AR25" s="610"/>
      <c r="AS25" s="610"/>
      <c r="AT25" s="609" t="str">
        <f>IF(OR(AT18="",AT21=""),"",IF(AT21&gt;=AT18,IF(AT21&gt;90000,"خارج تست","a"),"r"))</f>
        <v/>
      </c>
      <c r="AU25" s="609"/>
      <c r="AV25" s="609"/>
      <c r="AW25" s="609"/>
      <c r="AX25" s="609"/>
      <c r="AY25" s="609"/>
      <c r="AZ25" s="609"/>
      <c r="BA25" s="609"/>
      <c r="BB25" s="609"/>
      <c r="BC25" s="609"/>
      <c r="BD25" s="714" t="str">
        <f>IF(BD21&gt;6100,"بررسی مجدد","")</f>
        <v/>
      </c>
      <c r="BE25" s="714"/>
      <c r="BF25" s="714"/>
      <c r="BG25" s="714"/>
      <c r="BI25" s="21"/>
      <c r="BJ25" s="21"/>
      <c r="BK25" s="21"/>
      <c r="BL25" s="21"/>
      <c r="BM25" s="158"/>
      <c r="BN25" s="160"/>
      <c r="BO25" s="124"/>
      <c r="BP25" s="21"/>
    </row>
    <row r="26" spans="1:68" ht="6.75" customHeight="1" x14ac:dyDescent="0.25">
      <c r="A26" s="25"/>
      <c r="B26" s="25"/>
      <c r="C26" s="25"/>
      <c r="D26" s="25"/>
      <c r="E26" s="25"/>
      <c r="F26" s="26"/>
      <c r="G26" s="26"/>
      <c r="H26" s="26"/>
      <c r="I26" s="26"/>
      <c r="J26" s="26"/>
      <c r="K26" s="26"/>
      <c r="L26" s="26"/>
      <c r="M26" s="26"/>
      <c r="N26" s="26"/>
      <c r="O26" s="26"/>
      <c r="P26" s="26"/>
      <c r="Q26" s="26"/>
      <c r="R26" s="26"/>
      <c r="S26" s="26"/>
      <c r="T26" s="26"/>
      <c r="U26" s="26"/>
      <c r="V26" s="26"/>
      <c r="W26" s="26"/>
      <c r="X26" s="26"/>
      <c r="Y26" s="26"/>
      <c r="Z26" s="25"/>
      <c r="AA26" s="25"/>
      <c r="AB26" s="25"/>
      <c r="AC26" s="25"/>
      <c r="AD26" s="25"/>
      <c r="AE26" s="26"/>
      <c r="AF26" s="26"/>
      <c r="AG26" s="26"/>
      <c r="AH26" s="26"/>
      <c r="AI26" s="26"/>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I26" s="159"/>
      <c r="BJ26" s="165"/>
      <c r="BK26" s="123"/>
      <c r="BL26" s="20"/>
      <c r="BM26" s="158"/>
      <c r="BN26" s="160"/>
      <c r="BO26" s="166"/>
      <c r="BP26" s="21"/>
    </row>
    <row r="27" spans="1:68" ht="18" customHeight="1" x14ac:dyDescent="0.25">
      <c r="A27" s="705" t="s">
        <v>335</v>
      </c>
      <c r="B27" s="706"/>
      <c r="C27" s="706"/>
      <c r="D27" s="706"/>
      <c r="E27" s="706"/>
      <c r="F27" s="706"/>
      <c r="G27" s="706"/>
      <c r="H27" s="706"/>
      <c r="I27" s="706"/>
      <c r="J27" s="706"/>
      <c r="K27" s="706"/>
      <c r="L27" s="706"/>
      <c r="M27" s="706"/>
      <c r="N27" s="706"/>
      <c r="O27" s="706"/>
      <c r="P27" s="706"/>
      <c r="Q27" s="706"/>
      <c r="R27" s="706"/>
      <c r="S27" s="706"/>
      <c r="T27" s="706"/>
      <c r="U27" s="706"/>
      <c r="V27" s="706"/>
      <c r="W27" s="706"/>
      <c r="X27" s="706"/>
      <c r="Y27" s="706"/>
      <c r="Z27" s="706"/>
      <c r="AA27" s="706"/>
      <c r="AB27" s="706"/>
      <c r="AC27" s="706"/>
      <c r="AD27" s="706"/>
      <c r="AE27" s="706"/>
      <c r="AF27" s="706"/>
      <c r="AG27" s="706"/>
      <c r="AH27" s="706"/>
      <c r="AI27" s="706"/>
      <c r="AJ27" s="706"/>
      <c r="AK27" s="706"/>
      <c r="AL27" s="706"/>
      <c r="AM27" s="706"/>
      <c r="AN27" s="706"/>
      <c r="AO27" s="706"/>
      <c r="AP27" s="706"/>
      <c r="AQ27" s="706"/>
      <c r="AR27" s="706"/>
      <c r="AS27" s="706"/>
      <c r="AT27" s="706"/>
      <c r="AU27" s="706"/>
      <c r="AV27" s="706"/>
      <c r="AW27" s="706"/>
      <c r="AX27" s="706"/>
      <c r="AY27" s="706"/>
      <c r="AZ27" s="706"/>
      <c r="BA27" s="706"/>
      <c r="BB27" s="706"/>
      <c r="BC27" s="706"/>
      <c r="BD27" s="706"/>
      <c r="BE27" s="706"/>
      <c r="BF27" s="706"/>
      <c r="BG27" s="707"/>
      <c r="BI27" s="159"/>
      <c r="BJ27" s="165"/>
      <c r="BK27" s="176"/>
      <c r="BL27" s="20"/>
      <c r="BM27" s="158"/>
      <c r="BN27" s="160"/>
      <c r="BO27" s="166"/>
      <c r="BP27" s="21"/>
    </row>
    <row r="28" spans="1:68" ht="16.5" customHeight="1" x14ac:dyDescent="0.25">
      <c r="A28" s="456" t="s">
        <v>336</v>
      </c>
      <c r="B28" s="457"/>
      <c r="C28" s="457"/>
      <c r="D28" s="457"/>
      <c r="E28" s="457"/>
      <c r="F28" s="457"/>
      <c r="G28" s="457"/>
      <c r="H28" s="475" t="b">
        <v>0</v>
      </c>
      <c r="I28" s="457"/>
      <c r="J28" s="457"/>
      <c r="K28" s="457"/>
      <c r="L28" s="457"/>
      <c r="M28" s="457"/>
      <c r="N28" s="457"/>
      <c r="O28" s="457" t="s">
        <v>337</v>
      </c>
      <c r="P28" s="457"/>
      <c r="Q28" s="457"/>
      <c r="R28" s="457"/>
      <c r="S28" s="457"/>
      <c r="T28" s="457"/>
      <c r="U28" s="457"/>
      <c r="V28" s="457"/>
      <c r="W28" s="457"/>
      <c r="X28" s="457"/>
      <c r="Y28" s="457"/>
      <c r="Z28" s="475" t="b">
        <v>0</v>
      </c>
      <c r="AA28" s="457"/>
      <c r="AB28" s="457"/>
      <c r="AC28" s="457" t="s">
        <v>338</v>
      </c>
      <c r="AD28" s="457"/>
      <c r="AE28" s="457"/>
      <c r="AF28" s="457"/>
      <c r="AG28" s="457"/>
      <c r="AH28" s="457"/>
      <c r="AI28" s="457"/>
      <c r="AJ28" s="457"/>
      <c r="AK28" s="457"/>
      <c r="AL28" s="475" t="b">
        <v>0</v>
      </c>
      <c r="AM28" s="457"/>
      <c r="AN28" s="457"/>
      <c r="AO28" s="457"/>
      <c r="AP28" s="457"/>
      <c r="AQ28" s="457"/>
      <c r="AR28" s="457" t="s">
        <v>161</v>
      </c>
      <c r="AS28" s="457"/>
      <c r="AT28" s="457"/>
      <c r="AU28" s="457"/>
      <c r="AV28" s="457"/>
      <c r="AW28" s="457"/>
      <c r="AX28" s="457"/>
      <c r="AY28" s="457"/>
      <c r="AZ28" s="475" t="b">
        <v>0</v>
      </c>
      <c r="BA28" s="457"/>
      <c r="BB28" s="457"/>
      <c r="BC28" s="457"/>
      <c r="BD28" s="457"/>
      <c r="BE28" s="457"/>
      <c r="BF28" s="457"/>
      <c r="BG28" s="458"/>
      <c r="BI28" s="191" t="str">
        <f>_xlfn.IFNA(MATCH(TRUE,A28:BG28,0),"")</f>
        <v/>
      </c>
      <c r="BJ28" s="165"/>
      <c r="BK28" s="605" t="s">
        <v>224</v>
      </c>
      <c r="BL28" s="605"/>
      <c r="BM28" s="158"/>
      <c r="BN28" s="160"/>
      <c r="BO28" s="166"/>
      <c r="BP28" s="21"/>
    </row>
    <row r="29" spans="1:68" s="168" customFormat="1" ht="4.5" customHeight="1" x14ac:dyDescent="0.15">
      <c r="A29" s="184"/>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v>58</v>
      </c>
      <c r="BG29" s="185">
        <v>59</v>
      </c>
      <c r="BI29" s="169"/>
      <c r="BJ29" s="170"/>
      <c r="BK29" s="606">
        <v>200000</v>
      </c>
      <c r="BL29" s="606"/>
      <c r="BM29" s="171"/>
      <c r="BN29" s="172"/>
      <c r="BO29" s="173"/>
      <c r="BP29" s="174"/>
    </row>
    <row r="30" spans="1:68" s="177" customFormat="1" ht="15" customHeight="1" x14ac:dyDescent="0.45">
      <c r="A30" s="716" t="s">
        <v>339</v>
      </c>
      <c r="B30" s="717"/>
      <c r="C30" s="717"/>
      <c r="D30" s="717"/>
      <c r="E30" s="717"/>
      <c r="F30" s="664"/>
      <c r="G30" s="664"/>
      <c r="H30" s="22" t="s">
        <v>340</v>
      </c>
      <c r="I30" s="22"/>
      <c r="J30" s="22"/>
      <c r="K30" s="175"/>
      <c r="L30" s="22"/>
      <c r="M30" s="22"/>
      <c r="N30" s="728"/>
      <c r="O30" s="664"/>
      <c r="P30" s="664"/>
      <c r="Q30" s="664" t="s">
        <v>72</v>
      </c>
      <c r="R30" s="664"/>
      <c r="S30" s="664"/>
      <c r="T30" s="729" t="str">
        <f>IF(BI28="","",IF(BI28=8,IF(J21&lt;13.6,"بصورت کویل موجود است.","موجود است."),IF(BI28=26,"بصورت Black موجود است که می بایست برای عملیات پیل و پولیش ارسال گردد.",IF(BI28=38,"می بایست بصورت Black خریداری شده و عملیات پیل و پولیش روی آن انجام شود.","موجود نمی باشد"))))</f>
        <v/>
      </c>
      <c r="U30" s="729"/>
      <c r="V30" s="729"/>
      <c r="W30" s="729"/>
      <c r="X30" s="729"/>
      <c r="Y30" s="729"/>
      <c r="Z30" s="729"/>
      <c r="AA30" s="729"/>
      <c r="AB30" s="729"/>
      <c r="AC30" s="729"/>
      <c r="AD30" s="729"/>
      <c r="AE30" s="729"/>
      <c r="AF30" s="729"/>
      <c r="AG30" s="729"/>
      <c r="AH30" s="729"/>
      <c r="AI30" s="729"/>
      <c r="AJ30" s="729"/>
      <c r="AK30" s="729"/>
      <c r="AL30" s="729"/>
      <c r="AM30" s="729"/>
      <c r="AN30" s="729"/>
      <c r="AO30" s="729"/>
      <c r="AP30" s="729"/>
      <c r="AQ30" s="729"/>
      <c r="AR30" s="729"/>
      <c r="AS30" s="729"/>
      <c r="AT30" s="729"/>
      <c r="AU30" s="729"/>
      <c r="AV30" s="729"/>
      <c r="AW30" s="729"/>
      <c r="AX30" s="729"/>
      <c r="AY30" s="729"/>
      <c r="AZ30" s="729"/>
      <c r="BA30" s="729"/>
      <c r="BB30" s="729"/>
      <c r="BC30" s="729"/>
      <c r="BD30" s="729"/>
      <c r="BE30" s="729"/>
      <c r="BF30" s="729"/>
      <c r="BG30" s="730"/>
      <c r="BI30" s="178"/>
      <c r="BJ30" s="179"/>
      <c r="BK30" s="606"/>
      <c r="BL30" s="606"/>
      <c r="BM30" s="180"/>
      <c r="BN30" s="181"/>
      <c r="BO30" s="182"/>
      <c r="BP30" s="183"/>
    </row>
    <row r="31" spans="1:68" ht="16.5" customHeight="1" x14ac:dyDescent="0.25">
      <c r="A31" s="720" t="str">
        <f>IF($BI$28=52,"","مقدار پرت مفتول به ازای هر فنر: ")</f>
        <v xml:space="preserve">مقدار پرت مفتول به ازای هر فنر: </v>
      </c>
      <c r="B31" s="721"/>
      <c r="C31" s="721"/>
      <c r="D31" s="721"/>
      <c r="E31" s="721"/>
      <c r="F31" s="721"/>
      <c r="G31" s="721"/>
      <c r="H31" s="721"/>
      <c r="I31" s="721"/>
      <c r="J31" s="721"/>
      <c r="K31" s="721"/>
      <c r="L31" s="703" t="e">
        <f>IF($BI$28=52,"",MOD(N30,BD21)/QUOTIENT(N30,BD21))</f>
        <v>#DIV/0!</v>
      </c>
      <c r="M31" s="703"/>
      <c r="N31" s="703"/>
      <c r="O31" s="722" t="str">
        <f>IF($BI$28=52,"","میلیمتر، به وزن")</f>
        <v>میلیمتر، به وزن</v>
      </c>
      <c r="P31" s="722"/>
      <c r="Q31" s="722"/>
      <c r="R31" s="722"/>
      <c r="S31" s="722"/>
      <c r="T31" s="722" t="e">
        <f>IF($BI$28=52,"",(L31/100)*3.14157*(F30^2/10000)*196.6/100)</f>
        <v>#DIV/0!</v>
      </c>
      <c r="U31" s="722"/>
      <c r="V31" s="722"/>
      <c r="W31" s="722" t="str">
        <f>IF($BI$28=52,"","گرم.")</f>
        <v>گرم.</v>
      </c>
      <c r="X31" s="722"/>
      <c r="Y31" s="721" t="str">
        <f>IF(OR(BI28=26,BI28=38),"هزینه حمل و نقل و عملیات پیل و پولیش به ازای هر فنر برابر است با ","")</f>
        <v/>
      </c>
      <c r="Z31" s="721"/>
      <c r="AA31" s="721"/>
      <c r="AB31" s="721"/>
      <c r="AC31" s="721"/>
      <c r="AD31" s="721"/>
      <c r="AE31" s="721"/>
      <c r="AF31" s="721"/>
      <c r="AG31" s="721"/>
      <c r="AH31" s="721"/>
      <c r="AI31" s="721"/>
      <c r="AJ31" s="721"/>
      <c r="AK31" s="721"/>
      <c r="AL31" s="721"/>
      <c r="AM31" s="721"/>
      <c r="AN31" s="721"/>
      <c r="AO31" s="721"/>
      <c r="AP31" s="721"/>
      <c r="AQ31" s="721"/>
      <c r="AR31" s="721"/>
      <c r="AS31" s="721"/>
      <c r="AT31" s="721"/>
      <c r="AU31" s="738" t="str">
        <f>IF(OR(BI28=26,BI28=38),ROUND((((N30/100)*3.14157*(F30^2/10000)*196.6/100)*BK29)/(QUOTIENT(N30,BD21)),0),"")</f>
        <v/>
      </c>
      <c r="AV31" s="738"/>
      <c r="AW31" s="738"/>
      <c r="AX31" s="738"/>
      <c r="AY31" s="721" t="str">
        <f>IF(OR(BI28=26,BI28=38),"ريال ","")</f>
        <v/>
      </c>
      <c r="AZ31" s="721"/>
      <c r="BA31" s="28"/>
      <c r="BB31" s="28"/>
      <c r="BC31" s="28"/>
      <c r="BD31" s="28"/>
      <c r="BE31" s="28"/>
      <c r="BF31" s="28"/>
      <c r="BG31" s="29"/>
      <c r="BI31" s="159"/>
      <c r="BJ31" s="165"/>
      <c r="BK31" s="123"/>
      <c r="BL31" s="20"/>
      <c r="BM31" s="158"/>
      <c r="BN31" s="160"/>
      <c r="BO31" s="166"/>
      <c r="BP31" s="21"/>
    </row>
    <row r="32" spans="1:68" ht="6.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I32" s="159"/>
      <c r="BJ32" s="165"/>
      <c r="BK32" s="123"/>
      <c r="BL32" s="20"/>
      <c r="BM32" s="158"/>
      <c r="BN32" s="160"/>
      <c r="BO32" s="166"/>
      <c r="BP32" s="21"/>
    </row>
    <row r="33" spans="1:66" ht="16.5" customHeight="1" x14ac:dyDescent="0.25">
      <c r="A33" s="705" t="s">
        <v>343</v>
      </c>
      <c r="B33" s="706"/>
      <c r="C33" s="706"/>
      <c r="D33" s="706"/>
      <c r="E33" s="706"/>
      <c r="F33" s="706"/>
      <c r="G33" s="706"/>
      <c r="H33" s="706"/>
      <c r="I33" s="706"/>
      <c r="J33" s="706"/>
      <c r="K33" s="706"/>
      <c r="L33" s="706"/>
      <c r="M33" s="706"/>
      <c r="N33" s="706"/>
      <c r="O33" s="706"/>
      <c r="P33" s="706"/>
      <c r="Q33" s="706"/>
      <c r="R33" s="706"/>
      <c r="S33" s="706"/>
      <c r="T33" s="706"/>
      <c r="U33" s="706"/>
      <c r="V33" s="706"/>
      <c r="W33" s="706"/>
      <c r="X33" s="706"/>
      <c r="Y33" s="706"/>
      <c r="Z33" s="706"/>
      <c r="AA33" s="706"/>
      <c r="AB33" s="706"/>
      <c r="AC33" s="706"/>
      <c r="AD33" s="706"/>
      <c r="AE33" s="706"/>
      <c r="AF33" s="706"/>
      <c r="AG33" s="706"/>
      <c r="AH33" s="706"/>
      <c r="AI33" s="706"/>
      <c r="AJ33" s="706"/>
      <c r="AK33" s="706"/>
      <c r="AL33" s="706"/>
      <c r="AM33" s="706"/>
      <c r="AN33" s="706"/>
      <c r="AO33" s="706"/>
      <c r="AP33" s="706"/>
      <c r="AQ33" s="706"/>
      <c r="AR33" s="706"/>
      <c r="AS33" s="706"/>
      <c r="AT33" s="706"/>
      <c r="AU33" s="706"/>
      <c r="AV33" s="706"/>
      <c r="AW33" s="706"/>
      <c r="AX33" s="706"/>
      <c r="AY33" s="706"/>
      <c r="AZ33" s="706"/>
      <c r="BA33" s="706"/>
      <c r="BB33" s="706"/>
      <c r="BC33" s="706"/>
      <c r="BD33" s="706"/>
      <c r="BE33" s="706"/>
      <c r="BF33" s="706"/>
      <c r="BG33" s="707"/>
    </row>
    <row r="34" spans="1:66" ht="15" customHeight="1" x14ac:dyDescent="0.25">
      <c r="A34" s="459"/>
      <c r="B34" s="460"/>
      <c r="C34" s="731" t="s">
        <v>160</v>
      </c>
      <c r="D34" s="731"/>
      <c r="E34" s="731"/>
      <c r="F34" s="731"/>
      <c r="G34" s="731"/>
      <c r="H34" s="731"/>
      <c r="I34" s="731"/>
      <c r="J34" s="460"/>
      <c r="K34" s="461"/>
      <c r="L34" s="494" t="str">
        <f>IF(X34=FALSE,"a","")</f>
        <v/>
      </c>
      <c r="M34" s="732" t="s">
        <v>161</v>
      </c>
      <c r="N34" s="732"/>
      <c r="O34" s="732"/>
      <c r="P34" s="732"/>
      <c r="Q34" s="732"/>
      <c r="R34" s="732"/>
      <c r="S34" s="732"/>
      <c r="T34" s="732"/>
      <c r="U34" s="460"/>
      <c r="V34" s="460"/>
      <c r="W34" s="460"/>
      <c r="X34" s="493" t="b">
        <v>1</v>
      </c>
      <c r="Y34" s="733" t="str">
        <f>IF(J21&lt;13.1,CONCATENATE("در این روش تولید از مندرل استفاده نمی شود"),IF(X34=TRUE,CONCATENATE("مندرل مورد استفاده برای این فنر قطر ",'ورود اطلاعات'!K8," میلیمتر"," می باشد"),""))</f>
        <v>در این روش تولید از مندرل استفاده نمی شود</v>
      </c>
      <c r="Z34" s="733"/>
      <c r="AA34" s="733"/>
      <c r="AB34" s="733"/>
      <c r="AC34" s="733"/>
      <c r="AD34" s="733"/>
      <c r="AE34" s="733"/>
      <c r="AF34" s="733"/>
      <c r="AG34" s="733"/>
      <c r="AH34" s="733"/>
      <c r="AI34" s="733"/>
      <c r="AJ34" s="733"/>
      <c r="AK34" s="733"/>
      <c r="AL34" s="733"/>
      <c r="AM34" s="733"/>
      <c r="AN34" s="733"/>
      <c r="AO34" s="733"/>
      <c r="AP34" s="733"/>
      <c r="AQ34" s="733"/>
      <c r="AR34" s="733"/>
      <c r="AS34" s="733"/>
      <c r="AT34" s="733"/>
      <c r="AU34" s="733"/>
      <c r="AV34" s="733"/>
      <c r="AW34" s="733"/>
      <c r="AX34" s="733"/>
      <c r="AY34" s="733"/>
      <c r="AZ34" s="733"/>
      <c r="BA34" s="733"/>
      <c r="BB34" s="733"/>
      <c r="BC34" s="733"/>
      <c r="BD34" s="733"/>
      <c r="BE34" s="733"/>
      <c r="BF34" s="733"/>
      <c r="BG34" s="462"/>
    </row>
    <row r="35" spans="1:66" ht="3.75" customHeight="1" x14ac:dyDescent="0.25">
      <c r="A35" s="8"/>
      <c r="B35" s="9"/>
      <c r="C35" s="9"/>
      <c r="D35" s="9"/>
      <c r="E35" s="9"/>
      <c r="F35" s="9"/>
      <c r="G35" s="9"/>
      <c r="H35" s="9"/>
      <c r="I35" s="9"/>
      <c r="J35" s="9"/>
      <c r="K35" s="9"/>
      <c r="L35" s="9"/>
      <c r="M35" s="65"/>
      <c r="N35" s="65"/>
      <c r="O35" s="65"/>
      <c r="P35" s="65"/>
      <c r="Q35" s="65"/>
      <c r="R35" s="65"/>
      <c r="S35" s="65"/>
      <c r="T35" s="65"/>
      <c r="U35" s="65"/>
      <c r="V35" s="198"/>
      <c r="W35" s="198"/>
      <c r="X35" s="198"/>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10"/>
    </row>
    <row r="36" spans="1:66" ht="15" customHeight="1" x14ac:dyDescent="0.25">
      <c r="A36" s="700" t="str">
        <f>IF(J21&lt;13.1,"",IF(X34=FALSE,IF('ورود اطلاعات'!K8='ورود اطلاعات'!G8,CONCATENATE("مندرل مورد استفاده برای این فنر قطر ",'ورود اطلاعات'!K8," میلیمتر"," می باشد"),CONCATENATE("مندرل مورد استفاده برای این فنر قطر ",IST!C9," میلیمتر"," می باشد که به جای آن از قطر ",IST!C13," میلیمتر","استفاده می شود")),""))</f>
        <v/>
      </c>
      <c r="B36" s="665"/>
      <c r="C36" s="665"/>
      <c r="D36" s="665"/>
      <c r="E36" s="665"/>
      <c r="F36" s="665"/>
      <c r="G36" s="665"/>
      <c r="H36" s="665"/>
      <c r="I36" s="665"/>
      <c r="J36" s="665"/>
      <c r="K36" s="665"/>
      <c r="L36" s="665"/>
      <c r="M36" s="665"/>
      <c r="N36" s="665"/>
      <c r="O36" s="665"/>
      <c r="P36" s="665"/>
      <c r="Q36" s="665"/>
      <c r="R36" s="665"/>
      <c r="S36" s="665"/>
      <c r="T36" s="665"/>
      <c r="U36" s="665"/>
      <c r="V36" s="665"/>
      <c r="W36" s="665"/>
      <c r="X36" s="665"/>
      <c r="Y36" s="665"/>
      <c r="Z36" s="665"/>
      <c r="AA36" s="665"/>
      <c r="AB36" s="665"/>
      <c r="AC36" s="665"/>
      <c r="AD36" s="665"/>
      <c r="AE36" s="665"/>
      <c r="AF36" s="665"/>
      <c r="AG36" s="665"/>
      <c r="AH36" s="665"/>
      <c r="AI36" s="665"/>
      <c r="AJ36" s="665"/>
      <c r="AK36" s="665"/>
      <c r="AL36" s="665"/>
      <c r="AM36" s="665"/>
      <c r="AN36" s="665"/>
      <c r="AO36" s="665"/>
      <c r="AP36" s="665"/>
      <c r="AQ36" s="665"/>
      <c r="AR36" s="665"/>
      <c r="AS36" s="665"/>
      <c r="AT36" s="665"/>
      <c r="AU36" s="665"/>
      <c r="AV36" s="665"/>
      <c r="AW36" s="665"/>
      <c r="AX36" s="665"/>
      <c r="AY36" s="665"/>
      <c r="AZ36" s="665"/>
      <c r="BA36" s="665"/>
      <c r="BB36" s="665"/>
      <c r="BC36" s="665"/>
      <c r="BD36" s="665"/>
      <c r="BE36" s="665"/>
      <c r="BF36" s="665"/>
      <c r="BG36" s="704"/>
      <c r="BI36" s="17" t="s">
        <v>169</v>
      </c>
      <c r="BJ36" s="205">
        <f>(((BL41/2)*(BL41/2))*3.14*BL36*(7.85/1000000)*BL37)+BL39</f>
        <v>1939946.2749999999</v>
      </c>
      <c r="BK36" s="204" t="s">
        <v>117</v>
      </c>
      <c r="BL36" s="63">
        <v>1500</v>
      </c>
    </row>
    <row r="37" spans="1:66" ht="15" customHeight="1" x14ac:dyDescent="0.25">
      <c r="A37" s="716" t="str">
        <f>IF(X34=TRUE,CONCATENATE("هزینه خرید و ساخت مندرل ",CEILING(BJ36/AZ6,100)," ریال به ازای هر فنر می باشد "),"")</f>
        <v xml:space="preserve">هزینه خرید و ساخت مندرل 1700 ریال به ازای هر فنر می باشد </v>
      </c>
      <c r="B37" s="717"/>
      <c r="C37" s="717"/>
      <c r="D37" s="717"/>
      <c r="E37" s="717"/>
      <c r="F37" s="717"/>
      <c r="G37" s="717"/>
      <c r="H37" s="717"/>
      <c r="I37" s="717"/>
      <c r="J37" s="717"/>
      <c r="K37" s="717"/>
      <c r="L37" s="717"/>
      <c r="M37" s="717"/>
      <c r="N37" s="717"/>
      <c r="O37" s="717"/>
      <c r="P37" s="717"/>
      <c r="Q37" s="717"/>
      <c r="R37" s="717"/>
      <c r="S37" s="717"/>
      <c r="T37" s="717"/>
      <c r="U37" s="717"/>
      <c r="V37" s="717"/>
      <c r="W37" s="717"/>
      <c r="X37" s="717"/>
      <c r="Y37" s="717"/>
      <c r="Z37" s="717"/>
      <c r="AA37" s="717"/>
      <c r="AB37" s="717"/>
      <c r="AC37" s="717"/>
      <c r="AD37" s="717"/>
      <c r="AE37" s="717"/>
      <c r="AF37" s="717"/>
      <c r="AG37" s="717"/>
      <c r="AH37" s="717"/>
      <c r="AI37" s="717"/>
      <c r="AJ37" s="717"/>
      <c r="AK37" s="717"/>
      <c r="AL37" s="717"/>
      <c r="AM37" s="717"/>
      <c r="AN37" s="717"/>
      <c r="AO37" s="717"/>
      <c r="AP37" s="717"/>
      <c r="AQ37" s="717"/>
      <c r="AR37" s="717"/>
      <c r="AS37" s="717"/>
      <c r="AT37" s="717"/>
      <c r="AU37" s="717"/>
      <c r="AV37" s="717"/>
      <c r="AW37" s="717"/>
      <c r="AX37" s="717"/>
      <c r="AY37" s="717"/>
      <c r="AZ37" s="717"/>
      <c r="BA37" s="717"/>
      <c r="BB37" s="717"/>
      <c r="BC37" s="717"/>
      <c r="BD37" s="717"/>
      <c r="BE37" s="717"/>
      <c r="BF37" s="717"/>
      <c r="BG37" s="718"/>
      <c r="BK37" s="64" t="s">
        <v>184</v>
      </c>
      <c r="BL37" s="63">
        <v>8500</v>
      </c>
    </row>
    <row r="38" spans="1:66" ht="15" customHeight="1" x14ac:dyDescent="0.25">
      <c r="A38" s="663" t="str">
        <f>IF(X34=FALSE,"کد شفت موجود در انبار:","")</f>
        <v/>
      </c>
      <c r="B38" s="664"/>
      <c r="C38" s="664"/>
      <c r="D38" s="664"/>
      <c r="E38" s="664"/>
      <c r="F38" s="664"/>
      <c r="G38" s="664"/>
      <c r="H38" s="664"/>
      <c r="I38" s="664"/>
      <c r="J38" s="717"/>
      <c r="K38" s="717"/>
      <c r="L38" s="717"/>
      <c r="M38" s="717"/>
      <c r="N38" s="717"/>
      <c r="O38" s="717"/>
      <c r="P38" s="717"/>
      <c r="Q38" s="717"/>
      <c r="R38" s="717"/>
      <c r="S38" s="717"/>
      <c r="T38" s="717"/>
      <c r="U38" s="22"/>
      <c r="V38" s="22"/>
      <c r="W38" s="22"/>
      <c r="X38" s="22"/>
      <c r="Y38" s="22"/>
      <c r="Z38" s="22"/>
      <c r="AA38" s="22"/>
      <c r="AB38" s="22"/>
      <c r="AC38" s="22"/>
      <c r="AD38" s="194"/>
      <c r="AE38" s="194"/>
      <c r="AF38" s="22"/>
      <c r="AG38" s="22"/>
      <c r="AH38" s="22"/>
      <c r="AI38" s="22"/>
      <c r="AJ38" s="22"/>
      <c r="AK38" s="22"/>
      <c r="AL38" s="22"/>
      <c r="AM38" s="22"/>
      <c r="AN38" s="22"/>
      <c r="AO38" s="22"/>
      <c r="AP38" s="22"/>
      <c r="AQ38" s="22"/>
      <c r="AR38" s="22"/>
      <c r="AS38" s="22"/>
      <c r="AT38" s="22"/>
      <c r="AU38" s="22"/>
      <c r="AV38" s="194"/>
      <c r="AW38" s="194"/>
      <c r="AX38" s="194"/>
      <c r="AY38" s="194"/>
      <c r="AZ38" s="194"/>
      <c r="BA38" s="194"/>
      <c r="BB38" s="194"/>
      <c r="BC38" s="194"/>
      <c r="BD38" s="194"/>
      <c r="BE38" s="194"/>
      <c r="BF38" s="194"/>
      <c r="BG38" s="195"/>
      <c r="BK38" s="193"/>
      <c r="BL38" s="192"/>
    </row>
    <row r="39" spans="1:66" ht="11.25" customHeight="1" x14ac:dyDescent="0.2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3"/>
      <c r="BK39" s="746" t="s">
        <v>183</v>
      </c>
      <c r="BL39" s="772">
        <v>400000</v>
      </c>
    </row>
    <row r="40" spans="1:66" ht="6.7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K40" s="746"/>
      <c r="BL40" s="772"/>
    </row>
    <row r="41" spans="1:66" ht="22.5" customHeight="1" x14ac:dyDescent="0.25">
      <c r="A41" s="747" t="s">
        <v>232</v>
      </c>
      <c r="B41" s="748"/>
      <c r="C41" s="748"/>
      <c r="D41" s="748"/>
      <c r="E41" s="748"/>
      <c r="F41" s="748"/>
      <c r="G41" s="748"/>
      <c r="H41" s="748"/>
      <c r="I41" s="748"/>
      <c r="J41" s="748"/>
      <c r="K41" s="748"/>
      <c r="L41" s="748"/>
      <c r="M41" s="748"/>
      <c r="N41" s="748"/>
      <c r="O41" s="748"/>
      <c r="P41" s="748"/>
      <c r="Q41" s="748"/>
      <c r="R41" s="748"/>
      <c r="S41" s="748"/>
      <c r="T41" s="748"/>
      <c r="U41" s="748"/>
      <c r="V41" s="748"/>
      <c r="W41" s="748"/>
      <c r="X41" s="748"/>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c r="BC41" s="748"/>
      <c r="BD41" s="748"/>
      <c r="BE41" s="748"/>
      <c r="BF41" s="748"/>
      <c r="BG41" s="749"/>
      <c r="BK41" s="186" t="s">
        <v>229</v>
      </c>
      <c r="BL41" s="76">
        <v>140</v>
      </c>
    </row>
    <row r="42" spans="1:66" ht="11.25" customHeight="1" x14ac:dyDescent="0.25">
      <c r="A42" s="700" t="s">
        <v>182</v>
      </c>
      <c r="B42" s="665"/>
      <c r="C42" s="665"/>
      <c r="D42" s="665"/>
      <c r="E42" s="665"/>
      <c r="F42" s="665"/>
      <c r="G42" s="725"/>
      <c r="H42" s="725"/>
      <c r="I42" s="725"/>
      <c r="J42" s="665" t="s">
        <v>181</v>
      </c>
      <c r="K42" s="665"/>
      <c r="L42" s="665"/>
      <c r="M42" s="665"/>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71"/>
      <c r="BN42" s="16"/>
    </row>
    <row r="43" spans="1:66" ht="11.25" customHeight="1" x14ac:dyDescent="0.25">
      <c r="A43" s="700"/>
      <c r="B43" s="665"/>
      <c r="C43" s="665"/>
      <c r="D43" s="665"/>
      <c r="E43" s="665"/>
      <c r="F43" s="665"/>
      <c r="G43" s="725"/>
      <c r="H43" s="725"/>
      <c r="I43" s="725"/>
      <c r="J43" s="665"/>
      <c r="K43" s="665"/>
      <c r="L43" s="665"/>
      <c r="M43" s="665"/>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71"/>
    </row>
    <row r="44" spans="1:66" ht="11.25" customHeight="1" x14ac:dyDescent="0.25">
      <c r="A44" s="700" t="s">
        <v>233</v>
      </c>
      <c r="B44" s="665"/>
      <c r="C44" s="665"/>
      <c r="D44" s="665"/>
      <c r="E44" s="665"/>
      <c r="F44" s="665"/>
      <c r="G44" s="665"/>
      <c r="H44" s="665"/>
      <c r="I44" s="665"/>
      <c r="J44" s="665"/>
      <c r="K44" s="665"/>
      <c r="L44" s="665"/>
      <c r="M44" s="665"/>
      <c r="N44" s="719"/>
      <c r="O44" s="719"/>
      <c r="P44" s="719"/>
      <c r="Q44" s="719"/>
      <c r="R44" s="719"/>
      <c r="S44" s="719"/>
      <c r="T44" s="665" t="s">
        <v>180</v>
      </c>
      <c r="U44" s="665"/>
      <c r="V44" s="665"/>
      <c r="W44" s="665"/>
      <c r="X44" s="665"/>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71"/>
    </row>
    <row r="45" spans="1:66" ht="11.25" customHeight="1" x14ac:dyDescent="0.25">
      <c r="A45" s="700"/>
      <c r="B45" s="665"/>
      <c r="C45" s="665"/>
      <c r="D45" s="665"/>
      <c r="E45" s="665"/>
      <c r="F45" s="665"/>
      <c r="G45" s="665"/>
      <c r="H45" s="665"/>
      <c r="I45" s="665"/>
      <c r="J45" s="665"/>
      <c r="K45" s="665"/>
      <c r="L45" s="665"/>
      <c r="M45" s="665"/>
      <c r="N45" s="719"/>
      <c r="O45" s="719"/>
      <c r="P45" s="719"/>
      <c r="Q45" s="719"/>
      <c r="R45" s="719"/>
      <c r="S45" s="719"/>
      <c r="T45" s="665"/>
      <c r="U45" s="665"/>
      <c r="V45" s="665"/>
      <c r="W45" s="665"/>
      <c r="X45" s="665"/>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71"/>
    </row>
    <row r="46" spans="1:66" ht="6.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row>
    <row r="47" spans="1:66" ht="22.5" customHeight="1" x14ac:dyDescent="0.25">
      <c r="A47" s="744" t="s">
        <v>201</v>
      </c>
      <c r="B47" s="745"/>
      <c r="C47" s="745"/>
      <c r="D47" s="745"/>
      <c r="E47" s="745"/>
      <c r="F47" s="745"/>
      <c r="G47" s="745"/>
      <c r="H47" s="745"/>
      <c r="I47" s="745"/>
      <c r="J47" s="745"/>
      <c r="K47" s="745"/>
      <c r="L47" s="745"/>
      <c r="M47" s="755">
        <v>0</v>
      </c>
      <c r="N47" s="755"/>
      <c r="O47" s="755"/>
      <c r="P47" s="756" t="s">
        <v>222</v>
      </c>
      <c r="Q47" s="756"/>
      <c r="R47" s="756"/>
      <c r="S47" s="756"/>
      <c r="T47" s="756"/>
      <c r="U47" s="756"/>
      <c r="V47" s="756"/>
      <c r="W47" s="756"/>
      <c r="X47" s="756"/>
      <c r="Y47" s="756"/>
      <c r="Z47" s="756"/>
      <c r="AA47" s="756"/>
      <c r="AB47" s="756"/>
      <c r="AC47" s="756"/>
      <c r="AD47" s="756"/>
      <c r="AE47" s="756"/>
      <c r="AF47" s="756"/>
      <c r="AG47" s="756"/>
      <c r="AH47" s="756"/>
      <c r="AI47" s="756"/>
      <c r="AJ47" s="756"/>
      <c r="AK47" s="756"/>
      <c r="AL47" s="756"/>
      <c r="AM47" s="756"/>
      <c r="AN47" s="756"/>
      <c r="AO47" s="756"/>
      <c r="AP47" s="756"/>
      <c r="AQ47" s="756"/>
      <c r="AR47" s="756"/>
      <c r="AS47" s="756"/>
      <c r="AT47" s="756"/>
      <c r="AU47" s="756"/>
      <c r="AV47" s="756"/>
      <c r="AW47" s="756"/>
      <c r="AX47" s="756"/>
      <c r="AY47" s="756"/>
      <c r="AZ47" s="756"/>
      <c r="BA47" s="756"/>
      <c r="BB47" s="756"/>
      <c r="BC47" s="756"/>
      <c r="BD47" s="756"/>
      <c r="BE47" s="756"/>
      <c r="BF47" s="756"/>
      <c r="BG47" s="757"/>
      <c r="BH47" s="24"/>
      <c r="BJ47" s="715" t="s">
        <v>14</v>
      </c>
      <c r="BK47" s="715" t="s">
        <v>175</v>
      </c>
      <c r="BL47" s="715" t="s">
        <v>176</v>
      </c>
      <c r="BM47" s="715" t="s">
        <v>177</v>
      </c>
    </row>
    <row r="48" spans="1:66" ht="6.7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J48" s="715"/>
      <c r="BK48" s="715"/>
      <c r="BL48" s="715"/>
      <c r="BM48" s="715"/>
    </row>
    <row r="49" spans="1:67" ht="18" customHeight="1" x14ac:dyDescent="0.25">
      <c r="A49" s="752" t="s">
        <v>202</v>
      </c>
      <c r="B49" s="753"/>
      <c r="C49" s="753"/>
      <c r="D49" s="753"/>
      <c r="E49" s="753"/>
      <c r="F49" s="753"/>
      <c r="G49" s="753"/>
      <c r="H49" s="753"/>
      <c r="I49" s="753"/>
      <c r="J49" s="753"/>
      <c r="K49" s="753"/>
      <c r="L49" s="753"/>
      <c r="M49" s="753"/>
      <c r="N49" s="753"/>
      <c r="O49" s="753"/>
      <c r="P49" s="753"/>
      <c r="Q49" s="753"/>
      <c r="R49" s="753"/>
      <c r="S49" s="753"/>
      <c r="T49" s="753"/>
      <c r="U49" s="753"/>
      <c r="V49" s="753"/>
      <c r="W49" s="753"/>
      <c r="X49" s="753"/>
      <c r="Y49" s="753"/>
      <c r="Z49" s="753"/>
      <c r="AA49" s="753"/>
      <c r="AB49" s="753"/>
      <c r="AC49" s="753"/>
      <c r="AD49" s="753"/>
      <c r="AE49" s="753"/>
      <c r="AF49" s="753"/>
      <c r="AG49" s="753"/>
      <c r="AH49" s="753"/>
      <c r="AI49" s="753"/>
      <c r="AJ49" s="753"/>
      <c r="AK49" s="753"/>
      <c r="AL49" s="753"/>
      <c r="AM49" s="753"/>
      <c r="AN49" s="753"/>
      <c r="AO49" s="753"/>
      <c r="AP49" s="753"/>
      <c r="AQ49" s="753"/>
      <c r="AR49" s="753"/>
      <c r="AS49" s="753"/>
      <c r="AT49" s="753"/>
      <c r="AU49" s="753"/>
      <c r="AV49" s="753"/>
      <c r="AW49" s="753"/>
      <c r="AX49" s="753"/>
      <c r="AY49" s="753"/>
      <c r="AZ49" s="753"/>
      <c r="BA49" s="753"/>
      <c r="BB49" s="753"/>
      <c r="BC49" s="753"/>
      <c r="BD49" s="753"/>
      <c r="BE49" s="753"/>
      <c r="BF49" s="753"/>
      <c r="BG49" s="754"/>
      <c r="BJ49" s="48">
        <v>1200</v>
      </c>
      <c r="BK49" s="48">
        <v>1000</v>
      </c>
      <c r="BL49" s="48">
        <v>500</v>
      </c>
      <c r="BM49" s="49">
        <v>300000</v>
      </c>
    </row>
    <row r="50" spans="1:67" ht="21" customHeight="1" x14ac:dyDescent="0.25">
      <c r="A50" s="751" t="s">
        <v>203</v>
      </c>
      <c r="B50" s="692"/>
      <c r="C50" s="692"/>
      <c r="D50" s="692"/>
      <c r="E50" s="692"/>
      <c r="F50" s="692"/>
      <c r="G50" s="692"/>
      <c r="H50" s="692"/>
      <c r="I50" s="692"/>
      <c r="J50" s="692"/>
      <c r="K50" s="692"/>
      <c r="L50" s="692"/>
      <c r="M50" s="692"/>
      <c r="N50" s="66"/>
      <c r="O50" s="666">
        <v>0</v>
      </c>
      <c r="P50" s="666"/>
      <c r="Q50" s="665" t="s">
        <v>204</v>
      </c>
      <c r="R50" s="665"/>
      <c r="S50" s="665"/>
      <c r="T50" s="665"/>
      <c r="U50" s="66"/>
      <c r="V50" s="66"/>
      <c r="W50" s="666">
        <f>AZ6-O50</f>
        <v>1200</v>
      </c>
      <c r="X50" s="666"/>
      <c r="Y50" s="665" t="s">
        <v>205</v>
      </c>
      <c r="Z50" s="665"/>
      <c r="AA50" s="665"/>
      <c r="AB50" s="665"/>
      <c r="AC50" s="67"/>
      <c r="AD50" s="67"/>
      <c r="AE50" s="66"/>
      <c r="AF50" s="66"/>
      <c r="AG50" s="692" t="s">
        <v>206</v>
      </c>
      <c r="AH50" s="692"/>
      <c r="AI50" s="692"/>
      <c r="AJ50" s="692"/>
      <c r="AK50" s="692"/>
      <c r="AL50" s="666">
        <v>0</v>
      </c>
      <c r="AM50" s="666"/>
      <c r="AN50" s="665" t="s">
        <v>156</v>
      </c>
      <c r="AO50" s="665"/>
      <c r="AP50" s="66"/>
      <c r="AQ50" s="66"/>
      <c r="AR50" s="66"/>
      <c r="AS50" s="66"/>
      <c r="AT50" s="66"/>
      <c r="AU50" s="750" t="s">
        <v>207</v>
      </c>
      <c r="AV50" s="750"/>
      <c r="AW50" s="750"/>
      <c r="AX50" s="750"/>
      <c r="AY50" s="750"/>
      <c r="AZ50" s="750"/>
      <c r="BA50" s="666">
        <v>0</v>
      </c>
      <c r="BB50" s="666"/>
      <c r="BC50" s="665" t="s">
        <v>156</v>
      </c>
      <c r="BD50" s="665"/>
      <c r="BE50" s="66"/>
      <c r="BF50" s="66"/>
      <c r="BG50" s="68"/>
      <c r="BJ50" s="50">
        <f>BJ49/M21</f>
        <v>6.1855670103092786</v>
      </c>
      <c r="BK50" s="50">
        <f>BK49/M21</f>
        <v>5.1546391752577323</v>
      </c>
      <c r="BL50" s="50">
        <f>BL49/$S$21</f>
        <v>1.9230769230769231</v>
      </c>
      <c r="BM50" s="206"/>
      <c r="BN50" s="526"/>
      <c r="BO50" s="769"/>
    </row>
    <row r="51" spans="1:67" ht="21" customHeight="1" x14ac:dyDescent="0.25">
      <c r="A51" s="723" t="s">
        <v>208</v>
      </c>
      <c r="B51" s="724"/>
      <c r="C51" s="724"/>
      <c r="D51" s="724"/>
      <c r="E51" s="724"/>
      <c r="F51" s="724"/>
      <c r="G51" s="724"/>
      <c r="H51" s="724"/>
      <c r="I51" s="724"/>
      <c r="J51" s="724"/>
      <c r="K51" s="724"/>
      <c r="L51" s="724"/>
      <c r="M51" s="741">
        <v>0</v>
      </c>
      <c r="N51" s="741"/>
      <c r="O51" s="741"/>
      <c r="P51" s="724" t="s">
        <v>209</v>
      </c>
      <c r="Q51" s="724"/>
      <c r="R51" s="724"/>
      <c r="S51" s="724"/>
      <c r="T51" s="724"/>
      <c r="U51" s="724"/>
      <c r="V51" s="724"/>
      <c r="W51" s="724"/>
      <c r="X51" s="741">
        <v>0</v>
      </c>
      <c r="Y51" s="741"/>
      <c r="Z51" s="741"/>
      <c r="AA51" s="724" t="s">
        <v>210</v>
      </c>
      <c r="AB51" s="724"/>
      <c r="AC51" s="724"/>
      <c r="AD51" s="724"/>
      <c r="AE51" s="724"/>
      <c r="AF51" s="724"/>
      <c r="AG51" s="724"/>
      <c r="AH51" s="724"/>
      <c r="AI51" s="724"/>
      <c r="AJ51" s="724"/>
      <c r="AK51" s="724"/>
      <c r="AL51" s="69"/>
      <c r="AM51" s="69"/>
      <c r="AN51" s="69"/>
      <c r="AO51" s="69"/>
      <c r="AP51" s="69"/>
      <c r="AQ51" s="69"/>
      <c r="AR51" s="69"/>
      <c r="AS51" s="69"/>
      <c r="AT51" s="69"/>
      <c r="AU51" s="69"/>
      <c r="AV51" s="69"/>
      <c r="AW51" s="69"/>
      <c r="AX51" s="69"/>
      <c r="AY51" s="69"/>
      <c r="AZ51" s="69"/>
      <c r="BA51" s="69"/>
      <c r="BB51" s="69"/>
      <c r="BC51" s="69"/>
      <c r="BD51" s="69"/>
      <c r="BE51" s="69"/>
      <c r="BF51" s="69"/>
      <c r="BG51" s="70"/>
      <c r="BJ51" s="48">
        <f>ROUNDDOWN(BJ50,0)</f>
        <v>6</v>
      </c>
      <c r="BK51" s="48">
        <f>ROUNDDOWN(BK50,0)</f>
        <v>5</v>
      </c>
      <c r="BL51" s="48">
        <f>ROUNDDOWN(BL50,0)</f>
        <v>1</v>
      </c>
      <c r="BM51" s="206">
        <f>IF(BM54&lt;AZ6,BM54,AZ6)</f>
        <v>30</v>
      </c>
      <c r="BN51" s="526"/>
      <c r="BO51" s="769"/>
    </row>
    <row r="52" spans="1:67" ht="6.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J52" s="765" t="s">
        <v>178</v>
      </c>
      <c r="BK52" s="765"/>
      <c r="BL52" s="765"/>
      <c r="BM52" s="767">
        <f>BM49/BM51</f>
        <v>10000</v>
      </c>
    </row>
    <row r="53" spans="1:67" ht="11.25" customHeight="1" x14ac:dyDescent="0.25">
      <c r="A53" s="734" t="s">
        <v>67</v>
      </c>
      <c r="B53" s="735"/>
      <c r="C53" s="735"/>
      <c r="D53" s="735"/>
      <c r="E53" s="735"/>
      <c r="F53" s="726" t="s">
        <v>230</v>
      </c>
      <c r="G53" s="726"/>
      <c r="H53" s="726"/>
      <c r="I53" s="739"/>
      <c r="J53" s="739"/>
      <c r="K53" s="742" t="s">
        <v>231</v>
      </c>
      <c r="L53" s="742"/>
      <c r="M53" s="742"/>
      <c r="N53" s="742"/>
      <c r="O53" s="742"/>
      <c r="P53" s="742"/>
      <c r="Q53" s="742"/>
      <c r="R53" s="742"/>
      <c r="S53" s="742"/>
      <c r="T53" s="742"/>
      <c r="U53" s="742"/>
      <c r="V53" s="742"/>
      <c r="W53" s="742"/>
      <c r="X53" s="742"/>
      <c r="Y53" s="742"/>
      <c r="Z53" s="742"/>
      <c r="AA53" s="742"/>
      <c r="AB53" s="742"/>
      <c r="AC53" s="742"/>
      <c r="AD53" s="742"/>
      <c r="AE53" s="742"/>
      <c r="AF53" s="742"/>
      <c r="AG53" s="742"/>
      <c r="AH53" s="742"/>
      <c r="AI53" s="742"/>
      <c r="AJ53" s="742"/>
      <c r="AK53" s="77"/>
      <c r="AL53" s="77"/>
      <c r="AM53" s="77"/>
      <c r="AN53" s="77"/>
      <c r="AO53" s="77"/>
      <c r="AP53" s="77"/>
      <c r="AQ53" s="77"/>
      <c r="AR53" s="77"/>
      <c r="AS53" s="77"/>
      <c r="AT53" s="77"/>
      <c r="AU53" s="77"/>
      <c r="AV53" s="77"/>
      <c r="AW53" s="77"/>
      <c r="AX53" s="77"/>
      <c r="AY53" s="77"/>
      <c r="AZ53" s="77"/>
      <c r="BA53" s="77"/>
      <c r="BB53" s="77"/>
      <c r="BC53" s="77"/>
      <c r="BD53" s="77"/>
      <c r="BE53" s="77"/>
      <c r="BF53" s="77"/>
      <c r="BG53" s="78"/>
      <c r="BJ53" s="766"/>
      <c r="BK53" s="766"/>
      <c r="BL53" s="766"/>
      <c r="BM53" s="768"/>
    </row>
    <row r="54" spans="1:67" ht="4.5" customHeight="1" x14ac:dyDescent="0.25">
      <c r="A54" s="736"/>
      <c r="B54" s="737"/>
      <c r="C54" s="737"/>
      <c r="D54" s="737"/>
      <c r="E54" s="737"/>
      <c r="F54" s="727"/>
      <c r="G54" s="727"/>
      <c r="H54" s="727"/>
      <c r="I54" s="740"/>
      <c r="J54" s="740"/>
      <c r="K54" s="743"/>
      <c r="L54" s="743"/>
      <c r="M54" s="743"/>
      <c r="N54" s="743"/>
      <c r="O54" s="743"/>
      <c r="P54" s="743"/>
      <c r="Q54" s="743"/>
      <c r="R54" s="743"/>
      <c r="S54" s="743"/>
      <c r="T54" s="743"/>
      <c r="U54" s="743"/>
      <c r="V54" s="743"/>
      <c r="W54" s="743"/>
      <c r="X54" s="743"/>
      <c r="Y54" s="743"/>
      <c r="Z54" s="743"/>
      <c r="AA54" s="743"/>
      <c r="AB54" s="743"/>
      <c r="AC54" s="743"/>
      <c r="AD54" s="743"/>
      <c r="AE54" s="743"/>
      <c r="AF54" s="743"/>
      <c r="AG54" s="743"/>
      <c r="AH54" s="743"/>
      <c r="AI54" s="743"/>
      <c r="AJ54" s="743"/>
      <c r="AK54" s="79"/>
      <c r="AL54" s="79"/>
      <c r="AM54" s="79"/>
      <c r="AN54" s="79"/>
      <c r="AO54" s="79"/>
      <c r="AP54" s="79"/>
      <c r="AQ54" s="79"/>
      <c r="AR54" s="79"/>
      <c r="AS54" s="79"/>
      <c r="AT54" s="79"/>
      <c r="AU54" s="79"/>
      <c r="AV54" s="79"/>
      <c r="AW54" s="79"/>
      <c r="AX54" s="79"/>
      <c r="AY54" s="79"/>
      <c r="AZ54" s="79"/>
      <c r="BA54" s="79"/>
      <c r="BB54" s="79"/>
      <c r="BC54" s="79"/>
      <c r="BD54" s="79"/>
      <c r="BE54" s="79"/>
      <c r="BF54" s="79"/>
      <c r="BG54" s="80"/>
      <c r="BJ54" s="713" t="s">
        <v>346</v>
      </c>
      <c r="BK54" s="713"/>
      <c r="BL54" s="713"/>
      <c r="BM54" s="713">
        <f>BJ51*BK51*BL51</f>
        <v>30</v>
      </c>
    </row>
    <row r="55" spans="1:67" ht="13.5" customHeight="1" x14ac:dyDescent="0.25">
      <c r="A55" s="673"/>
      <c r="B55" s="674"/>
      <c r="C55" s="674"/>
      <c r="D55" s="674"/>
      <c r="E55" s="674"/>
      <c r="F55" s="674"/>
      <c r="G55" s="674"/>
      <c r="H55" s="674"/>
      <c r="I55" s="674"/>
      <c r="J55" s="674"/>
      <c r="K55" s="674"/>
      <c r="L55" s="674"/>
      <c r="M55" s="674"/>
      <c r="N55" s="674"/>
      <c r="O55" s="674"/>
      <c r="P55" s="674"/>
      <c r="Q55" s="674"/>
      <c r="R55" s="674"/>
      <c r="S55" s="674"/>
      <c r="T55" s="674"/>
      <c r="U55" s="674"/>
      <c r="V55" s="674"/>
      <c r="W55" s="674"/>
      <c r="X55" s="674"/>
      <c r="Y55" s="674"/>
      <c r="Z55" s="674"/>
      <c r="AA55" s="674"/>
      <c r="AB55" s="674"/>
      <c r="AC55" s="674"/>
      <c r="AD55" s="674"/>
      <c r="AE55" s="674"/>
      <c r="AF55" s="674"/>
      <c r="AG55" s="674"/>
      <c r="AH55" s="674"/>
      <c r="AI55" s="674"/>
      <c r="AJ55" s="674"/>
      <c r="AK55" s="674"/>
      <c r="AL55" s="674"/>
      <c r="AM55" s="674"/>
      <c r="AN55" s="674"/>
      <c r="AO55" s="674"/>
      <c r="AP55" s="674"/>
      <c r="AQ55" s="674"/>
      <c r="AR55" s="674"/>
      <c r="AS55" s="674"/>
      <c r="AT55" s="674"/>
      <c r="AU55" s="674"/>
      <c r="AV55" s="674"/>
      <c r="AW55" s="674"/>
      <c r="AX55" s="674"/>
      <c r="AY55" s="674"/>
      <c r="AZ55" s="674"/>
      <c r="BA55" s="674"/>
      <c r="BB55" s="674"/>
      <c r="BC55" s="674"/>
      <c r="BD55" s="674"/>
      <c r="BE55" s="674"/>
      <c r="BF55" s="674"/>
      <c r="BG55" s="675"/>
      <c r="BJ55" s="713"/>
      <c r="BK55" s="713"/>
      <c r="BL55" s="713"/>
      <c r="BM55" s="713"/>
    </row>
    <row r="56" spans="1:67" ht="4.5" customHeight="1" x14ac:dyDescent="0.25">
      <c r="A56" s="673"/>
      <c r="B56" s="674"/>
      <c r="C56" s="674"/>
      <c r="D56" s="674"/>
      <c r="E56" s="674"/>
      <c r="F56" s="674"/>
      <c r="G56" s="674"/>
      <c r="H56" s="674"/>
      <c r="I56" s="674"/>
      <c r="J56" s="674"/>
      <c r="K56" s="674"/>
      <c r="L56" s="674"/>
      <c r="M56" s="674"/>
      <c r="N56" s="674"/>
      <c r="O56" s="674"/>
      <c r="P56" s="674"/>
      <c r="Q56" s="674"/>
      <c r="R56" s="674"/>
      <c r="S56" s="674"/>
      <c r="T56" s="674"/>
      <c r="U56" s="674"/>
      <c r="V56" s="674"/>
      <c r="W56" s="674"/>
      <c r="X56" s="674"/>
      <c r="Y56" s="674"/>
      <c r="Z56" s="674"/>
      <c r="AA56" s="674"/>
      <c r="AB56" s="674"/>
      <c r="AC56" s="674"/>
      <c r="AD56" s="674"/>
      <c r="AE56" s="674"/>
      <c r="AF56" s="674"/>
      <c r="AG56" s="674"/>
      <c r="AH56" s="674"/>
      <c r="AI56" s="674"/>
      <c r="AJ56" s="674"/>
      <c r="AK56" s="674"/>
      <c r="AL56" s="674"/>
      <c r="AM56" s="674"/>
      <c r="AN56" s="674"/>
      <c r="AO56" s="674"/>
      <c r="AP56" s="674"/>
      <c r="AQ56" s="674"/>
      <c r="AR56" s="674"/>
      <c r="AS56" s="674"/>
      <c r="AT56" s="674"/>
      <c r="AU56" s="674"/>
      <c r="AV56" s="674"/>
      <c r="AW56" s="674"/>
      <c r="AX56" s="674"/>
      <c r="AY56" s="674"/>
      <c r="AZ56" s="674"/>
      <c r="BA56" s="674"/>
      <c r="BB56" s="674"/>
      <c r="BC56" s="674"/>
      <c r="BD56" s="674"/>
      <c r="BE56" s="674"/>
      <c r="BF56" s="674"/>
      <c r="BG56" s="675"/>
    </row>
    <row r="57" spans="1:67" ht="20.25" customHeight="1" x14ac:dyDescent="0.25">
      <c r="A57" s="673"/>
      <c r="B57" s="674"/>
      <c r="C57" s="674"/>
      <c r="D57" s="674"/>
      <c r="E57" s="674"/>
      <c r="F57" s="674"/>
      <c r="G57" s="674"/>
      <c r="H57" s="674"/>
      <c r="I57" s="674"/>
      <c r="J57" s="674"/>
      <c r="K57" s="674"/>
      <c r="L57" s="674"/>
      <c r="M57" s="674"/>
      <c r="N57" s="674"/>
      <c r="O57" s="674"/>
      <c r="P57" s="674"/>
      <c r="Q57" s="674"/>
      <c r="R57" s="674"/>
      <c r="S57" s="674"/>
      <c r="T57" s="674"/>
      <c r="U57" s="674"/>
      <c r="V57" s="674"/>
      <c r="W57" s="674"/>
      <c r="X57" s="674"/>
      <c r="Y57" s="674"/>
      <c r="Z57" s="674"/>
      <c r="AA57" s="674"/>
      <c r="AB57" s="674"/>
      <c r="AC57" s="674"/>
      <c r="AD57" s="674"/>
      <c r="AE57" s="674"/>
      <c r="AF57" s="674"/>
      <c r="AG57" s="674"/>
      <c r="AH57" s="674"/>
      <c r="AI57" s="674"/>
      <c r="AJ57" s="674"/>
      <c r="AK57" s="674"/>
      <c r="AL57" s="674"/>
      <c r="AM57" s="674"/>
      <c r="AN57" s="674"/>
      <c r="AO57" s="674"/>
      <c r="AP57" s="674"/>
      <c r="AQ57" s="674"/>
      <c r="AR57" s="674"/>
      <c r="AS57" s="674"/>
      <c r="AT57" s="674"/>
      <c r="AU57" s="674"/>
      <c r="AV57" s="674"/>
      <c r="AW57" s="674"/>
      <c r="AX57" s="674"/>
      <c r="AY57" s="674"/>
      <c r="AZ57" s="674"/>
      <c r="BA57" s="674"/>
      <c r="BB57" s="674"/>
      <c r="BC57" s="674"/>
      <c r="BD57" s="674"/>
      <c r="BE57" s="674"/>
      <c r="BF57" s="674"/>
      <c r="BG57" s="675"/>
    </row>
    <row r="58" spans="1:67" ht="11.25" customHeight="1" x14ac:dyDescent="0.25">
      <c r="A58" s="676"/>
      <c r="B58" s="677"/>
      <c r="C58" s="677"/>
      <c r="D58" s="677"/>
      <c r="E58" s="677"/>
      <c r="F58" s="677"/>
      <c r="G58" s="677"/>
      <c r="H58" s="677"/>
      <c r="I58" s="677"/>
      <c r="J58" s="677"/>
      <c r="K58" s="677"/>
      <c r="L58" s="677"/>
      <c r="M58" s="677"/>
      <c r="N58" s="677"/>
      <c r="O58" s="677"/>
      <c r="P58" s="677"/>
      <c r="Q58" s="677"/>
      <c r="R58" s="677"/>
      <c r="S58" s="677"/>
      <c r="T58" s="677"/>
      <c r="U58" s="677"/>
      <c r="V58" s="677"/>
      <c r="W58" s="677"/>
      <c r="X58" s="677"/>
      <c r="Y58" s="677"/>
      <c r="Z58" s="677"/>
      <c r="AA58" s="677"/>
      <c r="AB58" s="677"/>
      <c r="AC58" s="677"/>
      <c r="AD58" s="677"/>
      <c r="AE58" s="677"/>
      <c r="AF58" s="677"/>
      <c r="AG58" s="677"/>
      <c r="AH58" s="677"/>
      <c r="AI58" s="677"/>
      <c r="AJ58" s="677"/>
      <c r="AK58" s="677"/>
      <c r="AL58" s="677"/>
      <c r="AM58" s="677"/>
      <c r="AN58" s="677"/>
      <c r="AO58" s="677"/>
      <c r="AP58" s="677"/>
      <c r="AQ58" s="677"/>
      <c r="AR58" s="677"/>
      <c r="AS58" s="677"/>
      <c r="AT58" s="677"/>
      <c r="AU58" s="677"/>
      <c r="AV58" s="677"/>
      <c r="AW58" s="677"/>
      <c r="AX58" s="677"/>
      <c r="AY58" s="677"/>
      <c r="AZ58" s="677"/>
      <c r="BA58" s="677"/>
      <c r="BB58" s="677"/>
      <c r="BC58" s="677"/>
      <c r="BD58" s="677"/>
      <c r="BE58" s="677"/>
      <c r="BF58" s="677"/>
      <c r="BG58" s="678"/>
    </row>
    <row r="59" spans="1:67" ht="6.75" customHeight="1" x14ac:dyDescent="0.25">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row>
    <row r="60" spans="1:67" ht="11.25" customHeight="1" x14ac:dyDescent="0.25">
      <c r="A60" s="697" t="s">
        <v>227</v>
      </c>
      <c r="B60" s="698"/>
      <c r="C60" s="698"/>
      <c r="D60" s="698"/>
      <c r="E60" s="698"/>
      <c r="F60" s="698"/>
      <c r="G60" s="698"/>
      <c r="H60" s="698"/>
      <c r="I60" s="698"/>
      <c r="J60" s="698"/>
      <c r="K60" s="698"/>
      <c r="L60" s="698"/>
      <c r="M60" s="698"/>
      <c r="N60" s="698"/>
      <c r="O60" s="698"/>
      <c r="P60" s="698"/>
      <c r="Q60" s="698"/>
      <c r="R60" s="698"/>
      <c r="S60" s="699" t="s">
        <v>226</v>
      </c>
      <c r="T60" s="699"/>
      <c r="U60" s="699"/>
      <c r="V60" s="699"/>
      <c r="W60" s="699"/>
      <c r="X60" s="699"/>
      <c r="Y60" s="699" t="s">
        <v>228</v>
      </c>
      <c r="Z60" s="699"/>
      <c r="AA60" s="699"/>
      <c r="AB60" s="699"/>
      <c r="AC60" s="699"/>
      <c r="AD60" s="699"/>
      <c r="AE60" s="72"/>
      <c r="AF60" s="72"/>
      <c r="AG60" s="476" t="b">
        <v>0</v>
      </c>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3"/>
    </row>
    <row r="61" spans="1:67" ht="11.25" customHeight="1" x14ac:dyDescent="0.25">
      <c r="A61" s="691"/>
      <c r="B61" s="692"/>
      <c r="C61" s="692"/>
      <c r="D61" s="692"/>
      <c r="E61" s="692"/>
      <c r="F61" s="692"/>
      <c r="G61" s="692"/>
      <c r="H61" s="692"/>
      <c r="I61" s="692"/>
      <c r="J61" s="692"/>
      <c r="K61" s="692"/>
      <c r="L61" s="692"/>
      <c r="M61" s="692"/>
      <c r="N61" s="692"/>
      <c r="O61" s="692"/>
      <c r="P61" s="692"/>
      <c r="Q61" s="692"/>
      <c r="R61" s="692"/>
      <c r="S61" s="665"/>
      <c r="T61" s="665"/>
      <c r="U61" s="665"/>
      <c r="V61" s="665"/>
      <c r="W61" s="665"/>
      <c r="X61" s="665"/>
      <c r="Y61" s="665"/>
      <c r="Z61" s="665"/>
      <c r="AA61" s="665"/>
      <c r="AB61" s="665"/>
      <c r="AC61" s="665"/>
      <c r="AD61" s="665"/>
      <c r="AE61" s="67"/>
      <c r="AF61" s="67"/>
      <c r="AG61" s="477" t="b">
        <v>0</v>
      </c>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74"/>
    </row>
    <row r="62" spans="1:67" ht="11.25" customHeight="1" x14ac:dyDescent="0.25">
      <c r="A62" s="700" t="s">
        <v>223</v>
      </c>
      <c r="B62" s="665"/>
      <c r="C62" s="665"/>
      <c r="D62" s="665"/>
      <c r="E62" s="665"/>
      <c r="F62" s="665"/>
      <c r="G62" s="665"/>
      <c r="H62" s="692"/>
      <c r="I62" s="692"/>
      <c r="J62" s="692"/>
      <c r="K62" s="692"/>
      <c r="L62" s="692"/>
      <c r="M62" s="692"/>
      <c r="N62" s="692"/>
      <c r="O62" s="692"/>
      <c r="P62" s="692"/>
      <c r="Q62" s="692"/>
      <c r="R62" s="692"/>
      <c r="S62" s="692"/>
      <c r="T62" s="692"/>
      <c r="U62" s="692"/>
      <c r="V62" s="692"/>
      <c r="W62" s="692"/>
      <c r="X62" s="692"/>
      <c r="Y62" s="692"/>
      <c r="Z62" s="692"/>
      <c r="AA62" s="692"/>
      <c r="AB62" s="692"/>
      <c r="AC62" s="692"/>
      <c r="AD62" s="692"/>
      <c r="AE62" s="692"/>
      <c r="AF62" s="692"/>
      <c r="AG62" s="692"/>
      <c r="AH62" s="692"/>
      <c r="AI62" s="692"/>
      <c r="AJ62" s="692"/>
      <c r="AK62" s="692"/>
      <c r="AL62" s="692"/>
      <c r="AM62" s="692"/>
      <c r="AN62" s="692"/>
      <c r="AO62" s="692"/>
      <c r="AP62" s="692"/>
      <c r="AQ62" s="692"/>
      <c r="AR62" s="692"/>
      <c r="AS62" s="692"/>
      <c r="AT62" s="692"/>
      <c r="AU62" s="692"/>
      <c r="AV62" s="692"/>
      <c r="AW62" s="692"/>
      <c r="AX62" s="692"/>
      <c r="AY62" s="692"/>
      <c r="AZ62" s="692"/>
      <c r="BA62" s="692"/>
      <c r="BB62" s="692"/>
      <c r="BC62" s="692"/>
      <c r="BD62" s="692"/>
      <c r="BE62" s="692"/>
      <c r="BF62" s="692"/>
      <c r="BG62" s="693"/>
    </row>
    <row r="63" spans="1:67" ht="5.25" customHeight="1" x14ac:dyDescent="0.25">
      <c r="A63" s="691"/>
      <c r="B63" s="692"/>
      <c r="C63" s="692"/>
      <c r="D63" s="692"/>
      <c r="E63" s="692"/>
      <c r="F63" s="692"/>
      <c r="G63" s="692"/>
      <c r="H63" s="692"/>
      <c r="I63" s="692"/>
      <c r="J63" s="692"/>
      <c r="K63" s="692"/>
      <c r="L63" s="692"/>
      <c r="M63" s="692"/>
      <c r="N63" s="692"/>
      <c r="O63" s="692"/>
      <c r="P63" s="692"/>
      <c r="Q63" s="692"/>
      <c r="R63" s="692"/>
      <c r="S63" s="692"/>
      <c r="T63" s="692"/>
      <c r="U63" s="692"/>
      <c r="V63" s="692"/>
      <c r="W63" s="692"/>
      <c r="X63" s="692"/>
      <c r="Y63" s="692"/>
      <c r="Z63" s="692"/>
      <c r="AA63" s="692"/>
      <c r="AB63" s="692"/>
      <c r="AC63" s="692"/>
      <c r="AD63" s="692"/>
      <c r="AE63" s="692"/>
      <c r="AF63" s="692"/>
      <c r="AG63" s="692"/>
      <c r="AH63" s="692"/>
      <c r="AI63" s="692"/>
      <c r="AJ63" s="692"/>
      <c r="AK63" s="692"/>
      <c r="AL63" s="692"/>
      <c r="AM63" s="692"/>
      <c r="AN63" s="692"/>
      <c r="AO63" s="692"/>
      <c r="AP63" s="692"/>
      <c r="AQ63" s="692"/>
      <c r="AR63" s="692"/>
      <c r="AS63" s="692"/>
      <c r="AT63" s="692"/>
      <c r="AU63" s="692"/>
      <c r="AV63" s="692"/>
      <c r="AW63" s="692"/>
      <c r="AX63" s="692"/>
      <c r="AY63" s="692"/>
      <c r="AZ63" s="692"/>
      <c r="BA63" s="692"/>
      <c r="BB63" s="692"/>
      <c r="BC63" s="692"/>
      <c r="BD63" s="692"/>
      <c r="BE63" s="692"/>
      <c r="BF63" s="692"/>
      <c r="BG63" s="693"/>
    </row>
    <row r="64" spans="1:67" ht="11.25" customHeight="1" x14ac:dyDescent="0.25">
      <c r="A64" s="694"/>
      <c r="B64" s="695"/>
      <c r="C64" s="695"/>
      <c r="D64" s="695"/>
      <c r="E64" s="695"/>
      <c r="F64" s="695"/>
      <c r="G64" s="695"/>
      <c r="H64" s="695"/>
      <c r="I64" s="695"/>
      <c r="J64" s="695"/>
      <c r="K64" s="695"/>
      <c r="L64" s="695"/>
      <c r="M64" s="695"/>
      <c r="N64" s="695"/>
      <c r="O64" s="695"/>
      <c r="P64" s="695"/>
      <c r="Q64" s="695"/>
      <c r="R64" s="695"/>
      <c r="S64" s="695"/>
      <c r="T64" s="695"/>
      <c r="U64" s="695"/>
      <c r="V64" s="695"/>
      <c r="W64" s="695"/>
      <c r="X64" s="695"/>
      <c r="Y64" s="695"/>
      <c r="Z64" s="695"/>
      <c r="AA64" s="695"/>
      <c r="AB64" s="695"/>
      <c r="AC64" s="695"/>
      <c r="AD64" s="695"/>
      <c r="AE64" s="695"/>
      <c r="AF64" s="695"/>
      <c r="AG64" s="695"/>
      <c r="AH64" s="695"/>
      <c r="AI64" s="695"/>
      <c r="AJ64" s="695"/>
      <c r="AK64" s="695"/>
      <c r="AL64" s="695"/>
      <c r="AM64" s="695"/>
      <c r="AN64" s="695"/>
      <c r="AO64" s="695"/>
      <c r="AP64" s="695"/>
      <c r="AQ64" s="695"/>
      <c r="AR64" s="695"/>
      <c r="AS64" s="695"/>
      <c r="AT64" s="695"/>
      <c r="AU64" s="695"/>
      <c r="AV64" s="695"/>
      <c r="AW64" s="695"/>
      <c r="AX64" s="695"/>
      <c r="AY64" s="695"/>
      <c r="AZ64" s="695"/>
      <c r="BA64" s="695"/>
      <c r="BB64" s="695"/>
      <c r="BC64" s="695"/>
      <c r="BD64" s="695"/>
      <c r="BE64" s="695"/>
      <c r="BF64" s="695"/>
      <c r="BG64" s="696"/>
    </row>
    <row r="65" spans="1:59" ht="6.75" customHeight="1" x14ac:dyDescent="0.2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row>
    <row r="66" spans="1:59" ht="16.5" customHeight="1" x14ac:dyDescent="0.25">
      <c r="A66" s="635" t="s">
        <v>234</v>
      </c>
      <c r="B66" s="636"/>
      <c r="C66" s="636"/>
      <c r="D66" s="636"/>
      <c r="E66" s="636"/>
      <c r="F66" s="636"/>
      <c r="G66" s="636"/>
      <c r="H66" s="636"/>
      <c r="I66" s="636"/>
      <c r="J66" s="636"/>
      <c r="K66" s="636"/>
      <c r="L66" s="636"/>
      <c r="M66" s="636"/>
      <c r="N66" s="636"/>
      <c r="O66" s="636"/>
      <c r="P66" s="636"/>
      <c r="Q66" s="636"/>
      <c r="R66" s="636"/>
      <c r="S66" s="636"/>
      <c r="T66" s="636"/>
      <c r="U66" s="636"/>
      <c r="V66" s="636"/>
      <c r="W66" s="636"/>
      <c r="X66" s="636"/>
      <c r="Y66" s="636"/>
      <c r="Z66" s="636"/>
      <c r="AA66" s="636"/>
      <c r="AB66" s="636"/>
      <c r="AC66" s="636"/>
      <c r="AD66" s="636"/>
      <c r="AE66" s="636"/>
      <c r="AF66" s="636"/>
      <c r="AG66" s="636"/>
      <c r="AH66" s="636"/>
      <c r="AI66" s="636"/>
      <c r="AJ66" s="636"/>
      <c r="AK66" s="636"/>
      <c r="AL66" s="636"/>
      <c r="AM66" s="636"/>
      <c r="AN66" s="636"/>
      <c r="AO66" s="636"/>
      <c r="AP66" s="636"/>
      <c r="AQ66" s="636"/>
      <c r="AR66" s="636"/>
      <c r="AS66" s="636"/>
      <c r="AT66" s="636"/>
      <c r="AU66" s="636"/>
      <c r="AV66" s="636"/>
      <c r="AW66" s="636"/>
      <c r="AX66" s="636"/>
      <c r="AY66" s="636"/>
      <c r="AZ66" s="636"/>
      <c r="BA66" s="636"/>
      <c r="BB66" s="636"/>
      <c r="BC66" s="636"/>
      <c r="BD66" s="636"/>
      <c r="BE66" s="636"/>
      <c r="BF66" s="636"/>
      <c r="BG66" s="637"/>
    </row>
    <row r="67" spans="1:59" ht="17.25" customHeight="1" x14ac:dyDescent="0.25">
      <c r="A67" s="679" t="s">
        <v>240</v>
      </c>
      <c r="B67" s="680"/>
      <c r="C67" s="680"/>
      <c r="D67" s="680"/>
      <c r="E67" s="680"/>
      <c r="F67" s="680"/>
      <c r="G67" s="681"/>
      <c r="H67" s="682" t="s">
        <v>239</v>
      </c>
      <c r="I67" s="683"/>
      <c r="J67" s="683"/>
      <c r="K67" s="683"/>
      <c r="L67" s="683"/>
      <c r="M67" s="683"/>
      <c r="N67" s="683"/>
      <c r="O67" s="684"/>
      <c r="P67" s="670" t="s">
        <v>362</v>
      </c>
      <c r="Q67" s="671"/>
      <c r="R67" s="671"/>
      <c r="S67" s="671"/>
      <c r="T67" s="671"/>
      <c r="U67" s="671"/>
      <c r="V67" s="671"/>
      <c r="W67" s="671"/>
      <c r="X67" s="672"/>
      <c r="Y67" s="670" t="s">
        <v>237</v>
      </c>
      <c r="Z67" s="671"/>
      <c r="AA67" s="671"/>
      <c r="AB67" s="671"/>
      <c r="AC67" s="671"/>
      <c r="AD67" s="671"/>
      <c r="AE67" s="671"/>
      <c r="AF67" s="672"/>
      <c r="AG67" s="670" t="s">
        <v>238</v>
      </c>
      <c r="AH67" s="671"/>
      <c r="AI67" s="671"/>
      <c r="AJ67" s="671"/>
      <c r="AK67" s="671"/>
      <c r="AL67" s="671"/>
      <c r="AM67" s="671"/>
      <c r="AN67" s="671"/>
      <c r="AO67" s="672"/>
      <c r="AP67" s="671" t="s">
        <v>241</v>
      </c>
      <c r="AQ67" s="671"/>
      <c r="AR67" s="671"/>
      <c r="AS67" s="671"/>
      <c r="AT67" s="671"/>
      <c r="AU67" s="671"/>
      <c r="AV67" s="671"/>
      <c r="AW67" s="671"/>
      <c r="AX67" s="672"/>
      <c r="AY67" s="670" t="s">
        <v>242</v>
      </c>
      <c r="AZ67" s="671"/>
      <c r="BA67" s="671"/>
      <c r="BB67" s="671"/>
      <c r="BC67" s="671"/>
      <c r="BD67" s="671"/>
      <c r="BE67" s="671"/>
      <c r="BF67" s="671"/>
      <c r="BG67" s="672"/>
    </row>
    <row r="68" spans="1:59" ht="18" customHeight="1" x14ac:dyDescent="0.25">
      <c r="A68" s="685">
        <f>'ورود اطلاعات'!D6</f>
        <v>981225</v>
      </c>
      <c r="B68" s="686"/>
      <c r="C68" s="686"/>
      <c r="D68" s="686"/>
      <c r="E68" s="686"/>
      <c r="F68" s="686"/>
      <c r="G68" s="687"/>
      <c r="H68" s="688">
        <f>A68</f>
        <v>981225</v>
      </c>
      <c r="I68" s="689"/>
      <c r="J68" s="689"/>
      <c r="K68" s="689"/>
      <c r="L68" s="689"/>
      <c r="M68" s="689"/>
      <c r="N68" s="689"/>
      <c r="O68" s="690"/>
      <c r="P68" s="638"/>
      <c r="Q68" s="639"/>
      <c r="R68" s="639"/>
      <c r="S68" s="639"/>
      <c r="T68" s="639"/>
      <c r="U68" s="639"/>
      <c r="V68" s="639"/>
      <c r="W68" s="639"/>
      <c r="X68" s="640"/>
      <c r="Y68" s="688">
        <f>'ورود اطلاعات'!D9</f>
        <v>981225</v>
      </c>
      <c r="Z68" s="689"/>
      <c r="AA68" s="689"/>
      <c r="AB68" s="689"/>
      <c r="AC68" s="689"/>
      <c r="AD68" s="689"/>
      <c r="AE68" s="689"/>
      <c r="AF68" s="690"/>
      <c r="AG68" s="638"/>
      <c r="AH68" s="639"/>
      <c r="AI68" s="639"/>
      <c r="AJ68" s="639"/>
      <c r="AK68" s="639"/>
      <c r="AL68" s="639"/>
      <c r="AM68" s="639"/>
      <c r="AN68" s="639"/>
      <c r="AO68" s="640"/>
      <c r="AP68" s="639"/>
      <c r="AQ68" s="639"/>
      <c r="AR68" s="639"/>
      <c r="AS68" s="639"/>
      <c r="AT68" s="639"/>
      <c r="AU68" s="639"/>
      <c r="AV68" s="639"/>
      <c r="AW68" s="639"/>
      <c r="AX68" s="640"/>
      <c r="AY68" s="638"/>
      <c r="AZ68" s="639"/>
      <c r="BA68" s="639"/>
      <c r="BB68" s="639"/>
      <c r="BC68" s="639"/>
      <c r="BD68" s="639"/>
      <c r="BE68" s="639"/>
      <c r="BF68" s="639"/>
      <c r="BG68" s="640"/>
    </row>
    <row r="69" spans="1:59" ht="19.5" customHeight="1" x14ac:dyDescent="0.25">
      <c r="A69" s="82"/>
      <c r="B69" s="28"/>
      <c r="C69" s="28"/>
      <c r="D69" s="28"/>
      <c r="E69" s="28"/>
      <c r="F69" s="28"/>
      <c r="G69" s="29"/>
      <c r="H69" s="82"/>
      <c r="I69" s="28"/>
      <c r="J69" s="28"/>
      <c r="K69" s="28"/>
      <c r="L69" s="28"/>
      <c r="M69" s="28"/>
      <c r="N69" s="28"/>
      <c r="O69" s="29"/>
      <c r="P69" s="667" t="s">
        <v>363</v>
      </c>
      <c r="Q69" s="668"/>
      <c r="R69" s="668"/>
      <c r="S69" s="668"/>
      <c r="T69" s="668"/>
      <c r="U69" s="668"/>
      <c r="V69" s="668"/>
      <c r="W69" s="668"/>
      <c r="X69" s="669"/>
      <c r="Y69" s="82"/>
      <c r="Z69" s="28"/>
      <c r="AA69" s="28"/>
      <c r="AB69" s="28"/>
      <c r="AC69" s="28"/>
      <c r="AD69" s="28"/>
      <c r="AE69" s="28"/>
      <c r="AF69" s="29"/>
      <c r="AG69" s="82"/>
      <c r="AH69" s="28"/>
      <c r="AI69" s="28"/>
      <c r="AJ69" s="28"/>
      <c r="AK69" s="28"/>
      <c r="AL69" s="28"/>
      <c r="AM69" s="28"/>
      <c r="AN69" s="28"/>
      <c r="AO69" s="29"/>
      <c r="AP69" s="28"/>
      <c r="AQ69" s="28"/>
      <c r="AR69" s="28"/>
      <c r="AS69" s="28"/>
      <c r="AT69" s="28"/>
      <c r="AU69" s="28"/>
      <c r="AV69" s="28"/>
      <c r="AW69" s="28"/>
      <c r="AX69" s="29"/>
      <c r="AY69" s="82"/>
      <c r="AZ69" s="28"/>
      <c r="BA69" s="28"/>
      <c r="BB69" s="28"/>
      <c r="BC69" s="28"/>
      <c r="BD69" s="28"/>
      <c r="BE69" s="28"/>
      <c r="BF69" s="28"/>
      <c r="BG69" s="29"/>
    </row>
    <row r="70" spans="1:59" ht="3.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9"/>
      <c r="AH70" s="9"/>
      <c r="AI70" s="9"/>
      <c r="AJ70" s="9"/>
      <c r="AK70" s="9"/>
      <c r="AL70" s="9"/>
      <c r="AM70" s="9"/>
      <c r="AN70" s="9"/>
      <c r="AO70" s="9"/>
      <c r="AP70" s="5"/>
      <c r="AQ70" s="5"/>
      <c r="AR70" s="5"/>
      <c r="AS70" s="5"/>
      <c r="AT70" s="5"/>
      <c r="AU70" s="5"/>
      <c r="AV70" s="5"/>
      <c r="AW70" s="5"/>
      <c r="AX70" s="5"/>
      <c r="AY70" s="5"/>
      <c r="AZ70" s="5"/>
      <c r="BA70" s="5"/>
      <c r="BB70" s="5"/>
      <c r="BC70" s="5"/>
      <c r="BD70" s="5"/>
      <c r="BE70" s="5"/>
      <c r="BF70" s="5"/>
      <c r="BG70" s="5"/>
    </row>
    <row r="71" spans="1:59" ht="11.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spans="1:59" ht="11.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59" ht="11.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spans="1:59" ht="11.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spans="1:59" ht="11.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spans="1:59" ht="11.2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spans="1:59" ht="11.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spans="1:59" ht="11.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spans="1:59" ht="11.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spans="1:59" ht="11.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spans="1:59" ht="11.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spans="1:59" ht="11.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spans="1:59" ht="11.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spans="1:59" ht="11.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spans="1:59" ht="11.2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spans="1:59" ht="11.2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spans="1:59" ht="11.2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spans="1:59" ht="11.2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spans="1:59" ht="11.2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spans="1:59" ht="11.2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spans="1:59" ht="11.2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spans="1:59" ht="11.2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spans="1:59" ht="11.2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spans="1:59" ht="11.2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spans="1:59" ht="11.2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spans="1:59" ht="11.2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spans="1:59" ht="11.2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spans="1:59" ht="11.2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spans="1:59" ht="11.2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spans="1:59" ht="11.2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spans="1:59" ht="11.2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spans="1:59" ht="11.2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spans="1:59" ht="11.2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spans="1:59" ht="11.2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spans="1:59" ht="11.2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spans="1:59" ht="11.2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spans="1:59" ht="11.2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spans="1:59" ht="11.2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spans="1:59" ht="11.2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spans="1:59" ht="11.2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spans="1:59" ht="11.2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spans="1:59" ht="11.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spans="1:59" ht="11.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spans="1:59" ht="11.2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spans="1:59" ht="11.2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spans="1:59" ht="11.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spans="1:59" ht="11.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spans="1:59" ht="11.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spans="1:59" ht="11.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spans="1:59" ht="11.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spans="1:59" ht="11.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spans="1:59" ht="11.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spans="1:59" ht="11.2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spans="1:59" ht="11.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spans="1:59" ht="11.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spans="1:59" ht="11.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spans="1:59" ht="11.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spans="1:59" ht="11.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spans="1:59" ht="11.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spans="1:59" ht="11.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spans="1:59" ht="11.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spans="1:59" ht="11.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spans="1:59" ht="11.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spans="1:59" ht="11.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spans="1:59" ht="11.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spans="1:59" ht="11.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spans="1:59" ht="11.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spans="1:59" ht="11.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spans="1:59" ht="11.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spans="1:59" ht="11.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spans="1:59" ht="11.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spans="1:59" ht="11.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1:59" ht="11.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spans="1:59" ht="11.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spans="1:59" ht="11.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spans="1:59" ht="11.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spans="1:59" ht="11.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spans="1:59" ht="11.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spans="1:59" ht="11.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spans="1:59" ht="11.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spans="1:59" ht="11.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spans="1:59" ht="11.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spans="1:59" ht="11.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spans="1:59" ht="11.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spans="1:59" ht="11.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spans="1:59" ht="11.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spans="1:59" ht="11.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spans="1:59" ht="11.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spans="1:59" ht="11.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spans="1:59" ht="11.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spans="1:59" ht="11.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spans="1:59" ht="11.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spans="1:59" ht="11.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spans="1:59" ht="11.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spans="1:59" ht="11.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spans="1:59" ht="11.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spans="1:59" ht="11.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spans="1:59" ht="11.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spans="1:59" ht="11.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spans="1:59" ht="11.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spans="1:59" ht="11.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spans="1:59" ht="11.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spans="1:59" ht="11.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spans="1:59" ht="11.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spans="1:59" ht="11.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spans="1:59" ht="11.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spans="1:59" ht="11.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spans="1:59" ht="11.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spans="1:59" ht="11.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spans="1:59" ht="11.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spans="1:59" ht="11.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spans="1:59" ht="11.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spans="1:59" ht="11.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spans="1:59" ht="11.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spans="1:59" ht="11.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spans="1:59" ht="11.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spans="1:59" ht="11.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spans="1:59" ht="11.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spans="1:59" ht="11.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spans="1:59" ht="11.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spans="1:59" ht="11.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spans="1:59" ht="11.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spans="1:59" ht="11.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spans="1:59" ht="11.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spans="1:59" ht="11.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spans="1:59" ht="11.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spans="1:59" ht="11.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spans="1:59" ht="11.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spans="1:59" ht="11.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spans="1:59" ht="11.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spans="1:59" ht="11.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spans="1:59" ht="11.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spans="1:59" ht="11.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spans="1:59" ht="11.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spans="1:59" ht="11.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spans="1:59" ht="11.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spans="1:59" ht="11.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spans="1:59" ht="11.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spans="1:59" ht="11.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spans="1:59" ht="11.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spans="1:59" ht="11.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spans="1:59" ht="11.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spans="1:59" ht="11.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spans="1:59" ht="11.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spans="1:59" ht="11.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spans="1:59" ht="11.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spans="1:59" ht="11.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spans="1:59" ht="11.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spans="1:59" ht="11.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spans="1:59" ht="11.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spans="1:59" ht="11.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spans="1:59" ht="11.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spans="1:59" ht="11.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spans="1:59" ht="11.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spans="1:59" ht="11.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spans="1:59" ht="11.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spans="1:59" ht="11.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spans="1:59" ht="11.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spans="1:59" ht="11.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spans="1:59" ht="11.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spans="1:59" ht="11.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spans="1:59" ht="11.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spans="1:59" ht="11.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spans="1:59" ht="11.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spans="1:59" ht="11.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spans="1:59" ht="11.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spans="1:59" ht="11.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spans="1:59" ht="11.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spans="1:59" ht="11.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spans="1:59" ht="11.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spans="1:59" ht="11.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spans="1:59" ht="11.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spans="1:59" ht="11.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spans="1:59" ht="11.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spans="1:59" ht="11.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spans="1:59" ht="11.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spans="1:59" ht="11.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spans="1:59" ht="11.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spans="1:59" ht="11.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spans="1:59" ht="11.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spans="1:59" ht="11.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spans="1:59" ht="11.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spans="1:59" ht="11.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spans="1:59" ht="11.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spans="1:59" ht="11.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spans="1:59" ht="11.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spans="1:59" ht="11.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spans="1:59" ht="11.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spans="1:59" ht="11.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spans="1:59" ht="11.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spans="1:59" ht="11.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spans="1:59" ht="11.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spans="1:59" ht="11.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spans="1:59" ht="11.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spans="1:59" ht="11.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spans="1:59" ht="11.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spans="1:59" ht="11.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spans="1:59" ht="11.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spans="1:59" ht="11.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spans="1:59" ht="11.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spans="1:59" ht="11.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spans="1:59" ht="11.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spans="1:59" ht="11.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spans="1:59" ht="11.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spans="1:59" ht="11.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spans="1:59" ht="11.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spans="1:59" ht="11.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spans="1:59" ht="11.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spans="1:59" ht="11.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spans="1:59" ht="11.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spans="1:59" ht="11.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spans="1:59" ht="11.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spans="1:59" ht="11.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spans="1:59" ht="11.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spans="1:59" ht="11.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spans="1:59" ht="11.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spans="1:59" ht="11.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spans="1:59" ht="11.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spans="1:59" ht="11.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spans="1:59" ht="11.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spans="1:59" ht="11.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spans="1:59" ht="11.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spans="1:59" ht="11.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spans="1:59" ht="11.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spans="1:59" ht="11.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spans="1:59" ht="11.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spans="1:59" ht="11.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spans="1:59" ht="11.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spans="1:59" ht="11.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spans="1:59" ht="11.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spans="1:59" ht="11.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spans="1:59" ht="11.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spans="1:59" ht="11.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spans="1:59" ht="11.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spans="1:59" ht="11.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spans="1:59" ht="11.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spans="1:59" ht="11.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spans="1:59" ht="11.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spans="1:59" ht="11.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spans="1:59" ht="11.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spans="1:59" ht="11.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spans="1:59" ht="11.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spans="1:59" ht="11.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spans="1:59" ht="11.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spans="1:59" ht="11.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spans="1:59" ht="11.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spans="1:59" ht="11.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spans="1:59" ht="11.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spans="1:59" ht="11.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spans="1:59" ht="11.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spans="1:59" ht="11.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spans="1:59" ht="11.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spans="1:59" ht="11.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spans="1:59" ht="11.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spans="1:59" ht="11.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spans="1:59" ht="11.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spans="1:59" ht="11.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spans="1:59" ht="11.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spans="1:59" ht="11.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spans="1:59" ht="11.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spans="1:59" ht="11.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spans="1:59" ht="11.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spans="1:59" ht="11.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spans="1:59" ht="11.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spans="1:59" ht="11.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spans="1:59" ht="11.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spans="1:59" ht="11.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spans="1:59" ht="11.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spans="1:59" ht="11.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spans="1:59" ht="11.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spans="1:59" ht="11.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spans="1:59" ht="11.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spans="1:59" ht="11.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spans="1:59" ht="11.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spans="1:59" ht="11.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spans="1:59" ht="11.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spans="1:59" ht="11.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spans="1:59" ht="11.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spans="1:59" ht="11.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spans="1:59" ht="11.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spans="1:59" ht="11.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spans="1:59" ht="11.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spans="1:59" ht="11.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spans="1:59" ht="11.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spans="1:59" ht="11.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spans="1:59" ht="11.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spans="1:59" ht="11.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spans="1:59" ht="11.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spans="1:59" ht="11.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spans="1:59" ht="11.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spans="1:59" ht="11.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spans="1:59" ht="11.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spans="1:59" ht="11.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spans="1:59" ht="11.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spans="1:59" ht="11.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spans="1:59" ht="11.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spans="1:59" ht="11.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spans="1:59" ht="11.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spans="1:59" ht="11.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spans="1:59" ht="11.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spans="1:59" ht="11.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spans="1:59" ht="11.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spans="1:59" ht="11.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spans="1:59" ht="11.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spans="1:59" ht="11.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spans="1:59" ht="11.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spans="1:59" ht="11.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spans="1:59" ht="11.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spans="1:59" ht="11.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spans="1:59" ht="11.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spans="1:59" ht="11.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spans="1:59" ht="11.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spans="1:59" ht="11.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spans="1:59" ht="11.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spans="1:59" ht="11.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spans="1:59" ht="11.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spans="1:59" ht="11.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spans="1:59" ht="11.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spans="1:59" ht="11.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spans="1:59" ht="11.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spans="1:59" ht="11.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spans="1:59" ht="11.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spans="1:59" ht="11.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spans="1:59" ht="11.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spans="1:59" ht="11.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spans="1:59" ht="11.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spans="1:59" ht="11.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spans="1:59" ht="11.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spans="1:59" ht="11.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spans="1:59" ht="11.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spans="1:59" ht="11.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spans="1:59" ht="11.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spans="1:59" ht="11.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spans="1:59" ht="11.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spans="1:59" ht="11.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spans="1:59" ht="11.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spans="1:59" ht="11.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spans="1:59" ht="11.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spans="1:59" ht="11.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spans="1:59" ht="11.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spans="1:59" ht="11.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spans="1:59" ht="11.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spans="1:59" ht="11.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spans="1:59" ht="11.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spans="1:59" ht="11.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spans="1:59" ht="11.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spans="1:59" ht="11.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spans="1:59" ht="11.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spans="1:59" ht="11.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spans="1:59" ht="11.2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row>
    <row r="421" spans="1:59" ht="11.25" customHeight="1" x14ac:dyDescent="0.25"/>
    <row r="422" spans="1:59" ht="11.25" customHeight="1" x14ac:dyDescent="0.25"/>
    <row r="423" spans="1:59" ht="11.25" customHeight="1" x14ac:dyDescent="0.25"/>
    <row r="424" spans="1:59" ht="11.25" customHeight="1" x14ac:dyDescent="0.25"/>
    <row r="425" spans="1:59" ht="11.25" customHeight="1" x14ac:dyDescent="0.25"/>
    <row r="426" spans="1:59" ht="11.25" customHeight="1" x14ac:dyDescent="0.25"/>
    <row r="427" spans="1:59" ht="11.25" customHeight="1" x14ac:dyDescent="0.25"/>
    <row r="428" spans="1:59" ht="11.25" customHeight="1" x14ac:dyDescent="0.25"/>
    <row r="429" spans="1:59" ht="11.25" customHeight="1" x14ac:dyDescent="0.25"/>
    <row r="430" spans="1:59" ht="11.25" customHeight="1" x14ac:dyDescent="0.25"/>
    <row r="431" spans="1:59" ht="11.25" customHeight="1" x14ac:dyDescent="0.25"/>
    <row r="432" spans="1:59" ht="11.25" customHeight="1" x14ac:dyDescent="0.25"/>
    <row r="433" ht="11.25" customHeight="1" x14ac:dyDescent="0.25"/>
    <row r="434" ht="11.25" customHeight="1" x14ac:dyDescent="0.25"/>
    <row r="435" ht="11.25" customHeight="1" x14ac:dyDescent="0.25"/>
    <row r="436" ht="11.25" customHeight="1" x14ac:dyDescent="0.25"/>
    <row r="437" ht="11.25" customHeight="1" x14ac:dyDescent="0.25"/>
    <row r="438" ht="11.25" customHeight="1" x14ac:dyDescent="0.25"/>
    <row r="439" ht="11.25" customHeight="1" x14ac:dyDescent="0.25"/>
    <row r="440" ht="11.25" customHeight="1" x14ac:dyDescent="0.25"/>
    <row r="441" ht="11.25" customHeight="1" x14ac:dyDescent="0.25"/>
    <row r="442" ht="11.25" customHeight="1" x14ac:dyDescent="0.25"/>
    <row r="443" ht="11.25" customHeight="1" x14ac:dyDescent="0.25"/>
    <row r="444" ht="11.25" customHeight="1" x14ac:dyDescent="0.25"/>
    <row r="445" ht="11.25" customHeight="1" x14ac:dyDescent="0.25"/>
    <row r="446" ht="11.25" customHeight="1" x14ac:dyDescent="0.25"/>
    <row r="447" ht="11.25" customHeight="1" x14ac:dyDescent="0.25"/>
    <row r="448" ht="11.25" customHeight="1" x14ac:dyDescent="0.25"/>
    <row r="449" ht="11.25" customHeight="1" x14ac:dyDescent="0.25"/>
    <row r="450" ht="11.25" customHeight="1" x14ac:dyDescent="0.25"/>
    <row r="451" ht="11.25" customHeight="1" x14ac:dyDescent="0.25"/>
    <row r="452" ht="11.25" customHeight="1" x14ac:dyDescent="0.25"/>
    <row r="453" ht="11.25" customHeight="1" x14ac:dyDescent="0.25"/>
    <row r="454" ht="11.25" customHeight="1" x14ac:dyDescent="0.25"/>
    <row r="455" ht="11.25" customHeight="1" x14ac:dyDescent="0.25"/>
    <row r="456" ht="11.25" customHeight="1" x14ac:dyDescent="0.25"/>
    <row r="457" ht="11.25" customHeight="1" x14ac:dyDescent="0.25"/>
    <row r="458" ht="11.25" customHeight="1" x14ac:dyDescent="0.25"/>
    <row r="459" ht="11.25" customHeight="1" x14ac:dyDescent="0.25"/>
    <row r="460" ht="11.25" customHeight="1" x14ac:dyDescent="0.25"/>
    <row r="461" ht="11.25" customHeight="1" x14ac:dyDescent="0.25"/>
    <row r="462" ht="11.25" customHeight="1" x14ac:dyDescent="0.25"/>
    <row r="463" ht="11.25" customHeight="1" x14ac:dyDescent="0.25"/>
    <row r="464" ht="11.25" customHeight="1" x14ac:dyDescent="0.25"/>
    <row r="465" ht="11.25" customHeight="1" x14ac:dyDescent="0.25"/>
    <row r="466" ht="11.25" customHeight="1" x14ac:dyDescent="0.25"/>
    <row r="467" ht="11.25" customHeight="1" x14ac:dyDescent="0.25"/>
    <row r="468" ht="11.25" customHeight="1" x14ac:dyDescent="0.25"/>
    <row r="469" ht="11.25" customHeight="1" x14ac:dyDescent="0.25"/>
    <row r="470" ht="11.25" customHeight="1" x14ac:dyDescent="0.25"/>
    <row r="471" ht="11.25" customHeight="1" x14ac:dyDescent="0.25"/>
    <row r="472" ht="11.25" customHeight="1" x14ac:dyDescent="0.25"/>
    <row r="473" ht="11.25" customHeight="1" x14ac:dyDescent="0.25"/>
    <row r="474" ht="11.25" customHeight="1" x14ac:dyDescent="0.25"/>
    <row r="475" ht="11.25" customHeight="1" x14ac:dyDescent="0.25"/>
    <row r="476" ht="11.25" customHeight="1" x14ac:dyDescent="0.25"/>
    <row r="477" ht="11.25" customHeight="1" x14ac:dyDescent="0.25"/>
    <row r="478" ht="11.25" customHeight="1" x14ac:dyDescent="0.25"/>
    <row r="479" ht="11.25" customHeight="1" x14ac:dyDescent="0.25"/>
    <row r="480" ht="11.25" customHeight="1" x14ac:dyDescent="0.25"/>
    <row r="481" ht="11.25" customHeight="1" x14ac:dyDescent="0.25"/>
    <row r="482" ht="11.25" customHeight="1" x14ac:dyDescent="0.25"/>
    <row r="483" ht="11.25" customHeight="1" x14ac:dyDescent="0.25"/>
    <row r="484" ht="11.25" customHeight="1" x14ac:dyDescent="0.25"/>
    <row r="485" ht="11.25" customHeight="1" x14ac:dyDescent="0.25"/>
    <row r="486" ht="11.25" customHeight="1" x14ac:dyDescent="0.25"/>
    <row r="487" ht="11.25" customHeight="1" x14ac:dyDescent="0.25"/>
    <row r="488" ht="11.25" customHeight="1" x14ac:dyDescent="0.25"/>
    <row r="489" ht="11.25" customHeight="1" x14ac:dyDescent="0.25"/>
    <row r="490" ht="11.25" customHeight="1" x14ac:dyDescent="0.25"/>
    <row r="491" ht="11.25" customHeight="1" x14ac:dyDescent="0.25"/>
    <row r="492" ht="11.25" customHeight="1" x14ac:dyDescent="0.25"/>
    <row r="493" ht="11.25" customHeight="1" x14ac:dyDescent="0.25"/>
    <row r="494" ht="11.25" customHeight="1" x14ac:dyDescent="0.25"/>
    <row r="495" ht="11.25" customHeight="1" x14ac:dyDescent="0.25"/>
    <row r="496" ht="11.25" customHeight="1" x14ac:dyDescent="0.25"/>
    <row r="497" ht="11.25" customHeight="1" x14ac:dyDescent="0.25"/>
    <row r="498" ht="11.25" customHeight="1" x14ac:dyDescent="0.25"/>
    <row r="499" ht="11.25" customHeight="1" x14ac:dyDescent="0.25"/>
    <row r="500" ht="11.25" customHeight="1" x14ac:dyDescent="0.25"/>
    <row r="501" ht="11.25" customHeight="1" x14ac:dyDescent="0.25"/>
    <row r="502" ht="11.25" customHeight="1" x14ac:dyDescent="0.25"/>
    <row r="503" ht="11.25" customHeight="1" x14ac:dyDescent="0.25"/>
    <row r="504" ht="11.25" customHeight="1" x14ac:dyDescent="0.25"/>
    <row r="505" ht="11.25" customHeight="1" x14ac:dyDescent="0.25"/>
    <row r="506" ht="11.25" customHeight="1" x14ac:dyDescent="0.25"/>
    <row r="507" ht="11.25" customHeight="1" x14ac:dyDescent="0.25"/>
    <row r="508" ht="11.25" customHeight="1" x14ac:dyDescent="0.25"/>
    <row r="509" ht="11.25" customHeight="1" x14ac:dyDescent="0.25"/>
    <row r="510" ht="11.25" customHeight="1" x14ac:dyDescent="0.25"/>
    <row r="511" ht="11.25" customHeight="1" x14ac:dyDescent="0.25"/>
    <row r="512" ht="11.25" customHeight="1" x14ac:dyDescent="0.25"/>
    <row r="513" ht="11.25" customHeight="1" x14ac:dyDescent="0.25"/>
    <row r="514" ht="11.25" customHeight="1" x14ac:dyDescent="0.25"/>
    <row r="515" ht="11.25" customHeight="1" x14ac:dyDescent="0.25"/>
    <row r="516" ht="11.25" customHeight="1" x14ac:dyDescent="0.25"/>
    <row r="517" ht="11.25" customHeight="1" x14ac:dyDescent="0.25"/>
    <row r="518" ht="11.25" customHeight="1" x14ac:dyDescent="0.25"/>
    <row r="519" ht="11.25" customHeight="1" x14ac:dyDescent="0.25"/>
    <row r="520" ht="11.25" customHeight="1" x14ac:dyDescent="0.25"/>
    <row r="521" ht="11.25" customHeight="1" x14ac:dyDescent="0.25"/>
    <row r="522" ht="11.25" customHeight="1" x14ac:dyDescent="0.25"/>
    <row r="523" ht="11.25" customHeight="1" x14ac:dyDescent="0.25"/>
    <row r="524" ht="11.25" customHeight="1" x14ac:dyDescent="0.25"/>
    <row r="525" ht="11.25" customHeight="1" x14ac:dyDescent="0.25"/>
    <row r="526" ht="11.25" customHeight="1" x14ac:dyDescent="0.25"/>
    <row r="527" ht="11.25" customHeight="1" x14ac:dyDescent="0.25"/>
    <row r="528" ht="11.25" customHeight="1" x14ac:dyDescent="0.25"/>
    <row r="529" ht="11.25" customHeight="1" x14ac:dyDescent="0.25"/>
    <row r="530" ht="11.25" customHeight="1" x14ac:dyDescent="0.25"/>
    <row r="531" ht="11.25" customHeight="1" x14ac:dyDescent="0.25"/>
    <row r="532" ht="11.25" customHeight="1" x14ac:dyDescent="0.25"/>
    <row r="533" ht="11.25" customHeight="1" x14ac:dyDescent="0.25"/>
    <row r="534" ht="11.25" customHeight="1" x14ac:dyDescent="0.25"/>
    <row r="535" ht="11.25" customHeight="1" x14ac:dyDescent="0.25"/>
    <row r="536" ht="11.25" customHeight="1" x14ac:dyDescent="0.25"/>
    <row r="537" ht="11.25" customHeight="1" x14ac:dyDescent="0.25"/>
    <row r="538" ht="11.25" customHeight="1" x14ac:dyDescent="0.25"/>
    <row r="539" ht="11.25" customHeight="1" x14ac:dyDescent="0.25"/>
    <row r="540" ht="11.25" customHeight="1" x14ac:dyDescent="0.25"/>
    <row r="541" ht="11.25" customHeight="1" x14ac:dyDescent="0.25"/>
    <row r="542" ht="11.25" customHeight="1" x14ac:dyDescent="0.25"/>
    <row r="543" ht="11.25" customHeight="1" x14ac:dyDescent="0.25"/>
    <row r="544" ht="11.25" customHeight="1" x14ac:dyDescent="0.25"/>
  </sheetData>
  <sheetProtection algorithmName="SHA-512" hashValue="3B8c9biISUJzHoipe12xwsRSB+tXMtKCV4HnQn4ltZdSLBe3mTn240n1tzc0i4hY+5AfMao9A0A48FyBH1Tp3A==" saltValue="tMk39dTi6AYKmiz0wQnd4w==" spinCount="100000" sheet="1" sort="0" autoFilter="0" pivotTables="0"/>
  <protectedRanges>
    <protectedRange password="EA25" sqref="BJ12 BJ26:BJ32" name="Range1"/>
  </protectedRanges>
  <mergeCells count="293">
    <mergeCell ref="BJ52:BL53"/>
    <mergeCell ref="BM52:BM53"/>
    <mergeCell ref="BO50:BO51"/>
    <mergeCell ref="AW21:AZ21"/>
    <mergeCell ref="BN50:BN51"/>
    <mergeCell ref="AW18:AZ18"/>
    <mergeCell ref="AW19:AZ19"/>
    <mergeCell ref="M18:O19"/>
    <mergeCell ref="V23:X23"/>
    <mergeCell ref="V20:X20"/>
    <mergeCell ref="V21:X22"/>
    <mergeCell ref="BL39:BL40"/>
    <mergeCell ref="AQ20:AS20"/>
    <mergeCell ref="AH21:AJ21"/>
    <mergeCell ref="AW23:AZ23"/>
    <mergeCell ref="Y21:AA22"/>
    <mergeCell ref="AB21:AD22"/>
    <mergeCell ref="Y23:AA23"/>
    <mergeCell ref="AB23:AD23"/>
    <mergeCell ref="AE23:AG23"/>
    <mergeCell ref="BM47:BM48"/>
    <mergeCell ref="V24:X24"/>
    <mergeCell ref="A30:E30"/>
    <mergeCell ref="BK39:BK40"/>
    <mergeCell ref="AH24:AJ24"/>
    <mergeCell ref="AK24:AM24"/>
    <mergeCell ref="AB24:AD24"/>
    <mergeCell ref="AA51:AK51"/>
    <mergeCell ref="A41:BG41"/>
    <mergeCell ref="AY31:AZ31"/>
    <mergeCell ref="AU50:AZ50"/>
    <mergeCell ref="V25:X25"/>
    <mergeCell ref="Y25:AA25"/>
    <mergeCell ref="AB25:AD25"/>
    <mergeCell ref="AH25:AJ25"/>
    <mergeCell ref="AK25:AM25"/>
    <mergeCell ref="Y24:AA24"/>
    <mergeCell ref="M25:O25"/>
    <mergeCell ref="P25:R25"/>
    <mergeCell ref="S25:U25"/>
    <mergeCell ref="A50:M50"/>
    <mergeCell ref="A44:M45"/>
    <mergeCell ref="A49:BG49"/>
    <mergeCell ref="M47:O47"/>
    <mergeCell ref="P47:BG47"/>
    <mergeCell ref="BC50:BD50"/>
    <mergeCell ref="F53:H54"/>
    <mergeCell ref="Q30:S30"/>
    <mergeCell ref="N30:P30"/>
    <mergeCell ref="F30:G30"/>
    <mergeCell ref="T30:BG30"/>
    <mergeCell ref="Y31:AT31"/>
    <mergeCell ref="BA50:BB50"/>
    <mergeCell ref="C34:I34"/>
    <mergeCell ref="M34:T34"/>
    <mergeCell ref="Y34:BF34"/>
    <mergeCell ref="A53:E54"/>
    <mergeCell ref="AU31:AX31"/>
    <mergeCell ref="O31:S31"/>
    <mergeCell ref="I53:J54"/>
    <mergeCell ref="AN50:AO50"/>
    <mergeCell ref="J38:T38"/>
    <mergeCell ref="M51:O51"/>
    <mergeCell ref="P51:W51"/>
    <mergeCell ref="X51:Z51"/>
    <mergeCell ref="AG50:AK50"/>
    <mergeCell ref="K53:AJ54"/>
    <mergeCell ref="Y50:AB50"/>
    <mergeCell ref="J42:M43"/>
    <mergeCell ref="A47:L47"/>
    <mergeCell ref="BJ54:BL55"/>
    <mergeCell ref="BM54:BM55"/>
    <mergeCell ref="BD24:BG24"/>
    <mergeCell ref="AW24:AZ24"/>
    <mergeCell ref="AW25:AZ25"/>
    <mergeCell ref="BD25:BG25"/>
    <mergeCell ref="BJ47:BJ48"/>
    <mergeCell ref="BK47:BK48"/>
    <mergeCell ref="BL47:BL48"/>
    <mergeCell ref="A37:BG37"/>
    <mergeCell ref="N44:S45"/>
    <mergeCell ref="T44:X45"/>
    <mergeCell ref="A27:BG27"/>
    <mergeCell ref="A31:K31"/>
    <mergeCell ref="T31:V31"/>
    <mergeCell ref="W31:X31"/>
    <mergeCell ref="A51:L51"/>
    <mergeCell ref="AL50:AM50"/>
    <mergeCell ref="A42:F43"/>
    <mergeCell ref="G42:I43"/>
    <mergeCell ref="G25:I25"/>
    <mergeCell ref="W50:X50"/>
    <mergeCell ref="G24:I24"/>
    <mergeCell ref="J24:L24"/>
    <mergeCell ref="A8:G8"/>
    <mergeCell ref="H15:P15"/>
    <mergeCell ref="Q15:W15"/>
    <mergeCell ref="A15:G15"/>
    <mergeCell ref="X15:AI15"/>
    <mergeCell ref="AJ15:AS15"/>
    <mergeCell ref="AT15:AY15"/>
    <mergeCell ref="G13:L13"/>
    <mergeCell ref="M13:R13"/>
    <mergeCell ref="BD20:BG20"/>
    <mergeCell ref="BA20:BC20"/>
    <mergeCell ref="A17:C17"/>
    <mergeCell ref="L31:N31"/>
    <mergeCell ref="D25:F25"/>
    <mergeCell ref="J25:L25"/>
    <mergeCell ref="J18:L19"/>
    <mergeCell ref="A36:BG36"/>
    <mergeCell ref="A33:BG33"/>
    <mergeCell ref="J23:L23"/>
    <mergeCell ref="M23:O23"/>
    <mergeCell ref="P23:R23"/>
    <mergeCell ref="S23:U23"/>
    <mergeCell ref="D20:F20"/>
    <mergeCell ref="G20:I20"/>
    <mergeCell ref="J20:L20"/>
    <mergeCell ref="S20:U20"/>
    <mergeCell ref="A21:C22"/>
    <mergeCell ref="S21:U22"/>
    <mergeCell ref="M20:O20"/>
    <mergeCell ref="P20:R20"/>
    <mergeCell ref="D24:F24"/>
    <mergeCell ref="BA25:BC25"/>
    <mergeCell ref="BD21:BG22"/>
    <mergeCell ref="A38:I38"/>
    <mergeCell ref="Q50:T50"/>
    <mergeCell ref="O50:P50"/>
    <mergeCell ref="P69:X69"/>
    <mergeCell ref="AG67:AO67"/>
    <mergeCell ref="AP67:AX67"/>
    <mergeCell ref="AY67:BG67"/>
    <mergeCell ref="A55:BG58"/>
    <mergeCell ref="P67:X67"/>
    <mergeCell ref="AY68:BG68"/>
    <mergeCell ref="A67:G67"/>
    <mergeCell ref="H67:O67"/>
    <mergeCell ref="A68:G68"/>
    <mergeCell ref="H68:O68"/>
    <mergeCell ref="AG68:AO68"/>
    <mergeCell ref="A63:BG64"/>
    <mergeCell ref="H62:BG62"/>
    <mergeCell ref="A60:R61"/>
    <mergeCell ref="S60:X61"/>
    <mergeCell ref="Y60:AD61"/>
    <mergeCell ref="A62:G62"/>
    <mergeCell ref="AP68:AX68"/>
    <mergeCell ref="Y67:AF67"/>
    <mergeCell ref="Y68:AF68"/>
    <mergeCell ref="A66:BG66"/>
    <mergeCell ref="P68:X68"/>
    <mergeCell ref="A18:C19"/>
    <mergeCell ref="J17:L17"/>
    <mergeCell ref="M17:O17"/>
    <mergeCell ref="A24:C24"/>
    <mergeCell ref="A25:C25"/>
    <mergeCell ref="G21:I22"/>
    <mergeCell ref="J21:L22"/>
    <mergeCell ref="M21:O22"/>
    <mergeCell ref="P21:R22"/>
    <mergeCell ref="D18:F19"/>
    <mergeCell ref="D21:F22"/>
    <mergeCell ref="D17:F17"/>
    <mergeCell ref="P17:R17"/>
    <mergeCell ref="G18:I19"/>
    <mergeCell ref="P18:R19"/>
    <mergeCell ref="M24:O24"/>
    <mergeCell ref="S24:U24"/>
    <mergeCell ref="P24:R24"/>
    <mergeCell ref="A20:C20"/>
    <mergeCell ref="A23:C23"/>
    <mergeCell ref="D23:F23"/>
    <mergeCell ref="G23:I23"/>
    <mergeCell ref="BN3:BO3"/>
    <mergeCell ref="AB18:AD19"/>
    <mergeCell ref="Y18:AA19"/>
    <mergeCell ref="BD18:BG19"/>
    <mergeCell ref="AT18:AV19"/>
    <mergeCell ref="AE18:AG19"/>
    <mergeCell ref="AH18:AJ18"/>
    <mergeCell ref="AQ18:AS19"/>
    <mergeCell ref="BA17:BC17"/>
    <mergeCell ref="BA15:BG15"/>
    <mergeCell ref="AU3:BG4"/>
    <mergeCell ref="AM11:BG11"/>
    <mergeCell ref="T11:AL11"/>
    <mergeCell ref="X13:AB13"/>
    <mergeCell ref="AC13:AG13"/>
    <mergeCell ref="V18:X19"/>
    <mergeCell ref="S18:U19"/>
    <mergeCell ref="H8:W8"/>
    <mergeCell ref="S13:W13"/>
    <mergeCell ref="S17:U17"/>
    <mergeCell ref="I7:W7"/>
    <mergeCell ref="BM6:BY13"/>
    <mergeCell ref="BA24:BC24"/>
    <mergeCell ref="I6:W6"/>
    <mergeCell ref="BK28:BL28"/>
    <mergeCell ref="BK29:BL30"/>
    <mergeCell ref="AZ8:BG8"/>
    <mergeCell ref="AN25:AP25"/>
    <mergeCell ref="AQ25:AS25"/>
    <mergeCell ref="AT25:AV25"/>
    <mergeCell ref="AE25:AG25"/>
    <mergeCell ref="AE24:AG24"/>
    <mergeCell ref="AT17:AV17"/>
    <mergeCell ref="AH20:AJ20"/>
    <mergeCell ref="AE17:AG17"/>
    <mergeCell ref="AL9:AT9"/>
    <mergeCell ref="AU9:AY9"/>
    <mergeCell ref="AZ9:BG9"/>
    <mergeCell ref="AU8:AY8"/>
    <mergeCell ref="BA21:BC22"/>
    <mergeCell ref="BD23:BG23"/>
    <mergeCell ref="AH19:AJ19"/>
    <mergeCell ref="AK18:AM18"/>
    <mergeCell ref="AN18:AP18"/>
    <mergeCell ref="AH17:AJ17"/>
    <mergeCell ref="BB14:BG14"/>
    <mergeCell ref="AW20:AZ20"/>
    <mergeCell ref="AH22:AJ22"/>
    <mergeCell ref="AU1:BG2"/>
    <mergeCell ref="AT24:AV24"/>
    <mergeCell ref="AK21:AM21"/>
    <mergeCell ref="AN21:AP21"/>
    <mergeCell ref="AT21:AV22"/>
    <mergeCell ref="AH23:AJ23"/>
    <mergeCell ref="AK23:AM23"/>
    <mergeCell ref="AN23:AP23"/>
    <mergeCell ref="AQ23:AS23"/>
    <mergeCell ref="AT23:AV23"/>
    <mergeCell ref="BA18:BC19"/>
    <mergeCell ref="AN24:AP24"/>
    <mergeCell ref="AQ24:AS24"/>
    <mergeCell ref="AC8:AT8"/>
    <mergeCell ref="BA23:BC23"/>
    <mergeCell ref="AC9:AK9"/>
    <mergeCell ref="AW22:AZ22"/>
    <mergeCell ref="AK22:AM22"/>
    <mergeCell ref="AN22:AP22"/>
    <mergeCell ref="AQ21:AS22"/>
    <mergeCell ref="AT20:AV20"/>
    <mergeCell ref="AE21:AG22"/>
    <mergeCell ref="AN20:AP20"/>
    <mergeCell ref="M1:AT4"/>
    <mergeCell ref="AQ17:AS17"/>
    <mergeCell ref="BB13:BG13"/>
    <mergeCell ref="A11:S11"/>
    <mergeCell ref="Y17:AA17"/>
    <mergeCell ref="AB17:AD17"/>
    <mergeCell ref="G17:I17"/>
    <mergeCell ref="V17:X17"/>
    <mergeCell ref="X8:AB8"/>
    <mergeCell ref="X14:AB14"/>
    <mergeCell ref="AC14:AG14"/>
    <mergeCell ref="AL14:AO14"/>
    <mergeCell ref="AP14:AT14"/>
    <mergeCell ref="AU14:AZ14"/>
    <mergeCell ref="AK17:AM17"/>
    <mergeCell ref="AN17:AP17"/>
    <mergeCell ref="BD17:BG17"/>
    <mergeCell ref="AW17:AZ17"/>
    <mergeCell ref="AU6:AY6"/>
    <mergeCell ref="X7:AB7"/>
    <mergeCell ref="AU7:AY7"/>
    <mergeCell ref="AC7:AT7"/>
    <mergeCell ref="AZ7:BG7"/>
    <mergeCell ref="BP4:BP5"/>
    <mergeCell ref="A6:H6"/>
    <mergeCell ref="A7:H7"/>
    <mergeCell ref="Y20:AA20"/>
    <mergeCell ref="AB20:AD20"/>
    <mergeCell ref="AE20:AG20"/>
    <mergeCell ref="H9:W9"/>
    <mergeCell ref="X9:AB9"/>
    <mergeCell ref="A1:L4"/>
    <mergeCell ref="A13:F13"/>
    <mergeCell ref="AK19:AM19"/>
    <mergeCell ref="AN19:AP19"/>
    <mergeCell ref="AK20:AM20"/>
    <mergeCell ref="AH13:AL13"/>
    <mergeCell ref="AM13:AQ13"/>
    <mergeCell ref="AR13:AV13"/>
    <mergeCell ref="AW13:BA13"/>
    <mergeCell ref="G14:L14"/>
    <mergeCell ref="M14:R14"/>
    <mergeCell ref="S14:W14"/>
    <mergeCell ref="X6:AB6"/>
    <mergeCell ref="AC6:AT6"/>
    <mergeCell ref="BB6:BG6"/>
    <mergeCell ref="AZ6:BA6"/>
  </mergeCells>
  <conditionalFormatting sqref="AK18:AP18">
    <cfRule type="containsBlanks" dxfId="11" priority="10">
      <formula>LEN(TRIM(AK18))=0</formula>
    </cfRule>
  </conditionalFormatting>
  <conditionalFormatting sqref="AH18:AJ18">
    <cfRule type="containsBlanks" dxfId="10" priority="9">
      <formula>LEN(TRIM(AH18))=0</formula>
    </cfRule>
  </conditionalFormatting>
  <conditionalFormatting sqref="AK21:AP21">
    <cfRule type="containsBlanks" dxfId="9" priority="8">
      <formula>LEN(TRIM(AK21))=0</formula>
    </cfRule>
  </conditionalFormatting>
  <conditionalFormatting sqref="AH21:AJ21">
    <cfRule type="containsBlanks" dxfId="8" priority="7">
      <formula>LEN(TRIM(AH21))=0</formula>
    </cfRule>
  </conditionalFormatting>
  <conditionalFormatting sqref="AH21:AP21">
    <cfRule type="notContainsBlanks" dxfId="7" priority="6">
      <formula>LEN(TRIM(AH21))&gt;0</formula>
    </cfRule>
  </conditionalFormatting>
  <conditionalFormatting sqref="D25:BG25">
    <cfRule type="containsText" dxfId="6" priority="4" operator="containsText" text="r">
      <formula>NOT(ISERROR(SEARCH("r",D25)))</formula>
    </cfRule>
    <cfRule type="containsText" dxfId="5" priority="5" operator="containsText" text="A">
      <formula>NOT(ISERROR(SEARCH("A",D25)))</formula>
    </cfRule>
  </conditionalFormatting>
  <conditionalFormatting sqref="AQ25:AS25">
    <cfRule type="containsText" dxfId="4" priority="1" operator="containsText" text="خطرناک">
      <formula>NOT(ISERROR(SEARCH("خطرناک",AQ25)))</formula>
    </cfRule>
    <cfRule type="containsText" dxfId="3" priority="2" operator="containsText" text="هشدار">
      <formula>NOT(ISERROR(SEARCH("هشدار",AQ25)))</formula>
    </cfRule>
    <cfRule type="containsText" dxfId="2" priority="3" operator="containsText" text="مناسب">
      <formula>NOT(ISERROR(SEARCH("مناسب",AQ25)))</formula>
    </cfRule>
  </conditionalFormatting>
  <printOptions horizontalCentered="1"/>
  <pageMargins left="0" right="0" top="0" bottom="0" header="0" footer="0"/>
  <pageSetup paperSize="9" scale="91"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locked="0" defaultSize="0" autoFill="0" autoLine="0" autoPict="0">
                <anchor moveWithCells="1">
                  <from>
                    <xdr:col>19</xdr:col>
                    <xdr:colOff>85725</xdr:colOff>
                    <xdr:row>32</xdr:row>
                    <xdr:rowOff>228600</xdr:rowOff>
                  </from>
                  <to>
                    <xdr:col>21</xdr:col>
                    <xdr:colOff>85725</xdr:colOff>
                    <xdr:row>34</xdr:row>
                    <xdr:rowOff>19050</xdr:rowOff>
                  </to>
                </anchor>
              </controlPr>
            </control>
          </mc:Choice>
        </mc:AlternateContent>
        <mc:AlternateContent xmlns:mc="http://schemas.openxmlformats.org/markup-compatibility/2006">
          <mc:Choice Requires="x14">
            <control shapeId="16389" r:id="rId5" name="Check Box 5">
              <controlPr locked="0" defaultSize="0" autoFill="0" autoLine="0" autoPict="0">
                <anchor moveWithCells="1">
                  <from>
                    <xdr:col>21</xdr:col>
                    <xdr:colOff>47625</xdr:colOff>
                    <xdr:row>59</xdr:row>
                    <xdr:rowOff>19050</xdr:rowOff>
                  </from>
                  <to>
                    <xdr:col>23</xdr:col>
                    <xdr:colOff>47625</xdr:colOff>
                    <xdr:row>60</xdr:row>
                    <xdr:rowOff>104775</xdr:rowOff>
                  </to>
                </anchor>
              </controlPr>
            </control>
          </mc:Choice>
        </mc:AlternateContent>
        <mc:AlternateContent xmlns:mc="http://schemas.openxmlformats.org/markup-compatibility/2006">
          <mc:Choice Requires="x14">
            <control shapeId="16393" r:id="rId6" name="Check Box 9">
              <controlPr defaultSize="0" autoFill="0" autoLine="0" autoPict="0">
                <anchor moveWithCells="1">
                  <from>
                    <xdr:col>9</xdr:col>
                    <xdr:colOff>0</xdr:colOff>
                    <xdr:row>10</xdr:row>
                    <xdr:rowOff>28575</xdr:rowOff>
                  </from>
                  <to>
                    <xdr:col>10</xdr:col>
                    <xdr:colOff>114300</xdr:colOff>
                    <xdr:row>10</xdr:row>
                    <xdr:rowOff>238125</xdr:rowOff>
                  </to>
                </anchor>
              </controlPr>
            </control>
          </mc:Choice>
        </mc:AlternateContent>
        <mc:AlternateContent xmlns:mc="http://schemas.openxmlformats.org/markup-compatibility/2006">
          <mc:Choice Requires="x14">
            <control shapeId="16394" r:id="rId7" name="Check Box 10">
              <controlPr defaultSize="0" autoFill="0" autoLine="0" autoPict="0">
                <anchor moveWithCells="1">
                  <from>
                    <xdr:col>29</xdr:col>
                    <xdr:colOff>57150</xdr:colOff>
                    <xdr:row>10</xdr:row>
                    <xdr:rowOff>19050</xdr:rowOff>
                  </from>
                  <to>
                    <xdr:col>31</xdr:col>
                    <xdr:colOff>28575</xdr:colOff>
                    <xdr:row>10</xdr:row>
                    <xdr:rowOff>228600</xdr:rowOff>
                  </to>
                </anchor>
              </controlPr>
            </control>
          </mc:Choice>
        </mc:AlternateContent>
        <mc:AlternateContent xmlns:mc="http://schemas.openxmlformats.org/markup-compatibility/2006">
          <mc:Choice Requires="x14">
            <control shapeId="16396" r:id="rId8" name="Check Box 12">
              <controlPr defaultSize="0" autoFill="0" autoLine="0" autoPict="0">
                <anchor moveWithCells="1">
                  <from>
                    <xdr:col>9</xdr:col>
                    <xdr:colOff>85725</xdr:colOff>
                    <xdr:row>12</xdr:row>
                    <xdr:rowOff>19050</xdr:rowOff>
                  </from>
                  <to>
                    <xdr:col>11</xdr:col>
                    <xdr:colOff>76200</xdr:colOff>
                    <xdr:row>12</xdr:row>
                    <xdr:rowOff>228600</xdr:rowOff>
                  </to>
                </anchor>
              </controlPr>
            </control>
          </mc:Choice>
        </mc:AlternateContent>
        <mc:AlternateContent xmlns:mc="http://schemas.openxmlformats.org/markup-compatibility/2006">
          <mc:Choice Requires="x14">
            <control shapeId="16397" r:id="rId9" name="Check Box 13">
              <controlPr defaultSize="0" autoFill="0" autoLine="0" autoPict="0">
                <anchor moveWithCells="1">
                  <from>
                    <xdr:col>15</xdr:col>
                    <xdr:colOff>114300</xdr:colOff>
                    <xdr:row>12</xdr:row>
                    <xdr:rowOff>19050</xdr:rowOff>
                  </from>
                  <to>
                    <xdr:col>17</xdr:col>
                    <xdr:colOff>76200</xdr:colOff>
                    <xdr:row>12</xdr:row>
                    <xdr:rowOff>228600</xdr:rowOff>
                  </to>
                </anchor>
              </controlPr>
            </control>
          </mc:Choice>
        </mc:AlternateContent>
        <mc:AlternateContent xmlns:mc="http://schemas.openxmlformats.org/markup-compatibility/2006">
          <mc:Choice Requires="x14">
            <control shapeId="16398" r:id="rId10" name="Check Box 14">
              <controlPr defaultSize="0" autoFill="0" autoLine="0" autoPict="0">
                <anchor moveWithCells="1">
                  <from>
                    <xdr:col>20</xdr:col>
                    <xdr:colOff>114300</xdr:colOff>
                    <xdr:row>12</xdr:row>
                    <xdr:rowOff>19050</xdr:rowOff>
                  </from>
                  <to>
                    <xdr:col>22</xdr:col>
                    <xdr:colOff>85725</xdr:colOff>
                    <xdr:row>12</xdr:row>
                    <xdr:rowOff>228600</xdr:rowOff>
                  </to>
                </anchor>
              </controlPr>
            </control>
          </mc:Choice>
        </mc:AlternateContent>
        <mc:AlternateContent xmlns:mc="http://schemas.openxmlformats.org/markup-compatibility/2006">
          <mc:Choice Requires="x14">
            <control shapeId="16399" r:id="rId11" name="Check Box 15">
              <controlPr defaultSize="0" autoFill="0" autoLine="0" autoPict="0">
                <anchor moveWithCells="1">
                  <from>
                    <xdr:col>26</xdr:col>
                    <xdr:colOff>47625</xdr:colOff>
                    <xdr:row>12</xdr:row>
                    <xdr:rowOff>19050</xdr:rowOff>
                  </from>
                  <to>
                    <xdr:col>27</xdr:col>
                    <xdr:colOff>142875</xdr:colOff>
                    <xdr:row>12</xdr:row>
                    <xdr:rowOff>228600</xdr:rowOff>
                  </to>
                </anchor>
              </controlPr>
            </control>
          </mc:Choice>
        </mc:AlternateContent>
        <mc:AlternateContent xmlns:mc="http://schemas.openxmlformats.org/markup-compatibility/2006">
          <mc:Choice Requires="x14">
            <control shapeId="16400" r:id="rId12" name="Check Box 16">
              <controlPr defaultSize="0" autoFill="0" autoLine="0" autoPict="0">
                <anchor moveWithCells="1">
                  <from>
                    <xdr:col>31</xdr:col>
                    <xdr:colOff>19050</xdr:colOff>
                    <xdr:row>12</xdr:row>
                    <xdr:rowOff>19050</xdr:rowOff>
                  </from>
                  <to>
                    <xdr:col>32</xdr:col>
                    <xdr:colOff>114300</xdr:colOff>
                    <xdr:row>12</xdr:row>
                    <xdr:rowOff>228600</xdr:rowOff>
                  </to>
                </anchor>
              </controlPr>
            </control>
          </mc:Choice>
        </mc:AlternateContent>
        <mc:AlternateContent xmlns:mc="http://schemas.openxmlformats.org/markup-compatibility/2006">
          <mc:Choice Requires="x14">
            <control shapeId="16401" r:id="rId13" name="Check Box 17">
              <controlPr defaultSize="0" autoFill="0" autoLine="0" autoPict="0">
                <anchor moveWithCells="1">
                  <from>
                    <xdr:col>35</xdr:col>
                    <xdr:colOff>66675</xdr:colOff>
                    <xdr:row>12</xdr:row>
                    <xdr:rowOff>19050</xdr:rowOff>
                  </from>
                  <to>
                    <xdr:col>37</xdr:col>
                    <xdr:colOff>38100</xdr:colOff>
                    <xdr:row>12</xdr:row>
                    <xdr:rowOff>228600</xdr:rowOff>
                  </to>
                </anchor>
              </controlPr>
            </control>
          </mc:Choice>
        </mc:AlternateContent>
        <mc:AlternateContent xmlns:mc="http://schemas.openxmlformats.org/markup-compatibility/2006">
          <mc:Choice Requires="x14">
            <control shapeId="16402" r:id="rId14" name="Check Box 18">
              <controlPr defaultSize="0" autoFill="0" autoLine="0" autoPict="0">
                <anchor moveWithCells="1">
                  <from>
                    <xdr:col>51</xdr:col>
                    <xdr:colOff>142875</xdr:colOff>
                    <xdr:row>12</xdr:row>
                    <xdr:rowOff>19050</xdr:rowOff>
                  </from>
                  <to>
                    <xdr:col>52</xdr:col>
                    <xdr:colOff>95250</xdr:colOff>
                    <xdr:row>12</xdr:row>
                    <xdr:rowOff>228600</xdr:rowOff>
                  </to>
                </anchor>
              </controlPr>
            </control>
          </mc:Choice>
        </mc:AlternateContent>
        <mc:AlternateContent xmlns:mc="http://schemas.openxmlformats.org/markup-compatibility/2006">
          <mc:Choice Requires="x14">
            <control shapeId="16403" r:id="rId15" name="Check Box 19">
              <controlPr defaultSize="0" autoFill="0" autoLine="0" autoPict="0">
                <anchor moveWithCells="1">
                  <from>
                    <xdr:col>39</xdr:col>
                    <xdr:colOff>76200</xdr:colOff>
                    <xdr:row>12</xdr:row>
                    <xdr:rowOff>19050</xdr:rowOff>
                  </from>
                  <to>
                    <xdr:col>41</xdr:col>
                    <xdr:colOff>47625</xdr:colOff>
                    <xdr:row>12</xdr:row>
                    <xdr:rowOff>228600</xdr:rowOff>
                  </to>
                </anchor>
              </controlPr>
            </control>
          </mc:Choice>
        </mc:AlternateContent>
        <mc:AlternateContent xmlns:mc="http://schemas.openxmlformats.org/markup-compatibility/2006">
          <mc:Choice Requires="x14">
            <control shapeId="16404" r:id="rId16" name="Check Box 20">
              <controlPr defaultSize="0" autoFill="0" autoLine="0" autoPict="0">
                <anchor moveWithCells="1">
                  <from>
                    <xdr:col>46</xdr:col>
                    <xdr:colOff>28575</xdr:colOff>
                    <xdr:row>12</xdr:row>
                    <xdr:rowOff>19050</xdr:rowOff>
                  </from>
                  <to>
                    <xdr:col>47</xdr:col>
                    <xdr:colOff>76200</xdr:colOff>
                    <xdr:row>12</xdr:row>
                    <xdr:rowOff>228600</xdr:rowOff>
                  </to>
                </anchor>
              </controlPr>
            </control>
          </mc:Choice>
        </mc:AlternateContent>
        <mc:AlternateContent xmlns:mc="http://schemas.openxmlformats.org/markup-compatibility/2006">
          <mc:Choice Requires="x14">
            <control shapeId="16405" r:id="rId17" name="Check Box 21">
              <controlPr defaultSize="0" autoFill="0" autoLine="0" autoPict="0">
                <anchor moveWithCells="1">
                  <from>
                    <xdr:col>54</xdr:col>
                    <xdr:colOff>85725</xdr:colOff>
                    <xdr:row>12</xdr:row>
                    <xdr:rowOff>28575</xdr:rowOff>
                  </from>
                  <to>
                    <xdr:col>56</xdr:col>
                    <xdr:colOff>57150</xdr:colOff>
                    <xdr:row>12</xdr:row>
                    <xdr:rowOff>228600</xdr:rowOff>
                  </to>
                </anchor>
              </controlPr>
            </control>
          </mc:Choice>
        </mc:AlternateContent>
        <mc:AlternateContent xmlns:mc="http://schemas.openxmlformats.org/markup-compatibility/2006">
          <mc:Choice Requires="x14">
            <control shapeId="16406" r:id="rId18" name="Check Box 22">
              <controlPr locked="0" defaultSize="0" autoFill="0" autoLine="0" autoPict="0">
                <anchor moveWithCells="1">
                  <from>
                    <xdr:col>28</xdr:col>
                    <xdr:colOff>0</xdr:colOff>
                    <xdr:row>59</xdr:row>
                    <xdr:rowOff>19050</xdr:rowOff>
                  </from>
                  <to>
                    <xdr:col>30</xdr:col>
                    <xdr:colOff>0</xdr:colOff>
                    <xdr:row>60</xdr:row>
                    <xdr:rowOff>104775</xdr:rowOff>
                  </to>
                </anchor>
              </controlPr>
            </control>
          </mc:Choice>
        </mc:AlternateContent>
        <mc:AlternateContent xmlns:mc="http://schemas.openxmlformats.org/markup-compatibility/2006">
          <mc:Choice Requires="x14">
            <control shapeId="16408" r:id="rId19" name="Check Box 24">
              <controlPr defaultSize="0" autoFill="0" autoLine="0" autoPict="0">
                <anchor moveWithCells="1">
                  <from>
                    <xdr:col>30</xdr:col>
                    <xdr:colOff>0</xdr:colOff>
                    <xdr:row>8</xdr:row>
                    <xdr:rowOff>9525</xdr:rowOff>
                  </from>
                  <to>
                    <xdr:col>31</xdr:col>
                    <xdr:colOff>95250</xdr:colOff>
                    <xdr:row>8</xdr:row>
                    <xdr:rowOff>219075</xdr:rowOff>
                  </to>
                </anchor>
              </controlPr>
            </control>
          </mc:Choice>
        </mc:AlternateContent>
        <mc:AlternateContent xmlns:mc="http://schemas.openxmlformats.org/markup-compatibility/2006">
          <mc:Choice Requires="x14">
            <control shapeId="16409" r:id="rId20" name="Check Box 25">
              <controlPr defaultSize="0" autoFill="0" autoLine="0" autoPict="0">
                <anchor moveWithCells="1">
                  <from>
                    <xdr:col>39</xdr:col>
                    <xdr:colOff>114300</xdr:colOff>
                    <xdr:row>8</xdr:row>
                    <xdr:rowOff>9525</xdr:rowOff>
                  </from>
                  <to>
                    <xdr:col>41</xdr:col>
                    <xdr:colOff>85725</xdr:colOff>
                    <xdr:row>8</xdr:row>
                    <xdr:rowOff>219075</xdr:rowOff>
                  </to>
                </anchor>
              </controlPr>
            </control>
          </mc:Choice>
        </mc:AlternateContent>
        <mc:AlternateContent xmlns:mc="http://schemas.openxmlformats.org/markup-compatibility/2006">
          <mc:Choice Requires="x14">
            <control shapeId="16410" r:id="rId21" name="Check Box 26">
              <controlPr defaultSize="0" autoFill="0" autoLine="0" autoPict="0">
                <anchor moveWithCells="1">
                  <from>
                    <xdr:col>13</xdr:col>
                    <xdr:colOff>85725</xdr:colOff>
                    <xdr:row>14</xdr:row>
                    <xdr:rowOff>9525</xdr:rowOff>
                  </from>
                  <to>
                    <xdr:col>15</xdr:col>
                    <xdr:colOff>57150</xdr:colOff>
                    <xdr:row>14</xdr:row>
                    <xdr:rowOff>219075</xdr:rowOff>
                  </to>
                </anchor>
              </controlPr>
            </control>
          </mc:Choice>
        </mc:AlternateContent>
        <mc:AlternateContent xmlns:mc="http://schemas.openxmlformats.org/markup-compatibility/2006">
          <mc:Choice Requires="x14">
            <control shapeId="16411" r:id="rId22" name="Check Box 27">
              <controlPr defaultSize="0" autoFill="0" autoLine="0" autoPict="0">
                <anchor moveWithCells="1">
                  <from>
                    <xdr:col>20</xdr:col>
                    <xdr:colOff>76200</xdr:colOff>
                    <xdr:row>14</xdr:row>
                    <xdr:rowOff>9525</xdr:rowOff>
                  </from>
                  <to>
                    <xdr:col>22</xdr:col>
                    <xdr:colOff>47625</xdr:colOff>
                    <xdr:row>14</xdr:row>
                    <xdr:rowOff>219075</xdr:rowOff>
                  </to>
                </anchor>
              </controlPr>
            </control>
          </mc:Choice>
        </mc:AlternateContent>
        <mc:AlternateContent xmlns:mc="http://schemas.openxmlformats.org/markup-compatibility/2006">
          <mc:Choice Requires="x14">
            <control shapeId="16412" r:id="rId23" name="Check Box 28">
              <controlPr defaultSize="0" autoFill="0" autoLine="0" autoPict="0">
                <anchor moveWithCells="1">
                  <from>
                    <xdr:col>42</xdr:col>
                    <xdr:colOff>76200</xdr:colOff>
                    <xdr:row>14</xdr:row>
                    <xdr:rowOff>9525</xdr:rowOff>
                  </from>
                  <to>
                    <xdr:col>44</xdr:col>
                    <xdr:colOff>47625</xdr:colOff>
                    <xdr:row>14</xdr:row>
                    <xdr:rowOff>219075</xdr:rowOff>
                  </to>
                </anchor>
              </controlPr>
            </control>
          </mc:Choice>
        </mc:AlternateContent>
        <mc:AlternateContent xmlns:mc="http://schemas.openxmlformats.org/markup-compatibility/2006">
          <mc:Choice Requires="x14">
            <control shapeId="16413" r:id="rId24" name="Check Box 29">
              <controlPr defaultSize="0" autoFill="0" autoLine="0" autoPict="0">
                <anchor moveWithCells="1">
                  <from>
                    <xdr:col>32</xdr:col>
                    <xdr:colOff>95250</xdr:colOff>
                    <xdr:row>14</xdr:row>
                    <xdr:rowOff>9525</xdr:rowOff>
                  </from>
                  <to>
                    <xdr:col>34</xdr:col>
                    <xdr:colOff>66675</xdr:colOff>
                    <xdr:row>14</xdr:row>
                    <xdr:rowOff>219075</xdr:rowOff>
                  </to>
                </anchor>
              </controlPr>
            </control>
          </mc:Choice>
        </mc:AlternateContent>
        <mc:AlternateContent xmlns:mc="http://schemas.openxmlformats.org/markup-compatibility/2006">
          <mc:Choice Requires="x14">
            <control shapeId="16414" r:id="rId25" name="Check Box 30">
              <controlPr defaultSize="0" autoFill="0" autoLine="0" autoPict="0">
                <anchor moveWithCells="1">
                  <from>
                    <xdr:col>49</xdr:col>
                    <xdr:colOff>9525</xdr:colOff>
                    <xdr:row>14</xdr:row>
                    <xdr:rowOff>9525</xdr:rowOff>
                  </from>
                  <to>
                    <xdr:col>50</xdr:col>
                    <xdr:colOff>95250</xdr:colOff>
                    <xdr:row>14</xdr:row>
                    <xdr:rowOff>219075</xdr:rowOff>
                  </to>
                </anchor>
              </controlPr>
            </control>
          </mc:Choice>
        </mc:AlternateContent>
        <mc:AlternateContent xmlns:mc="http://schemas.openxmlformats.org/markup-compatibility/2006">
          <mc:Choice Requires="x14">
            <control shapeId="16415" r:id="rId26" name="Check Box 31">
              <controlPr defaultSize="0" autoFill="0" autoLine="0" autoPict="0">
                <anchor moveWithCells="1">
                  <from>
                    <xdr:col>4</xdr:col>
                    <xdr:colOff>9525</xdr:colOff>
                    <xdr:row>27</xdr:row>
                    <xdr:rowOff>0</xdr:rowOff>
                  </from>
                  <to>
                    <xdr:col>5</xdr:col>
                    <xdr:colOff>104775</xdr:colOff>
                    <xdr:row>28</xdr:row>
                    <xdr:rowOff>0</xdr:rowOff>
                  </to>
                </anchor>
              </controlPr>
            </control>
          </mc:Choice>
        </mc:AlternateContent>
        <mc:AlternateContent xmlns:mc="http://schemas.openxmlformats.org/markup-compatibility/2006">
          <mc:Choice Requires="x14">
            <control shapeId="16416" r:id="rId27" name="Check Box 32">
              <controlPr defaultSize="0" autoFill="0" autoLine="0" autoPict="0">
                <anchor moveWithCells="1">
                  <from>
                    <xdr:col>21</xdr:col>
                    <xdr:colOff>104775</xdr:colOff>
                    <xdr:row>27</xdr:row>
                    <xdr:rowOff>0</xdr:rowOff>
                  </from>
                  <to>
                    <xdr:col>23</xdr:col>
                    <xdr:colOff>76200</xdr:colOff>
                    <xdr:row>28</xdr:row>
                    <xdr:rowOff>0</xdr:rowOff>
                  </to>
                </anchor>
              </controlPr>
            </control>
          </mc:Choice>
        </mc:AlternateContent>
        <mc:AlternateContent xmlns:mc="http://schemas.openxmlformats.org/markup-compatibility/2006">
          <mc:Choice Requires="x14">
            <control shapeId="16417" r:id="rId28" name="Check Box 33">
              <controlPr defaultSize="0" autoFill="0" autoLine="0" autoPict="0">
                <anchor moveWithCells="1">
                  <from>
                    <xdr:col>48</xdr:col>
                    <xdr:colOff>28575</xdr:colOff>
                    <xdr:row>27</xdr:row>
                    <xdr:rowOff>0</xdr:rowOff>
                  </from>
                  <to>
                    <xdr:col>49</xdr:col>
                    <xdr:colOff>123825</xdr:colOff>
                    <xdr:row>28</xdr:row>
                    <xdr:rowOff>0</xdr:rowOff>
                  </to>
                </anchor>
              </controlPr>
            </control>
          </mc:Choice>
        </mc:AlternateContent>
        <mc:AlternateContent xmlns:mc="http://schemas.openxmlformats.org/markup-compatibility/2006">
          <mc:Choice Requires="x14">
            <control shapeId="16418" r:id="rId29" name="Check Box 34">
              <controlPr defaultSize="0" autoFill="0" autoLine="0" autoPict="0">
                <anchor moveWithCells="1">
                  <from>
                    <xdr:col>33</xdr:col>
                    <xdr:colOff>85725</xdr:colOff>
                    <xdr:row>27</xdr:row>
                    <xdr:rowOff>0</xdr:rowOff>
                  </from>
                  <to>
                    <xdr:col>35</xdr:col>
                    <xdr:colOff>57150</xdr:colOff>
                    <xdr:row>28</xdr:row>
                    <xdr:rowOff>0</xdr:rowOff>
                  </to>
                </anchor>
              </controlPr>
            </control>
          </mc:Choice>
        </mc:AlternateContent>
        <mc:AlternateContent xmlns:mc="http://schemas.openxmlformats.org/markup-compatibility/2006">
          <mc:Choice Requires="x14">
            <control shapeId="16419" r:id="rId30" name="Check Box 35">
              <controlPr defaultSize="0" autoFill="0" autoLine="0" autoPict="0">
                <anchor moveWithCells="1">
                  <from>
                    <xdr:col>17</xdr:col>
                    <xdr:colOff>47625</xdr:colOff>
                    <xdr:row>68</xdr:row>
                    <xdr:rowOff>19050</xdr:rowOff>
                  </from>
                  <to>
                    <xdr:col>19</xdr:col>
                    <xdr:colOff>19050</xdr:colOff>
                    <xdr:row>68</xdr:row>
                    <xdr:rowOff>228600</xdr:rowOff>
                  </to>
                </anchor>
              </controlPr>
            </control>
          </mc:Choice>
        </mc:AlternateContent>
        <mc:AlternateContent xmlns:mc="http://schemas.openxmlformats.org/markup-compatibility/2006">
          <mc:Choice Requires="x14">
            <control shapeId="16420" r:id="rId31" name="Check Box 36">
              <controlPr defaultSize="0" autoFill="0" autoLine="0" autoPict="0">
                <anchor moveWithCells="1">
                  <from>
                    <xdr:col>22</xdr:col>
                    <xdr:colOff>0</xdr:colOff>
                    <xdr:row>68</xdr:row>
                    <xdr:rowOff>19050</xdr:rowOff>
                  </from>
                  <to>
                    <xdr:col>23</xdr:col>
                    <xdr:colOff>95250</xdr:colOff>
                    <xdr:row>68</xdr:row>
                    <xdr:rowOff>228600</xdr:rowOff>
                  </to>
                </anchor>
              </controlPr>
            </control>
          </mc:Choice>
        </mc:AlternateContent>
        <mc:AlternateContent xmlns:mc="http://schemas.openxmlformats.org/markup-compatibility/2006">
          <mc:Choice Requires="x14">
            <control shapeId="16421" r:id="rId32" name="Check Box 37">
              <controlPr defaultSize="0" autoFill="0" autoLine="0" autoPict="0">
                <anchor moveWithCells="1">
                  <from>
                    <xdr:col>42</xdr:col>
                    <xdr:colOff>47625</xdr:colOff>
                    <xdr:row>10</xdr:row>
                    <xdr:rowOff>19050</xdr:rowOff>
                  </from>
                  <to>
                    <xdr:col>44</xdr:col>
                    <xdr:colOff>19050</xdr:colOff>
                    <xdr:row>10</xdr:row>
                    <xdr:rowOff>228600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BB61"/>
  <sheetViews>
    <sheetView rightToLeft="1" view="pageBreakPreview" zoomScale="85" zoomScaleSheetLayoutView="85" workbookViewId="0">
      <selection activeCell="X7" sqref="X7:AB7"/>
    </sheetView>
  </sheetViews>
  <sheetFormatPr defaultRowHeight="15" x14ac:dyDescent="0.25"/>
  <cols>
    <col min="1" max="1" width="6.28515625" style="118" customWidth="1"/>
    <col min="2" max="6" width="2.5703125" style="118" customWidth="1"/>
    <col min="7" max="7" width="11.28515625" style="118" customWidth="1"/>
    <col min="8" max="8" width="11.42578125" style="118" customWidth="1"/>
    <col min="9" max="9" width="23" style="118" customWidth="1"/>
    <col min="10" max="10" width="8.140625" style="118" customWidth="1"/>
    <col min="11" max="30" width="3.5703125" style="118" customWidth="1"/>
    <col min="31" max="31" width="16.85546875" style="4" customWidth="1"/>
    <col min="32" max="32" width="18" style="4" customWidth="1"/>
    <col min="33" max="33" width="14.28515625" style="4" customWidth="1"/>
    <col min="34" max="34" width="12" style="4" customWidth="1"/>
    <col min="35" max="35" width="4.140625" style="4" customWidth="1"/>
    <col min="36" max="36" width="10.140625" style="4" customWidth="1"/>
    <col min="37" max="37" width="14.28515625" style="4" bestFit="1" customWidth="1"/>
    <col min="38" max="40" width="9.140625" style="118"/>
    <col min="41" max="41" width="13.28515625" style="118" customWidth="1"/>
    <col min="42" max="16384" width="9.140625" style="118"/>
  </cols>
  <sheetData>
    <row r="1" spans="1:54" ht="15" customHeight="1" x14ac:dyDescent="0.25">
      <c r="A1" s="787" t="s">
        <v>199</v>
      </c>
      <c r="B1" s="788"/>
      <c r="C1" s="788"/>
      <c r="D1" s="788"/>
      <c r="E1" s="788"/>
      <c r="F1" s="788"/>
      <c r="G1" s="789"/>
      <c r="H1" s="819" t="s">
        <v>354</v>
      </c>
      <c r="I1" s="820"/>
      <c r="J1" s="820"/>
      <c r="K1" s="820"/>
      <c r="L1" s="820"/>
      <c r="M1" s="820"/>
      <c r="N1" s="820"/>
      <c r="O1" s="820"/>
      <c r="P1" s="820"/>
      <c r="Q1" s="820"/>
      <c r="R1" s="820"/>
      <c r="S1" s="820"/>
      <c r="T1" s="820"/>
      <c r="U1" s="820"/>
      <c r="V1" s="821"/>
      <c r="W1" s="807" t="s">
        <v>355</v>
      </c>
      <c r="X1" s="808"/>
      <c r="Y1" s="808"/>
      <c r="Z1" s="808"/>
      <c r="AA1" s="808"/>
      <c r="AB1" s="808"/>
      <c r="AC1" s="808"/>
      <c r="AD1" s="809"/>
      <c r="AE1" s="145"/>
      <c r="AF1" s="146" t="s">
        <v>23</v>
      </c>
      <c r="AG1" s="145"/>
      <c r="AH1" s="145"/>
      <c r="AI1" s="145"/>
      <c r="AJ1" s="143"/>
      <c r="AK1" s="143"/>
      <c r="AL1" s="117"/>
      <c r="AM1" s="117"/>
      <c r="AN1" s="117"/>
      <c r="AO1" s="117"/>
      <c r="AP1" s="117"/>
    </row>
    <row r="2" spans="1:54" ht="24" customHeight="1" x14ac:dyDescent="0.25">
      <c r="A2" s="790"/>
      <c r="B2" s="791"/>
      <c r="C2" s="791"/>
      <c r="D2" s="791"/>
      <c r="E2" s="791"/>
      <c r="F2" s="791"/>
      <c r="G2" s="792"/>
      <c r="H2" s="822"/>
      <c r="I2" s="823"/>
      <c r="J2" s="823"/>
      <c r="K2" s="823"/>
      <c r="L2" s="823"/>
      <c r="M2" s="823"/>
      <c r="N2" s="823"/>
      <c r="O2" s="823"/>
      <c r="P2" s="823"/>
      <c r="Q2" s="823"/>
      <c r="R2" s="823"/>
      <c r="S2" s="823"/>
      <c r="T2" s="823"/>
      <c r="U2" s="823"/>
      <c r="V2" s="824"/>
      <c r="W2" s="810"/>
      <c r="X2" s="811"/>
      <c r="Y2" s="811"/>
      <c r="Z2" s="811"/>
      <c r="AA2" s="811"/>
      <c r="AB2" s="811"/>
      <c r="AC2" s="811"/>
      <c r="AD2" s="812"/>
      <c r="AE2" s="145"/>
      <c r="AF2" s="145"/>
      <c r="AG2" s="145"/>
      <c r="AH2" s="145"/>
      <c r="AI2" s="145"/>
      <c r="AJ2" s="143"/>
      <c r="AK2" s="143"/>
      <c r="AL2" s="117"/>
      <c r="AM2" s="117"/>
      <c r="AN2" s="117"/>
      <c r="AO2" s="117"/>
      <c r="AP2" s="117"/>
    </row>
    <row r="3" spans="1:54" ht="15" customHeight="1" x14ac:dyDescent="0.25">
      <c r="A3" s="790"/>
      <c r="B3" s="791"/>
      <c r="C3" s="791"/>
      <c r="D3" s="791"/>
      <c r="E3" s="791"/>
      <c r="F3" s="791"/>
      <c r="G3" s="792"/>
      <c r="H3" s="822"/>
      <c r="I3" s="823"/>
      <c r="J3" s="823"/>
      <c r="K3" s="823"/>
      <c r="L3" s="823"/>
      <c r="M3" s="823"/>
      <c r="N3" s="823"/>
      <c r="O3" s="823"/>
      <c r="P3" s="823"/>
      <c r="Q3" s="823"/>
      <c r="R3" s="823"/>
      <c r="S3" s="823"/>
      <c r="T3" s="823"/>
      <c r="U3" s="823"/>
      <c r="V3" s="824"/>
      <c r="W3" s="813" t="s">
        <v>356</v>
      </c>
      <c r="X3" s="814"/>
      <c r="Y3" s="814"/>
      <c r="Z3" s="814"/>
      <c r="AA3" s="814"/>
      <c r="AB3" s="814"/>
      <c r="AC3" s="814"/>
      <c r="AD3" s="815"/>
      <c r="AE3" s="145"/>
      <c r="AF3" s="145"/>
      <c r="AG3" s="145"/>
      <c r="AH3" s="145"/>
      <c r="AI3" s="145"/>
      <c r="AJ3" s="143"/>
      <c r="AK3" s="143"/>
      <c r="AL3" s="117"/>
      <c r="AM3" s="117"/>
      <c r="AN3" s="117"/>
      <c r="AO3" s="117"/>
      <c r="AP3" s="117"/>
    </row>
    <row r="4" spans="1:54" ht="23.25" customHeight="1" x14ac:dyDescent="0.25">
      <c r="A4" s="793"/>
      <c r="B4" s="794"/>
      <c r="C4" s="794"/>
      <c r="D4" s="794"/>
      <c r="E4" s="794"/>
      <c r="F4" s="794"/>
      <c r="G4" s="795"/>
      <c r="H4" s="825"/>
      <c r="I4" s="826"/>
      <c r="J4" s="826"/>
      <c r="K4" s="826"/>
      <c r="L4" s="826"/>
      <c r="M4" s="826"/>
      <c r="N4" s="826"/>
      <c r="O4" s="826"/>
      <c r="P4" s="826"/>
      <c r="Q4" s="826"/>
      <c r="R4" s="826"/>
      <c r="S4" s="826"/>
      <c r="T4" s="826"/>
      <c r="U4" s="826"/>
      <c r="V4" s="827"/>
      <c r="W4" s="816"/>
      <c r="X4" s="817"/>
      <c r="Y4" s="817"/>
      <c r="Z4" s="817"/>
      <c r="AA4" s="817"/>
      <c r="AB4" s="817"/>
      <c r="AC4" s="817"/>
      <c r="AD4" s="818"/>
      <c r="AE4" s="145"/>
      <c r="AF4" s="145"/>
      <c r="AG4" s="145"/>
      <c r="AH4" s="145"/>
      <c r="AI4" s="145"/>
      <c r="AJ4" s="143"/>
      <c r="AK4" s="143"/>
      <c r="AL4" s="117"/>
      <c r="AM4" s="117"/>
      <c r="AN4" s="117"/>
      <c r="AO4" s="117"/>
      <c r="AP4" s="117"/>
    </row>
    <row r="5" spans="1:54" ht="4.5" customHeight="1" x14ac:dyDescent="0.25">
      <c r="A5" s="119"/>
      <c r="B5" s="119"/>
      <c r="C5" s="119"/>
      <c r="D5" s="119"/>
      <c r="E5" s="119"/>
      <c r="F5" s="119"/>
      <c r="G5" s="119"/>
      <c r="H5" s="120"/>
      <c r="I5" s="120"/>
      <c r="J5" s="120"/>
      <c r="K5" s="120"/>
      <c r="L5" s="120"/>
      <c r="M5" s="120"/>
      <c r="N5" s="120"/>
      <c r="O5" s="120"/>
      <c r="P5" s="120"/>
      <c r="Q5" s="120"/>
      <c r="R5" s="120"/>
      <c r="S5" s="120"/>
      <c r="T5" s="120"/>
      <c r="U5" s="120"/>
      <c r="V5" s="120"/>
      <c r="W5" s="121"/>
      <c r="X5" s="121"/>
      <c r="Y5" s="121"/>
      <c r="Z5" s="121"/>
      <c r="AA5" s="121"/>
      <c r="AB5" s="121"/>
      <c r="AC5" s="121"/>
      <c r="AD5" s="121"/>
      <c r="AE5" s="145"/>
      <c r="AF5" s="145"/>
      <c r="AG5" s="145"/>
      <c r="AH5" s="145"/>
      <c r="AI5" s="145"/>
      <c r="AJ5" s="143"/>
      <c r="AK5" s="143"/>
      <c r="AL5" s="117"/>
      <c r="AM5" s="117"/>
      <c r="AN5" s="117"/>
      <c r="AO5" s="117"/>
      <c r="AP5" s="117"/>
    </row>
    <row r="6" spans="1:54" ht="32.25" customHeight="1" x14ac:dyDescent="0.3">
      <c r="A6" s="796" t="s">
        <v>24</v>
      </c>
      <c r="B6" s="797"/>
      <c r="C6" s="797"/>
      <c r="D6" s="797" t="str">
        <f>IF('ورود اطلاعات'!D15="",'ورود اطلاعات'!D5,'ورود اطلاعات'!D15)</f>
        <v>Y25-LSD1</v>
      </c>
      <c r="E6" s="797"/>
      <c r="F6" s="797"/>
      <c r="G6" s="797"/>
      <c r="H6" s="797"/>
      <c r="I6" s="797"/>
      <c r="J6" s="798"/>
      <c r="K6" s="796" t="s">
        <v>25</v>
      </c>
      <c r="L6" s="797"/>
      <c r="M6" s="797"/>
      <c r="N6" s="830"/>
      <c r="O6" s="830"/>
      <c r="P6" s="830"/>
      <c r="Q6" s="830"/>
      <c r="R6" s="830"/>
      <c r="S6" s="830"/>
      <c r="T6" s="830"/>
      <c r="U6" s="830"/>
      <c r="V6" s="830"/>
      <c r="W6" s="830"/>
      <c r="X6" s="830"/>
      <c r="Y6" s="830"/>
      <c r="Z6" s="830"/>
      <c r="AA6" s="830"/>
      <c r="AB6" s="830"/>
      <c r="AC6" s="830"/>
      <c r="AD6" s="831"/>
      <c r="AE6" s="145"/>
      <c r="AF6" s="145"/>
      <c r="AG6" s="145"/>
      <c r="AH6" s="145"/>
      <c r="AI6" s="145"/>
      <c r="AJ6" s="143"/>
      <c r="AK6" s="143"/>
      <c r="AL6" s="117"/>
      <c r="AM6" s="117"/>
      <c r="AN6" s="117"/>
      <c r="AO6" s="117"/>
      <c r="AP6" s="117"/>
    </row>
    <row r="7" spans="1:54" ht="32.25" customHeight="1" x14ac:dyDescent="0.25">
      <c r="A7" s="796" t="s">
        <v>26</v>
      </c>
      <c r="B7" s="797"/>
      <c r="C7" s="797"/>
      <c r="D7" s="799" t="str">
        <f>'ورود اطلاعات'!D7</f>
        <v>0318.000000.0008</v>
      </c>
      <c r="E7" s="799"/>
      <c r="F7" s="799"/>
      <c r="G7" s="799"/>
      <c r="H7" s="799"/>
      <c r="I7" s="799"/>
      <c r="J7" s="800"/>
      <c r="K7" s="796" t="s">
        <v>185</v>
      </c>
      <c r="L7" s="797"/>
      <c r="M7" s="797"/>
      <c r="N7" s="803"/>
      <c r="O7" s="803"/>
      <c r="P7" s="803"/>
      <c r="Q7" s="803"/>
      <c r="R7" s="803"/>
      <c r="S7" s="803"/>
      <c r="T7" s="803"/>
      <c r="U7" s="803"/>
      <c r="V7" s="803"/>
      <c r="W7" s="803"/>
      <c r="X7" s="803"/>
      <c r="Y7" s="803"/>
      <c r="Z7" s="803"/>
      <c r="AA7" s="803"/>
      <c r="AB7" s="803"/>
      <c r="AC7" s="803"/>
      <c r="AD7" s="804"/>
      <c r="AE7" s="145"/>
      <c r="AF7" s="145"/>
      <c r="AG7" s="145"/>
      <c r="AH7" s="145"/>
      <c r="AI7" s="145"/>
      <c r="AJ7" s="143"/>
      <c r="AK7" s="143"/>
      <c r="AL7" s="117"/>
      <c r="AM7" s="117"/>
      <c r="AN7" s="117"/>
      <c r="AO7" s="117"/>
      <c r="AP7" s="117"/>
    </row>
    <row r="8" spans="1:54" ht="32.25" customHeight="1" x14ac:dyDescent="0.25">
      <c r="A8" s="796" t="s">
        <v>27</v>
      </c>
      <c r="B8" s="797"/>
      <c r="C8" s="797"/>
      <c r="D8" s="797"/>
      <c r="E8" s="797"/>
      <c r="F8" s="803"/>
      <c r="G8" s="803"/>
      <c r="H8" s="803"/>
      <c r="I8" s="803"/>
      <c r="J8" s="804"/>
      <c r="K8" s="828" t="s">
        <v>28</v>
      </c>
      <c r="L8" s="829"/>
      <c r="M8" s="829"/>
      <c r="N8" s="797" t="str">
        <f>CONCATENATE(" شرکت"," ",'ورود اطلاعات'!D3)</f>
        <v xml:space="preserve"> شرکت آروین تبریز</v>
      </c>
      <c r="O8" s="797"/>
      <c r="P8" s="797"/>
      <c r="Q8" s="797"/>
      <c r="R8" s="797"/>
      <c r="S8" s="797"/>
      <c r="T8" s="797"/>
      <c r="U8" s="797"/>
      <c r="V8" s="797"/>
      <c r="W8" s="797"/>
      <c r="X8" s="797"/>
      <c r="Y8" s="797"/>
      <c r="Z8" s="797"/>
      <c r="AA8" s="797"/>
      <c r="AB8" s="797"/>
      <c r="AC8" s="797"/>
      <c r="AD8" s="798"/>
      <c r="AE8" s="145"/>
      <c r="AF8" s="145"/>
      <c r="AG8" s="145"/>
      <c r="AH8" s="145"/>
      <c r="AI8" s="145"/>
      <c r="AJ8" s="143"/>
      <c r="AK8" s="143"/>
      <c r="AL8" s="345"/>
      <c r="AM8" s="345"/>
      <c r="AN8" s="345"/>
      <c r="AO8" s="345"/>
      <c r="AP8" s="345"/>
      <c r="AQ8" s="1"/>
      <c r="AR8" s="1" t="s">
        <v>295</v>
      </c>
      <c r="AS8" s="1"/>
      <c r="AT8" s="1"/>
      <c r="AU8" s="1"/>
      <c r="AV8" s="1"/>
      <c r="AW8" s="1"/>
      <c r="AX8" s="1"/>
      <c r="AY8" s="346" t="s">
        <v>291</v>
      </c>
      <c r="AZ8" s="1"/>
      <c r="BA8" s="1"/>
      <c r="BB8" s="1"/>
    </row>
    <row r="9" spans="1:54" s="2" customFormat="1" ht="24" customHeight="1" x14ac:dyDescent="0.3">
      <c r="A9" s="780" t="s">
        <v>29</v>
      </c>
      <c r="B9" s="780" t="s">
        <v>106</v>
      </c>
      <c r="C9" s="780"/>
      <c r="D9" s="780"/>
      <c r="E9" s="780"/>
      <c r="F9" s="780"/>
      <c r="G9" s="780"/>
      <c r="H9" s="780" t="s">
        <v>30</v>
      </c>
      <c r="I9" s="780" t="s">
        <v>31</v>
      </c>
      <c r="J9" s="780" t="s">
        <v>32</v>
      </c>
      <c r="K9" s="801" t="s">
        <v>33</v>
      </c>
      <c r="L9" s="801"/>
      <c r="M9" s="801"/>
      <c r="N9" s="801"/>
      <c r="O9" s="801"/>
      <c r="P9" s="801"/>
      <c r="Q9" s="801"/>
      <c r="R9" s="801"/>
      <c r="S9" s="801"/>
      <c r="T9" s="801"/>
      <c r="U9" s="801"/>
      <c r="V9" s="801"/>
      <c r="W9" s="801"/>
      <c r="X9" s="801"/>
      <c r="Y9" s="801"/>
      <c r="Z9" s="801"/>
      <c r="AA9" s="801"/>
      <c r="AB9" s="801"/>
      <c r="AC9" s="801"/>
      <c r="AD9" s="801"/>
      <c r="AE9" s="784" t="s">
        <v>34</v>
      </c>
      <c r="AF9" s="784" t="s">
        <v>35</v>
      </c>
      <c r="AG9" s="784" t="s">
        <v>100</v>
      </c>
      <c r="AH9" s="785" t="s">
        <v>170</v>
      </c>
      <c r="AI9" s="775" t="s">
        <v>374</v>
      </c>
      <c r="AJ9" s="144"/>
      <c r="AK9" s="144"/>
      <c r="AL9" s="347"/>
      <c r="AM9" s="347"/>
      <c r="AN9" s="347"/>
      <c r="AO9" s="220" t="s">
        <v>296</v>
      </c>
      <c r="AP9" s="220">
        <f>IF(AE13&lt;=AR10,AS10,IF(AE13&lt;=AR11,AS11,IF(AE13&lt;=AR12,AS12,IF(AE13&lt;=AR13,AS13,IF(AE13&lt;=AR14,AS14,IF(AE13&lt;=AR15,AS15,IF(AE13&lt;=AR16,AS16,IF(AE13&lt;=AR17,AS17,IF(AE13&lt;=AR18,AS18,AS19)))))))))</f>
        <v>1.5</v>
      </c>
      <c r="AQ9" s="783" t="s">
        <v>375</v>
      </c>
      <c r="AR9" s="783"/>
      <c r="AS9" s="222" t="s">
        <v>102</v>
      </c>
      <c r="AT9" s="222" t="s">
        <v>103</v>
      </c>
      <c r="AU9" s="14"/>
      <c r="AV9" s="222" t="s">
        <v>292</v>
      </c>
      <c r="AW9" s="220">
        <f>IF(AE13&lt;=AY10,AZ10,IF(AE13&lt;=AY11,AZ11,IF(AE13&lt;=AY12,AZ12,IF(AE13&lt;=AY13,AZ13,IF(AE13&lt;=AY14,AZ14,IF(AE13&lt;=AY15,AZ15,IF(AE13&lt;=AY16,AZ16,IF(AE13&lt;=AY17,AZ17,IF(AE13&lt;=AY18,AZ18,IF(AE13&lt;=AY19,AZ19,AZ20))))))))))</f>
        <v>2.1</v>
      </c>
      <c r="AX9" s="783" t="s">
        <v>375</v>
      </c>
      <c r="AY9" s="783"/>
      <c r="AZ9" s="222" t="s">
        <v>292</v>
      </c>
      <c r="BA9" s="222" t="s">
        <v>293</v>
      </c>
      <c r="BB9" s="222" t="s">
        <v>294</v>
      </c>
    </row>
    <row r="10" spans="1:54" s="2" customFormat="1" ht="24" customHeight="1" x14ac:dyDescent="0.3">
      <c r="A10" s="779"/>
      <c r="B10" s="779"/>
      <c r="C10" s="779"/>
      <c r="D10" s="779"/>
      <c r="E10" s="779"/>
      <c r="F10" s="779"/>
      <c r="G10" s="779"/>
      <c r="H10" s="779"/>
      <c r="I10" s="779"/>
      <c r="J10" s="779"/>
      <c r="K10" s="802">
        <v>1</v>
      </c>
      <c r="L10" s="802"/>
      <c r="M10" s="802"/>
      <c r="N10" s="802"/>
      <c r="O10" s="802">
        <v>2</v>
      </c>
      <c r="P10" s="802"/>
      <c r="Q10" s="802"/>
      <c r="R10" s="802"/>
      <c r="S10" s="802">
        <v>3</v>
      </c>
      <c r="T10" s="802"/>
      <c r="U10" s="802"/>
      <c r="V10" s="802"/>
      <c r="W10" s="802">
        <v>4</v>
      </c>
      <c r="X10" s="802"/>
      <c r="Y10" s="802"/>
      <c r="Z10" s="802"/>
      <c r="AA10" s="802">
        <v>5</v>
      </c>
      <c r="AB10" s="802"/>
      <c r="AC10" s="802"/>
      <c r="AD10" s="802"/>
      <c r="AE10" s="784"/>
      <c r="AF10" s="784"/>
      <c r="AG10" s="784"/>
      <c r="AH10" s="785"/>
      <c r="AI10" s="776"/>
      <c r="AJ10" s="144"/>
      <c r="AK10" s="144"/>
      <c r="AL10" s="347"/>
      <c r="AM10" s="347"/>
      <c r="AN10" s="347"/>
      <c r="AO10" s="220" t="s">
        <v>104</v>
      </c>
      <c r="AP10" s="220">
        <f>IF(AE13&lt;AR10,AT10,IF(AE13&lt;AR11,AT11,IF(AE13&lt;AR12,AT12,IF(AE13&lt;AR13,AT13,IF(AE13&lt;AR14,AT14,IF(AE13&lt;AR15,AT15,IF(AE13&lt;AR16,AT16,IF(AE13&lt;AR17,AT17,IF(AE13&lt;AR18,AT18,AT19)))))))))</f>
        <v>2.2000000000000002</v>
      </c>
      <c r="AQ10" s="222">
        <v>0</v>
      </c>
      <c r="AR10" s="222">
        <v>50</v>
      </c>
      <c r="AS10" s="222">
        <v>0.6</v>
      </c>
      <c r="AT10" s="222">
        <v>0.8</v>
      </c>
      <c r="AU10" s="14"/>
      <c r="AV10" s="222" t="s">
        <v>293</v>
      </c>
      <c r="AW10" s="220">
        <f>IF(AE13&lt;AY10,BA10,IF(AE13&lt;AY11,BA11,IF(AE13&lt;AY12,BA12,IF(AE13&lt;AY13,BA13,IF(AE13&lt;AY14,BA14,IF(AE13&lt;AY15,BA15,IF(AE13&lt;AY16,BA16,IF(AE13&lt;AY17,BA17,IF(AE13&lt;AY18,BA18,IF(AE13&lt;=AY19,BA19,BA20))))))))))</f>
        <v>2.9</v>
      </c>
      <c r="AX10" s="222">
        <v>10</v>
      </c>
      <c r="AY10" s="222">
        <v>16</v>
      </c>
      <c r="AZ10" s="222">
        <v>0.3</v>
      </c>
      <c r="BA10" s="222">
        <v>0.35</v>
      </c>
      <c r="BB10" s="348">
        <v>0.4</v>
      </c>
    </row>
    <row r="11" spans="1:54" ht="30.75" customHeight="1" x14ac:dyDescent="0.25">
      <c r="A11" s="266">
        <v>1</v>
      </c>
      <c r="B11" s="779" t="s">
        <v>36</v>
      </c>
      <c r="C11" s="779"/>
      <c r="D11" s="779"/>
      <c r="E11" s="779"/>
      <c r="F11" s="779"/>
      <c r="G11" s="779"/>
      <c r="H11" s="339" t="s">
        <v>7</v>
      </c>
      <c r="I11" s="138" t="str">
        <f>CONCATENATE(AE11,$AI$11,IF(AH11="",ROUND(AF11,2),AH11))</f>
        <v>7 ± 0.15</v>
      </c>
      <c r="J11" s="339" t="s">
        <v>10</v>
      </c>
      <c r="K11" s="781"/>
      <c r="L11" s="781"/>
      <c r="M11" s="781"/>
      <c r="N11" s="781"/>
      <c r="O11" s="781"/>
      <c r="P11" s="781"/>
      <c r="Q11" s="781"/>
      <c r="R11" s="781"/>
      <c r="S11" s="781"/>
      <c r="T11" s="781"/>
      <c r="U11" s="781"/>
      <c r="V11" s="781"/>
      <c r="W11" s="781"/>
      <c r="X11" s="781"/>
      <c r="Y11" s="781"/>
      <c r="Z11" s="781"/>
      <c r="AA11" s="781"/>
      <c r="AB11" s="781"/>
      <c r="AC11" s="781"/>
      <c r="AD11" s="781"/>
      <c r="AE11" s="141">
        <f>IST!C3</f>
        <v>7</v>
      </c>
      <c r="AF11" s="141">
        <f>IF(AH11="",IF('ورود اطلاعات'!H6="",'ورود اطلاعات'!L6,'ورود اطلاعات'!H6),AH11)</f>
        <v>0.15</v>
      </c>
      <c r="AG11" s="137" t="s">
        <v>36</v>
      </c>
      <c r="AH11" s="343"/>
      <c r="AI11" s="344" t="s">
        <v>23</v>
      </c>
      <c r="AJ11" s="223">
        <f>AE12-((AE15-0.5)*AE11)</f>
        <v>223.6</v>
      </c>
      <c r="AK11" s="337" t="s">
        <v>94</v>
      </c>
      <c r="AL11" s="218"/>
      <c r="AM11" s="345"/>
      <c r="AN11" s="345"/>
      <c r="AO11" s="349"/>
      <c r="AP11" s="349"/>
      <c r="AQ11" s="222">
        <v>50</v>
      </c>
      <c r="AR11" s="222">
        <v>65</v>
      </c>
      <c r="AS11" s="222">
        <v>0.7</v>
      </c>
      <c r="AT11" s="222">
        <v>1</v>
      </c>
      <c r="AU11" s="1"/>
      <c r="AV11" s="222" t="s">
        <v>294</v>
      </c>
      <c r="AW11" s="220">
        <f>IF(AE13&lt;AY10,BB10,IF(AE13&lt;AY11,BB11,IF(AE13&lt;AY12,BB12,IF(AE13&lt;AY13,BB13,IF(AE13&lt;AY14,BB14,IF(AE13&lt;AY15,BB15,IF(AE13&lt;AY16,BB16,IF(AE13&lt;AY17,BB17,IF(AE13&lt;AY18,BB18,IF(AE13&lt;=AY19,BB19,BB20))))))))))</f>
        <v>3.3</v>
      </c>
      <c r="AX11" s="222">
        <v>16</v>
      </c>
      <c r="AY11" s="222">
        <v>25</v>
      </c>
      <c r="AZ11" s="222">
        <v>0.35</v>
      </c>
      <c r="BA11" s="222">
        <v>0.45</v>
      </c>
      <c r="BB11" s="348">
        <v>0.5</v>
      </c>
    </row>
    <row r="12" spans="1:54" ht="30.75" customHeight="1" x14ac:dyDescent="0.25">
      <c r="A12" s="266">
        <v>2</v>
      </c>
      <c r="B12" s="779" t="s">
        <v>37</v>
      </c>
      <c r="C12" s="779"/>
      <c r="D12" s="779"/>
      <c r="E12" s="779"/>
      <c r="F12" s="779"/>
      <c r="G12" s="779"/>
      <c r="H12" s="339" t="s">
        <v>385</v>
      </c>
      <c r="I12" s="138" t="str">
        <f>CONCATENATE(AE12,$AI$12,IF(AH12="",ROUND(AF12,2),AH12))</f>
        <v>260 ± 24.92</v>
      </c>
      <c r="J12" s="339" t="s">
        <v>10</v>
      </c>
      <c r="K12" s="781"/>
      <c r="L12" s="781"/>
      <c r="M12" s="781"/>
      <c r="N12" s="781"/>
      <c r="O12" s="781"/>
      <c r="P12" s="781"/>
      <c r="Q12" s="781"/>
      <c r="R12" s="781"/>
      <c r="S12" s="781"/>
      <c r="T12" s="781"/>
      <c r="U12" s="781"/>
      <c r="V12" s="781"/>
      <c r="W12" s="781"/>
      <c r="X12" s="781"/>
      <c r="Y12" s="781"/>
      <c r="Z12" s="781"/>
      <c r="AA12" s="781"/>
      <c r="AB12" s="781"/>
      <c r="AC12" s="781"/>
      <c r="AD12" s="781"/>
      <c r="AE12" s="141">
        <f>IST!C6</f>
        <v>260</v>
      </c>
      <c r="AF12" s="203">
        <f>IF(AH12="",IF('ورود اطلاعات'!H11="",'ورود اطلاعات'!L11,'ورود اطلاعات'!H11),AH12)</f>
        <v>24.92</v>
      </c>
      <c r="AG12" s="137" t="s">
        <v>37</v>
      </c>
      <c r="AH12" s="343"/>
      <c r="AI12" s="344" t="s">
        <v>23</v>
      </c>
      <c r="AJ12" s="224">
        <f>AJ13/AE11</f>
        <v>26.714285714285715</v>
      </c>
      <c r="AK12" s="337" t="s">
        <v>95</v>
      </c>
      <c r="AL12" s="218"/>
      <c r="AM12" s="345"/>
      <c r="AN12" s="345"/>
      <c r="AO12" s="349"/>
      <c r="AP12" s="349"/>
      <c r="AQ12" s="222">
        <v>65</v>
      </c>
      <c r="AR12" s="222">
        <v>80</v>
      </c>
      <c r="AS12" s="222">
        <v>0.8</v>
      </c>
      <c r="AT12" s="222">
        <v>1.2</v>
      </c>
      <c r="AU12" s="1"/>
      <c r="AV12" s="349"/>
      <c r="AW12" s="349"/>
      <c r="AX12" s="222">
        <f>AY11</f>
        <v>25</v>
      </c>
      <c r="AY12" s="222">
        <v>31.5</v>
      </c>
      <c r="AZ12" s="222">
        <v>0.4</v>
      </c>
      <c r="BA12" s="222">
        <v>0.5</v>
      </c>
      <c r="BB12" s="348">
        <v>0.6</v>
      </c>
    </row>
    <row r="13" spans="1:54" ht="30.75" customHeight="1" x14ac:dyDescent="0.25">
      <c r="A13" s="266">
        <v>3</v>
      </c>
      <c r="B13" s="779" t="s">
        <v>38</v>
      </c>
      <c r="C13" s="779"/>
      <c r="D13" s="779"/>
      <c r="E13" s="779"/>
      <c r="F13" s="779"/>
      <c r="G13" s="779"/>
      <c r="H13" s="339" t="s">
        <v>350</v>
      </c>
      <c r="I13" s="138" t="str">
        <f>CONCATENATE(AE13,$AI$13,IF(AH13="",AF13,AH13))</f>
        <v>194 ± 3.3</v>
      </c>
      <c r="J13" s="339" t="s">
        <v>10</v>
      </c>
      <c r="K13" s="781"/>
      <c r="L13" s="781"/>
      <c r="M13" s="781"/>
      <c r="N13" s="781"/>
      <c r="O13" s="781"/>
      <c r="P13" s="781"/>
      <c r="Q13" s="781"/>
      <c r="R13" s="781"/>
      <c r="S13" s="781"/>
      <c r="T13" s="781"/>
      <c r="U13" s="781"/>
      <c r="V13" s="781"/>
      <c r="W13" s="781"/>
      <c r="X13" s="781"/>
      <c r="Y13" s="781"/>
      <c r="Z13" s="781"/>
      <c r="AA13" s="781"/>
      <c r="AB13" s="781"/>
      <c r="AC13" s="781"/>
      <c r="AD13" s="781"/>
      <c r="AE13" s="141">
        <f>IST!C4</f>
        <v>194</v>
      </c>
      <c r="AF13" s="203">
        <f>IF(AH13="",IF('ورود اطلاعات'!H7="",'ورود اطلاعات'!L7,'ورود اطلاعات'!H7),AH13)</f>
        <v>3.3</v>
      </c>
      <c r="AG13" s="137" t="s">
        <v>38</v>
      </c>
      <c r="AH13" s="343"/>
      <c r="AI13" s="344" t="s">
        <v>23</v>
      </c>
      <c r="AJ13" s="223">
        <f>AE13-AE11</f>
        <v>187</v>
      </c>
      <c r="AK13" s="337" t="s">
        <v>290</v>
      </c>
      <c r="AL13" s="218"/>
      <c r="AM13" s="350"/>
      <c r="AN13" s="345"/>
      <c r="AO13" s="349"/>
      <c r="AP13" s="349"/>
      <c r="AQ13" s="222">
        <f t="shared" ref="AQ13:AQ19" si="0">AR12</f>
        <v>80</v>
      </c>
      <c r="AR13" s="222">
        <v>100</v>
      </c>
      <c r="AS13" s="222">
        <v>1</v>
      </c>
      <c r="AT13" s="222">
        <v>1.5</v>
      </c>
      <c r="AU13" s="1"/>
      <c r="AV13" s="349"/>
      <c r="AW13" s="349"/>
      <c r="AX13" s="222">
        <f>AY12</f>
        <v>31.5</v>
      </c>
      <c r="AY13" s="222">
        <v>40</v>
      </c>
      <c r="AZ13" s="222">
        <v>0.5</v>
      </c>
      <c r="BA13" s="222">
        <v>0.6</v>
      </c>
      <c r="BB13" s="348">
        <v>0.7</v>
      </c>
    </row>
    <row r="14" spans="1:54" ht="30.75" customHeight="1" x14ac:dyDescent="0.25">
      <c r="A14" s="266">
        <v>4</v>
      </c>
      <c r="B14" s="779" t="s">
        <v>39</v>
      </c>
      <c r="C14" s="779"/>
      <c r="D14" s="779"/>
      <c r="E14" s="779"/>
      <c r="F14" s="779"/>
      <c r="G14" s="779"/>
      <c r="H14" s="339" t="s">
        <v>40</v>
      </c>
      <c r="I14" s="138" t="str">
        <f>CONCATENATE(AE14,$AI$14,AF14)</f>
        <v>180 ± 3.3</v>
      </c>
      <c r="J14" s="339" t="s">
        <v>10</v>
      </c>
      <c r="K14" s="781"/>
      <c r="L14" s="781"/>
      <c r="M14" s="781"/>
      <c r="N14" s="781"/>
      <c r="O14" s="781"/>
      <c r="P14" s="781"/>
      <c r="Q14" s="781"/>
      <c r="R14" s="781"/>
      <c r="S14" s="781"/>
      <c r="T14" s="781"/>
      <c r="U14" s="781"/>
      <c r="V14" s="781"/>
      <c r="W14" s="781"/>
      <c r="X14" s="781"/>
      <c r="Y14" s="781"/>
      <c r="Z14" s="781"/>
      <c r="AA14" s="781"/>
      <c r="AB14" s="781"/>
      <c r="AC14" s="781"/>
      <c r="AD14" s="781"/>
      <c r="AE14" s="141">
        <f>AE13-(2*AE11)</f>
        <v>180</v>
      </c>
      <c r="AF14" s="203">
        <f>IF(AH14="",IF('ورود اطلاعات'!H8="",'ورود اطلاعات'!L8,'ورود اطلاعات'!H8),AH14)</f>
        <v>3.3</v>
      </c>
      <c r="AG14" s="137" t="s">
        <v>39</v>
      </c>
      <c r="AH14" s="343"/>
      <c r="AI14" s="344" t="s">
        <v>23</v>
      </c>
      <c r="AJ14" s="223">
        <f>'ورود اطلاعات'!K9-2</f>
        <v>3.7</v>
      </c>
      <c r="AK14" s="337" t="s">
        <v>301</v>
      </c>
      <c r="AL14" s="218"/>
      <c r="AM14" s="345"/>
      <c r="AN14" s="345"/>
      <c r="AO14" s="349"/>
      <c r="AP14" s="349"/>
      <c r="AQ14" s="222">
        <f t="shared" si="0"/>
        <v>100</v>
      </c>
      <c r="AR14" s="222">
        <v>125</v>
      </c>
      <c r="AS14" s="222">
        <v>1.1000000000000001</v>
      </c>
      <c r="AT14" s="222">
        <v>1.7</v>
      </c>
      <c r="AU14" s="1"/>
      <c r="AV14" s="349"/>
      <c r="AW14" s="349"/>
      <c r="AX14" s="222">
        <f t="shared" ref="AX14:AX20" si="1">AY13</f>
        <v>40</v>
      </c>
      <c r="AY14" s="222">
        <v>50</v>
      </c>
      <c r="AZ14" s="222">
        <v>0.6</v>
      </c>
      <c r="BA14" s="222">
        <v>0.8</v>
      </c>
      <c r="BB14" s="351">
        <v>0.9</v>
      </c>
    </row>
    <row r="15" spans="1:54" ht="30.75" customHeight="1" x14ac:dyDescent="0.25">
      <c r="A15" s="266">
        <v>5</v>
      </c>
      <c r="B15" s="779" t="s">
        <v>41</v>
      </c>
      <c r="C15" s="779"/>
      <c r="D15" s="779"/>
      <c r="E15" s="779"/>
      <c r="F15" s="779"/>
      <c r="G15" s="779"/>
      <c r="H15" s="339" t="s">
        <v>376</v>
      </c>
      <c r="I15" s="138" t="str">
        <f>CONCATENATE(AE15,$AI$15,IF(AH15="",AF15,AH15))</f>
        <v>5.7 ± 0</v>
      </c>
      <c r="J15" s="339" t="s">
        <v>186</v>
      </c>
      <c r="K15" s="781"/>
      <c r="L15" s="781"/>
      <c r="M15" s="781"/>
      <c r="N15" s="781"/>
      <c r="O15" s="781"/>
      <c r="P15" s="781"/>
      <c r="Q15" s="781"/>
      <c r="R15" s="781"/>
      <c r="S15" s="781"/>
      <c r="T15" s="781"/>
      <c r="U15" s="781"/>
      <c r="V15" s="781"/>
      <c r="W15" s="781"/>
      <c r="X15" s="781"/>
      <c r="Y15" s="781"/>
      <c r="Z15" s="781"/>
      <c r="AA15" s="781"/>
      <c r="AB15" s="781"/>
      <c r="AC15" s="781"/>
      <c r="AD15" s="781"/>
      <c r="AE15" s="141">
        <f>IST!C5</f>
        <v>5.7</v>
      </c>
      <c r="AF15" s="142">
        <f>IF(AH15="",IF('ورود اطلاعات'!H9="",'ورود اطلاعات'!L9,'ورود اطلاعات'!H9),AH15)</f>
        <v>0</v>
      </c>
      <c r="AG15" s="137" t="s">
        <v>41</v>
      </c>
      <c r="AH15" s="343"/>
      <c r="AI15" s="344" t="s">
        <v>23</v>
      </c>
      <c r="AJ15" s="225">
        <f>(8/(5*AJ14))-(1/(3*AJ14^2))+0.803</f>
        <v>1.2110837594351109</v>
      </c>
      <c r="AK15" s="337" t="s">
        <v>302</v>
      </c>
      <c r="AL15" s="218"/>
      <c r="AM15" s="345"/>
      <c r="AN15" s="345"/>
      <c r="AO15" s="349"/>
      <c r="AP15" s="349"/>
      <c r="AQ15" s="222">
        <f t="shared" si="0"/>
        <v>125</v>
      </c>
      <c r="AR15" s="222">
        <v>160</v>
      </c>
      <c r="AS15" s="222">
        <v>1.3</v>
      </c>
      <c r="AT15" s="222">
        <v>2</v>
      </c>
      <c r="AU15" s="1"/>
      <c r="AV15" s="349"/>
      <c r="AW15" s="349"/>
      <c r="AX15" s="222">
        <f t="shared" si="1"/>
        <v>50</v>
      </c>
      <c r="AY15" s="222">
        <v>63</v>
      </c>
      <c r="AZ15" s="222">
        <v>0.8</v>
      </c>
      <c r="BA15" s="222">
        <v>1</v>
      </c>
      <c r="BB15" s="351">
        <v>1.1000000000000001</v>
      </c>
    </row>
    <row r="16" spans="1:54" ht="30.75" customHeight="1" x14ac:dyDescent="0.25">
      <c r="A16" s="266">
        <v>6</v>
      </c>
      <c r="B16" s="779" t="s">
        <v>42</v>
      </c>
      <c r="C16" s="779"/>
      <c r="D16" s="779"/>
      <c r="E16" s="779"/>
      <c r="F16" s="779"/>
      <c r="G16" s="779"/>
      <c r="H16" s="339" t="s">
        <v>315</v>
      </c>
      <c r="I16" s="208" t="s">
        <v>43</v>
      </c>
      <c r="J16" s="339" t="s">
        <v>10</v>
      </c>
      <c r="K16" s="781"/>
      <c r="L16" s="781"/>
      <c r="M16" s="781"/>
      <c r="N16" s="781"/>
      <c r="O16" s="781"/>
      <c r="P16" s="781"/>
      <c r="Q16" s="781"/>
      <c r="R16" s="781"/>
      <c r="S16" s="781"/>
      <c r="T16" s="781"/>
      <c r="U16" s="781"/>
      <c r="V16" s="781"/>
      <c r="W16" s="781"/>
      <c r="X16" s="781"/>
      <c r="Y16" s="781"/>
      <c r="Z16" s="781"/>
      <c r="AA16" s="781"/>
      <c r="AB16" s="781"/>
      <c r="AC16" s="781"/>
      <c r="AD16" s="781"/>
      <c r="AE16" s="147"/>
      <c r="AF16" s="148"/>
      <c r="AG16" s="149"/>
      <c r="AH16" s="149"/>
      <c r="AI16" s="149"/>
      <c r="AJ16" s="219">
        <f>((65.92*AE11^3.3)/(AJ13^1.6))*((3.781*('نمونه اولیه'!AJ12/10)^2)-(0.84*('نمونه اولیه'!AJ12/10)^3)-(4.244*('نمونه اولیه'!AJ12/10))+2.274)</f>
        <v>17.90022943921905</v>
      </c>
      <c r="AK16" s="337" t="s">
        <v>303</v>
      </c>
      <c r="AL16" s="218"/>
      <c r="AM16" s="345"/>
      <c r="AN16" s="345"/>
      <c r="AO16" s="349"/>
      <c r="AP16" s="349"/>
      <c r="AQ16" s="222">
        <f t="shared" si="0"/>
        <v>160</v>
      </c>
      <c r="AR16" s="222">
        <v>200</v>
      </c>
      <c r="AS16" s="222">
        <v>1.5</v>
      </c>
      <c r="AT16" s="222">
        <v>2.2000000000000002</v>
      </c>
      <c r="AU16" s="1"/>
      <c r="AV16" s="349"/>
      <c r="AW16" s="349"/>
      <c r="AX16" s="222">
        <f t="shared" si="1"/>
        <v>63</v>
      </c>
      <c r="AY16" s="222">
        <v>80</v>
      </c>
      <c r="AZ16" s="222">
        <v>1</v>
      </c>
      <c r="BA16" s="222">
        <v>1.2</v>
      </c>
      <c r="BB16" s="351">
        <v>1.4</v>
      </c>
    </row>
    <row r="17" spans="1:54" ht="30.75" customHeight="1" x14ac:dyDescent="0.25">
      <c r="A17" s="266">
        <v>7</v>
      </c>
      <c r="B17" s="779" t="s">
        <v>126</v>
      </c>
      <c r="C17" s="779"/>
      <c r="D17" s="779"/>
      <c r="E17" s="779"/>
      <c r="F17" s="779"/>
      <c r="G17" s="779"/>
      <c r="H17" s="384" t="s">
        <v>124</v>
      </c>
      <c r="I17" s="208" t="str">
        <f>'ورود اطلاعات'!K14</f>
        <v>بسته و سنگ خورده</v>
      </c>
      <c r="J17" s="339" t="s">
        <v>124</v>
      </c>
      <c r="K17" s="781"/>
      <c r="L17" s="781"/>
      <c r="M17" s="781"/>
      <c r="N17" s="781"/>
      <c r="O17" s="781"/>
      <c r="P17" s="781"/>
      <c r="Q17" s="781"/>
      <c r="R17" s="781"/>
      <c r="S17" s="781"/>
      <c r="T17" s="781"/>
      <c r="U17" s="781"/>
      <c r="V17" s="781"/>
      <c r="W17" s="781"/>
      <c r="X17" s="781"/>
      <c r="Y17" s="781"/>
      <c r="Z17" s="781"/>
      <c r="AA17" s="781"/>
      <c r="AB17" s="781"/>
      <c r="AC17" s="781"/>
      <c r="AD17" s="781"/>
      <c r="AE17" s="148"/>
      <c r="AF17" s="150"/>
      <c r="AG17" s="148"/>
      <c r="AH17" s="148"/>
      <c r="AI17" s="148"/>
      <c r="AJ17" s="219">
        <f>0.012*((2*AE12)-((AE15-0.5)*AE11))*(((2/(AE15-1.5)+1)))</f>
        <v>8.5666285714285717</v>
      </c>
      <c r="AK17" s="782" t="s">
        <v>306</v>
      </c>
      <c r="AL17" s="337" t="s">
        <v>304</v>
      </c>
      <c r="AM17" s="345"/>
      <c r="AN17" s="345"/>
      <c r="AO17" s="349"/>
      <c r="AP17" s="349"/>
      <c r="AQ17" s="222">
        <f t="shared" si="0"/>
        <v>200</v>
      </c>
      <c r="AR17" s="222">
        <v>250</v>
      </c>
      <c r="AS17" s="222">
        <v>1.8</v>
      </c>
      <c r="AT17" s="222">
        <v>2.6</v>
      </c>
      <c r="AU17" s="1"/>
      <c r="AV17" s="349"/>
      <c r="AW17" s="349"/>
      <c r="AX17" s="222">
        <f t="shared" si="1"/>
        <v>80</v>
      </c>
      <c r="AY17" s="222">
        <v>100</v>
      </c>
      <c r="AZ17" s="222">
        <v>1.2</v>
      </c>
      <c r="BA17" s="222">
        <v>1.5</v>
      </c>
      <c r="BB17" s="351">
        <v>1.7</v>
      </c>
    </row>
    <row r="18" spans="1:54" ht="30.75" customHeight="1" x14ac:dyDescent="0.25">
      <c r="A18" s="266">
        <v>8</v>
      </c>
      <c r="B18" s="779" t="s">
        <v>127</v>
      </c>
      <c r="C18" s="779"/>
      <c r="D18" s="779"/>
      <c r="E18" s="779"/>
      <c r="F18" s="779"/>
      <c r="G18" s="779"/>
      <c r="H18" s="384" t="s">
        <v>124</v>
      </c>
      <c r="I18" s="208" t="str">
        <f>'ورود اطلاعات'!K15</f>
        <v>بسته و سنگ خورده</v>
      </c>
      <c r="J18" s="339" t="s">
        <v>124</v>
      </c>
      <c r="K18" s="781"/>
      <c r="L18" s="781"/>
      <c r="M18" s="781"/>
      <c r="N18" s="781"/>
      <c r="O18" s="781"/>
      <c r="P18" s="781"/>
      <c r="Q18" s="781"/>
      <c r="R18" s="781"/>
      <c r="S18" s="781"/>
      <c r="T18" s="781"/>
      <c r="U18" s="781"/>
      <c r="V18" s="781"/>
      <c r="W18" s="781"/>
      <c r="X18" s="781"/>
      <c r="Y18" s="781"/>
      <c r="Z18" s="781"/>
      <c r="AA18" s="781"/>
      <c r="AB18" s="781"/>
      <c r="AC18" s="781"/>
      <c r="AD18" s="781"/>
      <c r="AE18" s="355"/>
      <c r="AF18" s="777" t="s">
        <v>347</v>
      </c>
      <c r="AG18" s="778"/>
      <c r="AH18" s="381" t="s">
        <v>353</v>
      </c>
      <c r="AI18" s="341"/>
      <c r="AJ18" s="224">
        <f>(AJ16*AJ15)/ROUND(IST!C8,2)</f>
        <v>24.918019728736155</v>
      </c>
      <c r="AK18" s="782"/>
      <c r="AL18" s="337" t="s">
        <v>305</v>
      </c>
      <c r="AM18" s="345"/>
      <c r="AN18" s="345"/>
      <c r="AO18" s="349"/>
      <c r="AP18" s="349"/>
      <c r="AQ18" s="222">
        <f t="shared" si="0"/>
        <v>250</v>
      </c>
      <c r="AR18" s="222">
        <v>300</v>
      </c>
      <c r="AS18" s="222">
        <v>2.1</v>
      </c>
      <c r="AT18" s="222">
        <v>3.1</v>
      </c>
      <c r="AU18" s="1"/>
      <c r="AV18" s="349"/>
      <c r="AW18" s="349"/>
      <c r="AX18" s="222">
        <f t="shared" si="1"/>
        <v>100</v>
      </c>
      <c r="AY18" s="222">
        <v>125</v>
      </c>
      <c r="AZ18" s="222">
        <v>1.4</v>
      </c>
      <c r="BA18" s="222">
        <v>1.9</v>
      </c>
      <c r="BB18" s="351">
        <v>2.2000000000000002</v>
      </c>
    </row>
    <row r="19" spans="1:54" ht="30.75" customHeight="1" x14ac:dyDescent="0.25">
      <c r="A19" s="266">
        <v>9</v>
      </c>
      <c r="B19" s="779" t="s">
        <v>49</v>
      </c>
      <c r="C19" s="779"/>
      <c r="D19" s="779"/>
      <c r="E19" s="779"/>
      <c r="F19" s="779"/>
      <c r="G19" s="779"/>
      <c r="H19" s="339" t="s">
        <v>386</v>
      </c>
      <c r="I19" s="138" t="str">
        <f>CONCATENATE(AG19,IF(AH19="",AE19,AH19))</f>
        <v>Max= 13</v>
      </c>
      <c r="J19" s="339" t="s">
        <v>10</v>
      </c>
      <c r="K19" s="781"/>
      <c r="L19" s="781"/>
      <c r="M19" s="781"/>
      <c r="N19" s="781"/>
      <c r="O19" s="781"/>
      <c r="P19" s="781"/>
      <c r="Q19" s="781"/>
      <c r="R19" s="781"/>
      <c r="S19" s="781"/>
      <c r="T19" s="781"/>
      <c r="U19" s="781"/>
      <c r="V19" s="781"/>
      <c r="W19" s="781"/>
      <c r="X19" s="781"/>
      <c r="Y19" s="781"/>
      <c r="Z19" s="781"/>
      <c r="AA19" s="781"/>
      <c r="AB19" s="781"/>
      <c r="AC19" s="781"/>
      <c r="AD19" s="781"/>
      <c r="AE19" s="356">
        <f>IF(AH19="",IF('ورود اطلاعات'!G23="",'ورود اطلاعات'!K23,'ورود اطلاعات'!G23),AH19)</f>
        <v>13</v>
      </c>
      <c r="AF19" s="338" t="s">
        <v>49</v>
      </c>
      <c r="AG19" s="209" t="s">
        <v>50</v>
      </c>
      <c r="AH19" s="207"/>
      <c r="AI19" s="342"/>
      <c r="AJ19" s="143"/>
      <c r="AK19" s="143"/>
      <c r="AL19" s="117"/>
      <c r="AM19" s="117"/>
      <c r="AN19" s="117"/>
      <c r="AO19" s="122"/>
      <c r="AP19" s="122"/>
      <c r="AQ19" s="352">
        <f t="shared" si="0"/>
        <v>300</v>
      </c>
      <c r="AR19" s="352">
        <v>460</v>
      </c>
      <c r="AS19" s="352">
        <v>2.5</v>
      </c>
      <c r="AT19" s="352">
        <v>4</v>
      </c>
      <c r="AU19" s="15"/>
      <c r="AV19" s="353"/>
      <c r="AW19" s="353"/>
      <c r="AX19" s="352">
        <f t="shared" si="1"/>
        <v>125</v>
      </c>
      <c r="AY19" s="352">
        <v>160</v>
      </c>
      <c r="AZ19" s="352">
        <v>1.8</v>
      </c>
      <c r="BA19" s="352">
        <v>2.2999999999999998</v>
      </c>
      <c r="BB19" s="354">
        <v>2.7</v>
      </c>
    </row>
    <row r="20" spans="1:54" ht="30.75" customHeight="1" x14ac:dyDescent="0.25">
      <c r="A20" s="266">
        <v>10</v>
      </c>
      <c r="B20" s="779" t="s">
        <v>51</v>
      </c>
      <c r="C20" s="779"/>
      <c r="D20" s="779"/>
      <c r="E20" s="779"/>
      <c r="F20" s="779"/>
      <c r="G20" s="779"/>
      <c r="H20" s="339" t="s">
        <v>387</v>
      </c>
      <c r="I20" s="138" t="str">
        <f>CONCATENATE(AG20,IF(AH20="",AE20,AH20))</f>
        <v>Max= 5.82</v>
      </c>
      <c r="J20" s="339" t="s">
        <v>10</v>
      </c>
      <c r="K20" s="781"/>
      <c r="L20" s="781"/>
      <c r="M20" s="781"/>
      <c r="N20" s="781"/>
      <c r="O20" s="781"/>
      <c r="P20" s="781"/>
      <c r="Q20" s="781"/>
      <c r="R20" s="781"/>
      <c r="S20" s="781"/>
      <c r="T20" s="781"/>
      <c r="U20" s="781"/>
      <c r="V20" s="781"/>
      <c r="W20" s="781"/>
      <c r="X20" s="781"/>
      <c r="Y20" s="781"/>
      <c r="Z20" s="781"/>
      <c r="AA20" s="781"/>
      <c r="AB20" s="781"/>
      <c r="AC20" s="781"/>
      <c r="AD20" s="781"/>
      <c r="AE20" s="356">
        <f>IF(AH20="",IF('ورود اطلاعات'!G24="",'ورود اطلاعات'!K24,'ورود اطلاعات'!G24),AH20)</f>
        <v>5.8199999999999994</v>
      </c>
      <c r="AF20" s="338" t="s">
        <v>51</v>
      </c>
      <c r="AG20" s="209" t="s">
        <v>50</v>
      </c>
      <c r="AH20" s="207"/>
      <c r="AI20" s="342"/>
      <c r="AJ20" s="143"/>
      <c r="AK20" s="143"/>
      <c r="AL20" s="143"/>
      <c r="AM20" s="117"/>
      <c r="AN20" s="117"/>
      <c r="AO20" s="117"/>
      <c r="AP20" s="117"/>
      <c r="AQ20" s="15"/>
      <c r="AR20" s="15"/>
      <c r="AS20" s="15"/>
      <c r="AT20" s="15"/>
      <c r="AU20" s="15"/>
      <c r="AV20" s="353"/>
      <c r="AW20" s="353"/>
      <c r="AX20" s="352">
        <f t="shared" si="1"/>
        <v>160</v>
      </c>
      <c r="AY20" s="352">
        <v>200</v>
      </c>
      <c r="AZ20" s="352">
        <v>2.1</v>
      </c>
      <c r="BA20" s="352">
        <v>2.9</v>
      </c>
      <c r="BB20" s="354">
        <v>3.3</v>
      </c>
    </row>
    <row r="21" spans="1:54" ht="30.75" customHeight="1" x14ac:dyDescent="0.25">
      <c r="A21" s="266">
        <v>11</v>
      </c>
      <c r="B21" s="779" t="s">
        <v>52</v>
      </c>
      <c r="C21" s="779"/>
      <c r="D21" s="779"/>
      <c r="E21" s="779"/>
      <c r="F21" s="779"/>
      <c r="G21" s="779"/>
      <c r="H21" s="384" t="s">
        <v>130</v>
      </c>
      <c r="I21" s="138" t="str">
        <f>'ورود اطلاعات'!K12</f>
        <v>L.H</v>
      </c>
      <c r="J21" s="339" t="s">
        <v>124</v>
      </c>
      <c r="K21" s="781"/>
      <c r="L21" s="781"/>
      <c r="M21" s="781"/>
      <c r="N21" s="781"/>
      <c r="O21" s="781"/>
      <c r="P21" s="781"/>
      <c r="Q21" s="781"/>
      <c r="R21" s="781"/>
      <c r="S21" s="781"/>
      <c r="T21" s="781"/>
      <c r="U21" s="781"/>
      <c r="V21" s="781"/>
      <c r="W21" s="781"/>
      <c r="X21" s="781"/>
      <c r="Y21" s="781"/>
      <c r="Z21" s="781"/>
      <c r="AA21" s="781"/>
      <c r="AB21" s="781"/>
      <c r="AC21" s="781"/>
      <c r="AD21" s="781"/>
      <c r="AE21" s="136"/>
      <c r="AF21" s="380" t="s">
        <v>112</v>
      </c>
      <c r="AG21" s="380" t="s">
        <v>32</v>
      </c>
      <c r="AH21" s="368"/>
      <c r="AI21" s="369"/>
      <c r="AJ21" s="366"/>
      <c r="AK21" s="143"/>
      <c r="AL21" s="143"/>
      <c r="AM21" s="117"/>
      <c r="AN21" s="117"/>
      <c r="AO21" s="117"/>
      <c r="AP21" s="117"/>
    </row>
    <row r="22" spans="1:54" ht="30.75" customHeight="1" x14ac:dyDescent="0.25">
      <c r="A22" s="779">
        <v>12</v>
      </c>
      <c r="B22" s="779" t="s">
        <v>53</v>
      </c>
      <c r="C22" s="779"/>
      <c r="D22" s="779"/>
      <c r="E22" s="779"/>
      <c r="F22" s="779"/>
      <c r="G22" s="779"/>
      <c r="H22" s="339" t="s">
        <v>5</v>
      </c>
      <c r="I22" s="138">
        <f>IF(AF22="",IF('ورود اطلاعات'!$G$26&gt;=2,'ورود اطلاعات'!G16,IF('ورود اطلاعات'!$G$26=1,'ورود اطلاعات'!G16,ROUND(IST!C18,0))),AF22)</f>
        <v>8800</v>
      </c>
      <c r="J22" s="339" t="str">
        <f>'ورود اطلاعات'!K22</f>
        <v>N</v>
      </c>
      <c r="K22" s="781"/>
      <c r="L22" s="781"/>
      <c r="M22" s="781"/>
      <c r="N22" s="781"/>
      <c r="O22" s="781"/>
      <c r="P22" s="781"/>
      <c r="Q22" s="781"/>
      <c r="R22" s="781"/>
      <c r="S22" s="781"/>
      <c r="T22" s="781"/>
      <c r="U22" s="781"/>
      <c r="V22" s="781"/>
      <c r="W22" s="781"/>
      <c r="X22" s="781"/>
      <c r="Y22" s="781"/>
      <c r="Z22" s="781"/>
      <c r="AA22" s="781"/>
      <c r="AB22" s="781"/>
      <c r="AC22" s="781"/>
      <c r="AD22" s="832"/>
      <c r="AE22" s="364"/>
      <c r="AF22" s="336"/>
      <c r="AG22" s="336" t="s">
        <v>3</v>
      </c>
      <c r="AH22" s="252"/>
      <c r="AI22" s="145"/>
      <c r="AJ22" s="367"/>
      <c r="AK22" s="143"/>
      <c r="AL22" s="143"/>
      <c r="AM22" s="117"/>
      <c r="AN22" s="117"/>
      <c r="AO22" s="117"/>
      <c r="AP22" s="117"/>
    </row>
    <row r="23" spans="1:54" ht="30.75" customHeight="1" x14ac:dyDescent="0.25">
      <c r="A23" s="779"/>
      <c r="B23" s="779"/>
      <c r="C23" s="779"/>
      <c r="D23" s="779"/>
      <c r="E23" s="779"/>
      <c r="F23" s="779"/>
      <c r="G23" s="779"/>
      <c r="H23" s="339" t="s">
        <v>54</v>
      </c>
      <c r="I23" s="139">
        <f>IF(AF23="",IF('ورود اطلاعات'!$G$26&gt;=2,'ورود اطلاعات'!G17,IF('ورود اطلاعات'!$G$26=1,'ورود اطلاعات'!G17,"ثبت طول")),AF23)</f>
        <v>242.5</v>
      </c>
      <c r="J23" s="339" t="s">
        <v>10</v>
      </c>
      <c r="K23" s="781"/>
      <c r="L23" s="781"/>
      <c r="M23" s="781"/>
      <c r="N23" s="781"/>
      <c r="O23" s="781"/>
      <c r="P23" s="781"/>
      <c r="Q23" s="781"/>
      <c r="R23" s="781"/>
      <c r="S23" s="781"/>
      <c r="T23" s="781"/>
      <c r="U23" s="781"/>
      <c r="V23" s="781"/>
      <c r="W23" s="781"/>
      <c r="X23" s="781"/>
      <c r="Y23" s="781"/>
      <c r="Z23" s="781"/>
      <c r="AA23" s="781"/>
      <c r="AB23" s="781"/>
      <c r="AC23" s="781"/>
      <c r="AD23" s="832"/>
      <c r="AE23" s="364"/>
      <c r="AF23" s="336"/>
      <c r="AG23" s="336" t="s">
        <v>10</v>
      </c>
      <c r="AH23" s="252"/>
      <c r="AI23" s="145"/>
      <c r="AJ23" s="367"/>
      <c r="AK23" s="143"/>
      <c r="AL23" s="143"/>
      <c r="AM23" s="117"/>
      <c r="AN23" s="152"/>
      <c r="AO23" s="152"/>
      <c r="AP23" s="117"/>
    </row>
    <row r="24" spans="1:54" ht="30.75" customHeight="1" x14ac:dyDescent="0.25">
      <c r="A24" s="779">
        <v>13</v>
      </c>
      <c r="B24" s="779" t="s">
        <v>55</v>
      </c>
      <c r="C24" s="779"/>
      <c r="D24" s="779"/>
      <c r="E24" s="779"/>
      <c r="F24" s="779"/>
      <c r="G24" s="779"/>
      <c r="H24" s="339" t="s">
        <v>0</v>
      </c>
      <c r="I24" s="138">
        <f>IF(AF24="",IF('ورود اطلاعات'!$G$26&gt;=2,'ورود اطلاعات'!G18,IF('ورود اطلاعات'!$G$26=1,ROUND(IST!C18,0),ROUND(IST!C19,0))),AF24)</f>
        <v>58</v>
      </c>
      <c r="J24" s="339" t="str">
        <f>J22</f>
        <v>N</v>
      </c>
      <c r="K24" s="781"/>
      <c r="L24" s="781"/>
      <c r="M24" s="781"/>
      <c r="N24" s="781"/>
      <c r="O24" s="781"/>
      <c r="P24" s="781"/>
      <c r="Q24" s="781"/>
      <c r="R24" s="781"/>
      <c r="S24" s="781"/>
      <c r="T24" s="781"/>
      <c r="U24" s="781"/>
      <c r="V24" s="781"/>
      <c r="W24" s="781"/>
      <c r="X24" s="781"/>
      <c r="Y24" s="781"/>
      <c r="Z24" s="781"/>
      <c r="AA24" s="781"/>
      <c r="AB24" s="781"/>
      <c r="AC24" s="781"/>
      <c r="AD24" s="832"/>
      <c r="AE24" s="364"/>
      <c r="AF24" s="336"/>
      <c r="AG24" s="336" t="s">
        <v>3</v>
      </c>
      <c r="AH24" s="252"/>
      <c r="AI24" s="145"/>
      <c r="AJ24" s="367"/>
      <c r="AK24" s="143"/>
      <c r="AL24" s="143"/>
      <c r="AM24" s="143"/>
      <c r="AN24" s="143"/>
      <c r="AO24" s="143"/>
      <c r="AP24" s="117"/>
    </row>
    <row r="25" spans="1:54" ht="30.75" customHeight="1" x14ac:dyDescent="0.25">
      <c r="A25" s="779"/>
      <c r="B25" s="779"/>
      <c r="C25" s="779"/>
      <c r="D25" s="779"/>
      <c r="E25" s="779"/>
      <c r="F25" s="779"/>
      <c r="G25" s="779"/>
      <c r="H25" s="339" t="s">
        <v>56</v>
      </c>
      <c r="I25" s="139" t="str">
        <f>IF(AF25="",IF('ورود اطلاعات'!$G$26&gt;=2,'ورود اطلاعات'!G19,"ثبت طول"),AF25)</f>
        <v>ثبت طول</v>
      </c>
      <c r="J25" s="339" t="s">
        <v>10</v>
      </c>
      <c r="K25" s="781"/>
      <c r="L25" s="781"/>
      <c r="M25" s="781"/>
      <c r="N25" s="781"/>
      <c r="O25" s="781"/>
      <c r="P25" s="781"/>
      <c r="Q25" s="781"/>
      <c r="R25" s="781"/>
      <c r="S25" s="781"/>
      <c r="T25" s="781"/>
      <c r="U25" s="781"/>
      <c r="V25" s="781"/>
      <c r="W25" s="781"/>
      <c r="X25" s="781"/>
      <c r="Y25" s="781"/>
      <c r="Z25" s="781"/>
      <c r="AA25" s="781"/>
      <c r="AB25" s="781"/>
      <c r="AC25" s="781"/>
      <c r="AD25" s="781"/>
      <c r="AE25" s="252"/>
      <c r="AF25" s="336"/>
      <c r="AG25" s="336" t="s">
        <v>10</v>
      </c>
      <c r="AH25" s="252"/>
      <c r="AI25" s="145"/>
      <c r="AJ25" s="367"/>
      <c r="AK25" s="143"/>
      <c r="AL25" s="143"/>
      <c r="AM25" s="143"/>
      <c r="AN25" s="143"/>
      <c r="AO25" s="143"/>
      <c r="AP25" s="117"/>
    </row>
    <row r="26" spans="1:54" ht="30.75" customHeight="1" x14ac:dyDescent="0.25">
      <c r="A26" s="779">
        <v>14</v>
      </c>
      <c r="B26" s="779" t="s">
        <v>57</v>
      </c>
      <c r="C26" s="779"/>
      <c r="D26" s="779"/>
      <c r="E26" s="779"/>
      <c r="F26" s="779"/>
      <c r="G26" s="779"/>
      <c r="H26" s="339" t="s">
        <v>1</v>
      </c>
      <c r="I26" s="140">
        <f>IF(AF26="",IF('ورود اطلاعات'!$G$26=0,"",IF('ورود اطلاعات'!$G$26=1,ROUND(IST!C19,0),IF('ورود اطلاعات'!G26=2,ROUND(IST!C18,0),'ورود اطلاعات'!G20))),AF26)</f>
        <v>136</v>
      </c>
      <c r="J26" s="339" t="str">
        <f>J24</f>
        <v>N</v>
      </c>
      <c r="K26" s="781"/>
      <c r="L26" s="781"/>
      <c r="M26" s="781"/>
      <c r="N26" s="781"/>
      <c r="O26" s="781"/>
      <c r="P26" s="781"/>
      <c r="Q26" s="781"/>
      <c r="R26" s="781"/>
      <c r="S26" s="781"/>
      <c r="T26" s="781"/>
      <c r="U26" s="781"/>
      <c r="V26" s="781"/>
      <c r="W26" s="781"/>
      <c r="X26" s="781"/>
      <c r="Y26" s="781"/>
      <c r="Z26" s="781"/>
      <c r="AA26" s="781"/>
      <c r="AB26" s="781"/>
      <c r="AC26" s="781"/>
      <c r="AD26" s="781"/>
      <c r="AE26" s="252"/>
      <c r="AF26" s="336"/>
      <c r="AG26" s="336" t="s">
        <v>3</v>
      </c>
      <c r="AH26" s="252"/>
      <c r="AI26" s="145"/>
      <c r="AJ26" s="367"/>
      <c r="AK26" s="365">
        <f>357.12/1450</f>
        <v>0.2462896551724138</v>
      </c>
      <c r="AL26" s="220" t="s">
        <v>309</v>
      </c>
      <c r="AM26" s="143"/>
      <c r="AN26" s="143"/>
      <c r="AO26" s="143"/>
      <c r="AP26" s="117"/>
    </row>
    <row r="27" spans="1:54" ht="30.75" customHeight="1" x14ac:dyDescent="0.25">
      <c r="A27" s="779"/>
      <c r="B27" s="779"/>
      <c r="C27" s="779"/>
      <c r="D27" s="779"/>
      <c r="E27" s="779"/>
      <c r="F27" s="779"/>
      <c r="G27" s="779"/>
      <c r="H27" s="339" t="s">
        <v>58</v>
      </c>
      <c r="I27" s="363" t="str">
        <f>IF(AF27="",IF('ورود اطلاعات'!$G$26=0,"",IF('ورود اطلاعات'!$G$26=1,"ثبت طول",IF('ورود اطلاعات'!G26=2,"ثبت طول",'ورود اطلاعات'!G21))),AF27)</f>
        <v>ثبت طول</v>
      </c>
      <c r="J27" s="339" t="s">
        <v>10</v>
      </c>
      <c r="K27" s="781"/>
      <c r="L27" s="781"/>
      <c r="M27" s="781"/>
      <c r="N27" s="781"/>
      <c r="O27" s="781"/>
      <c r="P27" s="781"/>
      <c r="Q27" s="781"/>
      <c r="R27" s="781"/>
      <c r="S27" s="781"/>
      <c r="T27" s="781"/>
      <c r="U27" s="781"/>
      <c r="V27" s="781"/>
      <c r="W27" s="781"/>
      <c r="X27" s="781"/>
      <c r="Y27" s="781"/>
      <c r="Z27" s="781"/>
      <c r="AA27" s="781"/>
      <c r="AB27" s="781"/>
      <c r="AC27" s="781"/>
      <c r="AD27" s="781"/>
      <c r="AE27" s="252"/>
      <c r="AF27" s="336" t="str">
        <f>IFERROR(ROUND(0.012*((AE12+IST!I20)*((2/(AE15-1.5))+1)*AE34),1),"")</f>
        <v/>
      </c>
      <c r="AG27" s="336" t="s">
        <v>10</v>
      </c>
      <c r="AH27" s="252"/>
      <c r="AI27" s="145"/>
      <c r="AJ27" s="367"/>
      <c r="AK27" s="365">
        <f>712.96/1450</f>
        <v>0.49169655172413795</v>
      </c>
      <c r="AL27" s="220" t="s">
        <v>310</v>
      </c>
      <c r="AM27" s="143"/>
      <c r="AN27" s="143"/>
      <c r="AO27" s="143"/>
      <c r="AP27" s="117"/>
    </row>
    <row r="28" spans="1:54" ht="30.75" customHeight="1" x14ac:dyDescent="0.25">
      <c r="A28" s="779">
        <v>15</v>
      </c>
      <c r="B28" s="779" t="s">
        <v>90</v>
      </c>
      <c r="C28" s="779"/>
      <c r="D28" s="779"/>
      <c r="E28" s="779"/>
      <c r="F28" s="779"/>
      <c r="G28" s="779"/>
      <c r="H28" s="339" t="s">
        <v>91</v>
      </c>
      <c r="I28" s="140" t="str">
        <f>IF(AF28="",IF('ورود اطلاعات'!$G$26=0,"",IF('ورود اطلاعات'!$G$26=1,"",IF('ورود اطلاعات'!G26=2,ROUND(IST!C19,0),""))),AF28)</f>
        <v/>
      </c>
      <c r="J28" s="339" t="str">
        <f>J26</f>
        <v>N</v>
      </c>
      <c r="K28" s="781" t="str">
        <f>IF('ورود اطلاعات'!$G$26=0,"",IF('ورود اطلاعات'!$G$26=1,"",IF('ورود اطلاعات'!G26=2,ROUND(IST!C19,0),"")))</f>
        <v/>
      </c>
      <c r="L28" s="781"/>
      <c r="M28" s="781"/>
      <c r="N28" s="781"/>
      <c r="O28" s="781"/>
      <c r="P28" s="781"/>
      <c r="Q28" s="781"/>
      <c r="R28" s="781"/>
      <c r="S28" s="781"/>
      <c r="T28" s="781"/>
      <c r="U28" s="781"/>
      <c r="V28" s="781"/>
      <c r="W28" s="781"/>
      <c r="X28" s="781"/>
      <c r="Y28" s="781"/>
      <c r="Z28" s="781"/>
      <c r="AA28" s="781"/>
      <c r="AB28" s="781"/>
      <c r="AC28" s="781"/>
      <c r="AD28" s="781"/>
      <c r="AE28" s="145"/>
      <c r="AF28" s="336"/>
      <c r="AG28" s="336" t="s">
        <v>3</v>
      </c>
      <c r="AH28" s="252"/>
      <c r="AI28" s="145"/>
      <c r="AJ28" s="367"/>
      <c r="AK28" s="365">
        <v>1450</v>
      </c>
      <c r="AL28" s="220" t="s">
        <v>311</v>
      </c>
      <c r="AM28" s="143"/>
      <c r="AN28" s="143"/>
      <c r="AO28" s="143"/>
      <c r="AP28" s="117"/>
    </row>
    <row r="29" spans="1:54" ht="30.75" customHeight="1" x14ac:dyDescent="0.25">
      <c r="A29" s="779"/>
      <c r="B29" s="779"/>
      <c r="C29" s="779"/>
      <c r="D29" s="779"/>
      <c r="E29" s="779"/>
      <c r="F29" s="779"/>
      <c r="G29" s="779"/>
      <c r="H29" s="339" t="s">
        <v>92</v>
      </c>
      <c r="I29" s="363" t="str">
        <f>IF(AF29="",IF('ورود اطلاعات'!$G$26=0,"",IF('ورود اطلاعات'!$G$26=1,"",IF('ورود اطلاعات'!G26=2,"ثبت طول",""))),AF29)</f>
        <v/>
      </c>
      <c r="J29" s="339" t="s">
        <v>10</v>
      </c>
      <c r="K29" s="781" t="str">
        <f>IF('ورود اطلاعات'!$G$26=0,"",IF('ورود اطلاعات'!$G$26=1,"",IF('ورود اطلاعات'!G26=2,"ثبت طول","")))</f>
        <v/>
      </c>
      <c r="L29" s="781"/>
      <c r="M29" s="781"/>
      <c r="N29" s="781"/>
      <c r="O29" s="781"/>
      <c r="P29" s="781"/>
      <c r="Q29" s="781"/>
      <c r="R29" s="781"/>
      <c r="S29" s="781"/>
      <c r="T29" s="781"/>
      <c r="U29" s="781"/>
      <c r="V29" s="781"/>
      <c r="W29" s="781"/>
      <c r="X29" s="781"/>
      <c r="Y29" s="781"/>
      <c r="Z29" s="781"/>
      <c r="AA29" s="781"/>
      <c r="AB29" s="781"/>
      <c r="AC29" s="781"/>
      <c r="AD29" s="781"/>
      <c r="AE29" s="145"/>
      <c r="AF29" s="336"/>
      <c r="AG29" s="336" t="s">
        <v>10</v>
      </c>
      <c r="AH29" s="252"/>
      <c r="AI29" s="145"/>
      <c r="AJ29" s="367"/>
      <c r="AK29" s="365">
        <f>(692.87*1.28)/AK28</f>
        <v>0.61163696551724134</v>
      </c>
      <c r="AL29" s="220" t="s">
        <v>312</v>
      </c>
      <c r="AM29" s="143"/>
      <c r="AN29" s="143"/>
      <c r="AO29" s="143"/>
      <c r="AP29" s="117"/>
    </row>
    <row r="30" spans="1:54" ht="19.5" customHeight="1" x14ac:dyDescent="0.25">
      <c r="A30" s="779">
        <v>16</v>
      </c>
      <c r="B30" s="779" t="s">
        <v>190</v>
      </c>
      <c r="C30" s="779"/>
      <c r="D30" s="779"/>
      <c r="E30" s="779"/>
      <c r="F30" s="779"/>
      <c r="G30" s="779"/>
      <c r="H30" s="339" t="s">
        <v>8</v>
      </c>
      <c r="I30" s="385" t="str">
        <f>CONCATENATE(IF(AF31="",CEILING(IST!J4*0.9,100),AF31),"  ",J22)</f>
        <v>200  N</v>
      </c>
      <c r="J30" s="781" t="s">
        <v>10</v>
      </c>
      <c r="K30" s="805"/>
      <c r="L30" s="805"/>
      <c r="M30" s="805"/>
      <c r="N30" s="805"/>
      <c r="O30" s="805"/>
      <c r="P30" s="805"/>
      <c r="Q30" s="805"/>
      <c r="R30" s="805"/>
      <c r="S30" s="805"/>
      <c r="T30" s="805"/>
      <c r="U30" s="805"/>
      <c r="V30" s="805"/>
      <c r="W30" s="805"/>
      <c r="X30" s="805"/>
      <c r="Y30" s="805"/>
      <c r="Z30" s="805"/>
      <c r="AA30" s="805"/>
      <c r="AB30" s="805"/>
      <c r="AC30" s="805"/>
      <c r="AD30" s="805"/>
      <c r="AE30" s="145"/>
      <c r="AF30" s="382" t="s">
        <v>191</v>
      </c>
      <c r="AG30" s="382" t="s">
        <v>188</v>
      </c>
      <c r="AH30" s="145"/>
      <c r="AI30" s="145"/>
      <c r="AJ30" s="143"/>
      <c r="AK30" s="220">
        <f>(AK29*(AK27-AK26))/(2*AK29*(AK26+AK27))</f>
        <v>0.16626794258373206</v>
      </c>
      <c r="AL30" s="220" t="s">
        <v>313</v>
      </c>
      <c r="AM30" s="143"/>
      <c r="AN30" s="143"/>
      <c r="AO30" s="143"/>
      <c r="AP30" s="117"/>
    </row>
    <row r="31" spans="1:54" ht="19.5" customHeight="1" x14ac:dyDescent="0.25">
      <c r="A31" s="779"/>
      <c r="B31" s="779"/>
      <c r="C31" s="779"/>
      <c r="D31" s="779"/>
      <c r="E31" s="779"/>
      <c r="F31" s="779"/>
      <c r="G31" s="779"/>
      <c r="H31" s="339" t="s">
        <v>129</v>
      </c>
      <c r="I31" s="386" t="s">
        <v>388</v>
      </c>
      <c r="J31" s="781"/>
      <c r="K31" s="806"/>
      <c r="L31" s="806"/>
      <c r="M31" s="806"/>
      <c r="N31" s="806"/>
      <c r="O31" s="806"/>
      <c r="P31" s="806"/>
      <c r="Q31" s="806"/>
      <c r="R31" s="806"/>
      <c r="S31" s="806"/>
      <c r="T31" s="806"/>
      <c r="U31" s="806"/>
      <c r="V31" s="806"/>
      <c r="W31" s="806"/>
      <c r="X31" s="806"/>
      <c r="Y31" s="806"/>
      <c r="Z31" s="806"/>
      <c r="AA31" s="806"/>
      <c r="AB31" s="806"/>
      <c r="AC31" s="806"/>
      <c r="AD31" s="806"/>
      <c r="AE31" s="145"/>
      <c r="AF31" s="210"/>
      <c r="AG31" s="210"/>
      <c r="AH31" s="145"/>
      <c r="AI31" s="145"/>
      <c r="AJ31" s="143"/>
      <c r="AK31" s="220">
        <v>0.83</v>
      </c>
      <c r="AL31" s="220" t="s">
        <v>316</v>
      </c>
      <c r="AM31" s="143"/>
      <c r="AN31" s="143"/>
      <c r="AO31" s="143"/>
      <c r="AP31" s="117"/>
    </row>
    <row r="32" spans="1:54" ht="18" customHeight="1" x14ac:dyDescent="0.25">
      <c r="A32" s="779">
        <v>17</v>
      </c>
      <c r="B32" s="779" t="s">
        <v>189</v>
      </c>
      <c r="C32" s="779"/>
      <c r="D32" s="779"/>
      <c r="E32" s="779"/>
      <c r="F32" s="779"/>
      <c r="G32" s="779"/>
      <c r="H32" s="339" t="s">
        <v>8</v>
      </c>
      <c r="I32" s="385" t="str">
        <f>I30</f>
        <v>200  N</v>
      </c>
      <c r="J32" s="781" t="s">
        <v>10</v>
      </c>
      <c r="K32" s="805"/>
      <c r="L32" s="805"/>
      <c r="M32" s="805"/>
      <c r="N32" s="805"/>
      <c r="O32" s="805"/>
      <c r="P32" s="805"/>
      <c r="Q32" s="805"/>
      <c r="R32" s="805"/>
      <c r="S32" s="805"/>
      <c r="T32" s="805"/>
      <c r="U32" s="805"/>
      <c r="V32" s="805"/>
      <c r="W32" s="805"/>
      <c r="X32" s="805"/>
      <c r="Y32" s="805"/>
      <c r="Z32" s="805"/>
      <c r="AA32" s="805"/>
      <c r="AB32" s="805"/>
      <c r="AC32" s="805"/>
      <c r="AD32" s="805"/>
      <c r="AE32" s="145"/>
      <c r="AF32" s="145"/>
      <c r="AG32" s="145"/>
      <c r="AH32" s="145"/>
      <c r="AI32" s="145"/>
      <c r="AJ32" s="143"/>
      <c r="AK32" s="220">
        <v>-2.1499999999999998E-2</v>
      </c>
      <c r="AL32" s="220" t="s">
        <v>315</v>
      </c>
      <c r="AM32" s="143"/>
      <c r="AN32" s="143"/>
      <c r="AO32" s="143"/>
      <c r="AP32" s="117"/>
    </row>
    <row r="33" spans="1:42" ht="18" customHeight="1" x14ac:dyDescent="0.25">
      <c r="A33" s="779"/>
      <c r="B33" s="779"/>
      <c r="C33" s="779"/>
      <c r="D33" s="779"/>
      <c r="E33" s="779"/>
      <c r="F33" s="779"/>
      <c r="G33" s="779"/>
      <c r="H33" s="339" t="s">
        <v>129</v>
      </c>
      <c r="I33" s="386" t="s">
        <v>388</v>
      </c>
      <c r="J33" s="781"/>
      <c r="K33" s="806"/>
      <c r="L33" s="806"/>
      <c r="M33" s="806"/>
      <c r="N33" s="806"/>
      <c r="O33" s="806"/>
      <c r="P33" s="806"/>
      <c r="Q33" s="806"/>
      <c r="R33" s="806"/>
      <c r="S33" s="806"/>
      <c r="T33" s="806"/>
      <c r="U33" s="806"/>
      <c r="V33" s="806"/>
      <c r="W33" s="806"/>
      <c r="X33" s="806"/>
      <c r="Y33" s="806"/>
      <c r="Z33" s="806"/>
      <c r="AA33" s="806"/>
      <c r="AB33" s="806"/>
      <c r="AC33" s="806"/>
      <c r="AD33" s="806"/>
      <c r="AE33" s="145"/>
      <c r="AF33" s="145"/>
      <c r="AG33" s="145"/>
      <c r="AH33" s="145"/>
      <c r="AI33" s="145"/>
      <c r="AJ33" s="143"/>
      <c r="AK33" s="220">
        <v>1.8080000000000001</v>
      </c>
      <c r="AL33" s="220" t="s">
        <v>314</v>
      </c>
      <c r="AM33" s="143"/>
      <c r="AN33" s="143"/>
      <c r="AO33" s="143"/>
      <c r="AP33" s="117"/>
    </row>
    <row r="34" spans="1:42" ht="30.75" customHeight="1" x14ac:dyDescent="0.25">
      <c r="A34" s="266">
        <v>18</v>
      </c>
      <c r="B34" s="779" t="str">
        <f>IF(H34="R","ضریب سختی","ضریب نرمی")</f>
        <v>ضریب سختی</v>
      </c>
      <c r="C34" s="779"/>
      <c r="D34" s="779"/>
      <c r="E34" s="779"/>
      <c r="F34" s="779"/>
      <c r="G34" s="779"/>
      <c r="H34" s="339" t="s">
        <v>6</v>
      </c>
      <c r="I34" s="138" t="str">
        <f>IF(H34="R",CONCATENATE(IF(AG37="",ROUND(AE34,2),AG37),$AF$1,IF(AE37="",ROUND(AF34,2),AE37)),CONCATENATE(IF(AG37="",ROUND(AE35,2),AG37),$AF$1,IF(AF37="",ROUND(AF35,2),AF37)))</f>
        <v>0.87 ± 0</v>
      </c>
      <c r="J34" s="387" t="str">
        <f>IF(J22="N",IF(H34="R","N/mm","mm/10^3daN"),IF(H34="R","Kg/mm","mm/Kg"))</f>
        <v>N/mm</v>
      </c>
      <c r="K34" s="781"/>
      <c r="L34" s="781"/>
      <c r="M34" s="781"/>
      <c r="N34" s="781"/>
      <c r="O34" s="781"/>
      <c r="P34" s="781"/>
      <c r="Q34" s="781"/>
      <c r="R34" s="781"/>
      <c r="S34" s="781"/>
      <c r="T34" s="781"/>
      <c r="U34" s="781"/>
      <c r="V34" s="781"/>
      <c r="W34" s="781"/>
      <c r="X34" s="781"/>
      <c r="Y34" s="781"/>
      <c r="Z34" s="781"/>
      <c r="AA34" s="781"/>
      <c r="AB34" s="781"/>
      <c r="AC34" s="781"/>
      <c r="AD34" s="781"/>
      <c r="AE34" s="361">
        <f>IF('ورود اطلاعات'!G13="",'ورود اطلاعات'!K13,'ورود اطلاعات'!G13)</f>
        <v>0.86875621221220178</v>
      </c>
      <c r="AF34" s="362">
        <f>'ورود اطلاعات'!L13</f>
        <v>0</v>
      </c>
      <c r="AG34" s="145" t="s">
        <v>6</v>
      </c>
      <c r="AH34" s="145" t="s">
        <v>168</v>
      </c>
      <c r="AI34" s="212"/>
      <c r="AJ34" s="143"/>
      <c r="AK34" s="220">
        <v>-0.13</v>
      </c>
      <c r="AL34" s="220" t="s">
        <v>317</v>
      </c>
      <c r="AM34" s="117"/>
      <c r="AN34" s="117"/>
      <c r="AO34" s="117"/>
      <c r="AP34" s="117"/>
    </row>
    <row r="35" spans="1:42" ht="30.75" customHeight="1" x14ac:dyDescent="0.25">
      <c r="A35" s="266">
        <v>19</v>
      </c>
      <c r="B35" s="779" t="s">
        <v>93</v>
      </c>
      <c r="C35" s="779"/>
      <c r="D35" s="779"/>
      <c r="E35" s="779"/>
      <c r="F35" s="779"/>
      <c r="G35" s="779"/>
      <c r="H35" s="384" t="s">
        <v>124</v>
      </c>
      <c r="I35" s="138" t="str">
        <f>IF('ورود اطلاعات'!G25="",IF(AG31="",IF(AE11&gt;15,"44 - 49","47-51"),AG31),'ورود اطلاعات'!G25)</f>
        <v>45-50</v>
      </c>
      <c r="J35" s="339" t="s">
        <v>59</v>
      </c>
      <c r="K35" s="781"/>
      <c r="L35" s="781"/>
      <c r="M35" s="781"/>
      <c r="N35" s="781"/>
      <c r="O35" s="781"/>
      <c r="P35" s="781"/>
      <c r="Q35" s="781"/>
      <c r="R35" s="781"/>
      <c r="S35" s="781"/>
      <c r="T35" s="781"/>
      <c r="U35" s="781"/>
      <c r="V35" s="781"/>
      <c r="W35" s="781"/>
      <c r="X35" s="781"/>
      <c r="Y35" s="781"/>
      <c r="Z35" s="781"/>
      <c r="AA35" s="781"/>
      <c r="AB35" s="781"/>
      <c r="AC35" s="781"/>
      <c r="AD35" s="781"/>
      <c r="AE35" s="362">
        <f>(1/AE34)*10000</f>
        <v>11510.709056728341</v>
      </c>
      <c r="AF35" s="362" t="e">
        <f>1/AF34</f>
        <v>#DIV/0!</v>
      </c>
      <c r="AG35" s="145"/>
      <c r="AH35" s="145"/>
      <c r="AI35" s="145"/>
      <c r="AJ35" s="143"/>
      <c r="AK35" s="221">
        <f>EXP((1/AK34)*LN(AK30/AK33))</f>
        <v>93805872.141042992</v>
      </c>
      <c r="AL35" s="222" t="s">
        <v>301</v>
      </c>
      <c r="AM35" s="117"/>
      <c r="AN35" s="117"/>
      <c r="AO35" s="117"/>
      <c r="AP35" s="117"/>
    </row>
    <row r="36" spans="1:42" ht="30.75" customHeight="1" x14ac:dyDescent="0.25">
      <c r="A36" s="266">
        <v>20</v>
      </c>
      <c r="B36" s="779" t="s">
        <v>60</v>
      </c>
      <c r="C36" s="779"/>
      <c r="D36" s="779"/>
      <c r="E36" s="779"/>
      <c r="F36" s="779"/>
      <c r="G36" s="779"/>
      <c r="H36" s="384" t="s">
        <v>124</v>
      </c>
      <c r="I36" s="138" t="s">
        <v>105</v>
      </c>
      <c r="J36" s="339" t="s">
        <v>10</v>
      </c>
      <c r="K36" s="781"/>
      <c r="L36" s="781"/>
      <c r="M36" s="781"/>
      <c r="N36" s="781"/>
      <c r="O36" s="781"/>
      <c r="P36" s="781"/>
      <c r="Q36" s="781"/>
      <c r="R36" s="781"/>
      <c r="S36" s="781"/>
      <c r="T36" s="781"/>
      <c r="U36" s="781"/>
      <c r="V36" s="781"/>
      <c r="W36" s="781"/>
      <c r="X36" s="781"/>
      <c r="Y36" s="781"/>
      <c r="Z36" s="781"/>
      <c r="AA36" s="781"/>
      <c r="AB36" s="781"/>
      <c r="AC36" s="781"/>
      <c r="AD36" s="781"/>
      <c r="AE36" s="383" t="s">
        <v>171</v>
      </c>
      <c r="AF36" s="383" t="s">
        <v>172</v>
      </c>
      <c r="AG36" s="383" t="s">
        <v>187</v>
      </c>
      <c r="AH36" s="145"/>
      <c r="AI36" s="145"/>
      <c r="AJ36" s="143"/>
      <c r="AK36" s="217">
        <f>(AK31*AK35)^AK32</f>
        <v>0.67660760587144897</v>
      </c>
      <c r="AL36" s="217" t="s">
        <v>318</v>
      </c>
      <c r="AM36" s="117"/>
      <c r="AN36" s="117"/>
      <c r="AO36" s="117"/>
      <c r="AP36" s="117"/>
    </row>
    <row r="37" spans="1:42" ht="30.75" customHeight="1" x14ac:dyDescent="0.25">
      <c r="A37" s="266">
        <v>21</v>
      </c>
      <c r="B37" s="779" t="s">
        <v>61</v>
      </c>
      <c r="C37" s="779"/>
      <c r="D37" s="779"/>
      <c r="E37" s="779"/>
      <c r="F37" s="779"/>
      <c r="G37" s="779"/>
      <c r="H37" s="384" t="s">
        <v>124</v>
      </c>
      <c r="I37" s="340" t="s">
        <v>62</v>
      </c>
      <c r="J37" s="339" t="s">
        <v>63</v>
      </c>
      <c r="K37" s="781"/>
      <c r="L37" s="781"/>
      <c r="M37" s="781"/>
      <c r="N37" s="781"/>
      <c r="O37" s="781"/>
      <c r="P37" s="781"/>
      <c r="Q37" s="781"/>
      <c r="R37" s="781"/>
      <c r="S37" s="781"/>
      <c r="T37" s="781"/>
      <c r="U37" s="781"/>
      <c r="V37" s="781"/>
      <c r="W37" s="781"/>
      <c r="X37" s="781"/>
      <c r="Y37" s="781"/>
      <c r="Z37" s="781"/>
      <c r="AA37" s="781"/>
      <c r="AB37" s="781"/>
      <c r="AC37" s="781"/>
      <c r="AD37" s="781"/>
      <c r="AE37" s="211"/>
      <c r="AF37" s="210"/>
      <c r="AG37" s="210"/>
      <c r="AH37" s="145"/>
      <c r="AI37" s="145"/>
      <c r="AJ37" s="143"/>
      <c r="AK37" s="153"/>
      <c r="AL37" s="117"/>
      <c r="AM37" s="117"/>
      <c r="AN37" s="117"/>
      <c r="AO37" s="117"/>
      <c r="AP37" s="117"/>
    </row>
    <row r="38" spans="1:42" ht="30.75" customHeight="1" x14ac:dyDescent="0.25">
      <c r="A38" s="266">
        <v>22</v>
      </c>
      <c r="B38" s="779" t="s">
        <v>64</v>
      </c>
      <c r="C38" s="779"/>
      <c r="D38" s="779"/>
      <c r="E38" s="779"/>
      <c r="F38" s="779"/>
      <c r="G38" s="779"/>
      <c r="H38" s="384" t="s">
        <v>124</v>
      </c>
      <c r="I38" s="138" t="str">
        <f>CONCATENATE("Max=",0.25*AE11)</f>
        <v>Max=1.75</v>
      </c>
      <c r="J38" s="339" t="s">
        <v>10</v>
      </c>
      <c r="K38" s="781"/>
      <c r="L38" s="781"/>
      <c r="M38" s="781"/>
      <c r="N38" s="781"/>
      <c r="O38" s="781"/>
      <c r="P38" s="781"/>
      <c r="Q38" s="781"/>
      <c r="R38" s="781"/>
      <c r="S38" s="781"/>
      <c r="T38" s="781"/>
      <c r="U38" s="781"/>
      <c r="V38" s="781"/>
      <c r="W38" s="781"/>
      <c r="X38" s="781"/>
      <c r="Y38" s="781"/>
      <c r="Z38" s="781"/>
      <c r="AA38" s="781"/>
      <c r="AB38" s="781"/>
      <c r="AC38" s="781"/>
      <c r="AD38" s="781"/>
      <c r="AE38" s="145"/>
      <c r="AF38" s="145"/>
      <c r="AG38" s="145"/>
      <c r="AH38" s="145"/>
      <c r="AI38" s="145"/>
      <c r="AJ38" s="143"/>
      <c r="AK38" s="143"/>
      <c r="AL38" s="117"/>
      <c r="AM38" s="117"/>
      <c r="AN38" s="117"/>
      <c r="AO38" s="117"/>
      <c r="AP38" s="117"/>
    </row>
    <row r="39" spans="1:42" ht="30.75" customHeight="1" x14ac:dyDescent="0.25">
      <c r="A39" s="266">
        <v>23</v>
      </c>
      <c r="B39" s="779" t="s">
        <v>65</v>
      </c>
      <c r="C39" s="779"/>
      <c r="D39" s="779"/>
      <c r="E39" s="779"/>
      <c r="F39" s="779"/>
      <c r="G39" s="779"/>
      <c r="H39" s="384" t="s">
        <v>124</v>
      </c>
      <c r="I39" s="208" t="s">
        <v>66</v>
      </c>
      <c r="J39" s="339" t="str">
        <f>H39</f>
        <v>-</v>
      </c>
      <c r="K39" s="781"/>
      <c r="L39" s="781"/>
      <c r="M39" s="781"/>
      <c r="N39" s="781"/>
      <c r="O39" s="781"/>
      <c r="P39" s="781"/>
      <c r="Q39" s="781"/>
      <c r="R39" s="781"/>
      <c r="S39" s="781"/>
      <c r="T39" s="781"/>
      <c r="U39" s="781"/>
      <c r="V39" s="781"/>
      <c r="W39" s="781"/>
      <c r="X39" s="781"/>
      <c r="Y39" s="781"/>
      <c r="Z39" s="781"/>
      <c r="AA39" s="781"/>
      <c r="AB39" s="781"/>
      <c r="AC39" s="781"/>
      <c r="AD39" s="781"/>
      <c r="AE39" s="145"/>
      <c r="AF39" s="145"/>
      <c r="AG39" s="145"/>
      <c r="AH39" s="145"/>
      <c r="AI39" s="145"/>
      <c r="AJ39" s="143"/>
      <c r="AK39" s="143"/>
      <c r="AL39" s="117"/>
      <c r="AM39" s="117"/>
      <c r="AN39" s="117"/>
      <c r="AO39" s="117"/>
      <c r="AP39" s="117"/>
    </row>
    <row r="40" spans="1:42" x14ac:dyDescent="0.25">
      <c r="A40" s="786" t="s">
        <v>67</v>
      </c>
      <c r="B40" s="786"/>
      <c r="C40" s="786"/>
      <c r="D40" s="786"/>
      <c r="E40" s="786"/>
      <c r="F40" s="786"/>
      <c r="G40" s="786"/>
      <c r="H40" s="786"/>
      <c r="I40" s="786"/>
      <c r="J40" s="786"/>
      <c r="K40" s="786"/>
      <c r="L40" s="786"/>
      <c r="M40" s="786"/>
      <c r="N40" s="786"/>
      <c r="O40" s="786"/>
      <c r="P40" s="786"/>
      <c r="Q40" s="786"/>
      <c r="R40" s="786"/>
      <c r="S40" s="786"/>
      <c r="T40" s="786"/>
      <c r="U40" s="786"/>
      <c r="V40" s="786"/>
      <c r="W40" s="786"/>
      <c r="X40" s="786"/>
      <c r="Y40" s="786"/>
      <c r="Z40" s="786"/>
      <c r="AA40" s="786"/>
      <c r="AB40" s="786"/>
      <c r="AC40" s="786"/>
      <c r="AD40" s="786"/>
      <c r="AE40" s="145"/>
      <c r="AF40" s="145"/>
      <c r="AG40" s="145"/>
      <c r="AH40" s="145"/>
      <c r="AI40" s="145"/>
      <c r="AJ40" s="143"/>
      <c r="AK40" s="143"/>
      <c r="AL40" s="117"/>
      <c r="AM40" s="117"/>
      <c r="AN40" s="117"/>
      <c r="AO40" s="117"/>
      <c r="AP40" s="117"/>
    </row>
    <row r="41" spans="1:42" x14ac:dyDescent="0.25">
      <c r="A41" s="786"/>
      <c r="B41" s="786"/>
      <c r="C41" s="786"/>
      <c r="D41" s="786"/>
      <c r="E41" s="786"/>
      <c r="F41" s="786"/>
      <c r="G41" s="786"/>
      <c r="H41" s="786"/>
      <c r="I41" s="786"/>
      <c r="J41" s="786"/>
      <c r="K41" s="786"/>
      <c r="L41" s="786"/>
      <c r="M41" s="786"/>
      <c r="N41" s="786"/>
      <c r="O41" s="786"/>
      <c r="P41" s="786"/>
      <c r="Q41" s="786"/>
      <c r="R41" s="786"/>
      <c r="S41" s="786"/>
      <c r="T41" s="786"/>
      <c r="U41" s="786"/>
      <c r="V41" s="786"/>
      <c r="W41" s="786"/>
      <c r="X41" s="786"/>
      <c r="Y41" s="786"/>
      <c r="Z41" s="786"/>
      <c r="AA41" s="786"/>
      <c r="AB41" s="786"/>
      <c r="AC41" s="786"/>
      <c r="AD41" s="786"/>
      <c r="AE41" s="145"/>
      <c r="AF41" s="145"/>
      <c r="AG41" s="145"/>
      <c r="AH41" s="145"/>
      <c r="AI41" s="145"/>
      <c r="AJ41" s="143"/>
      <c r="AK41" s="143"/>
      <c r="AL41" s="117"/>
      <c r="AM41" s="117"/>
      <c r="AN41" s="117"/>
      <c r="AO41" s="117"/>
      <c r="AP41" s="117"/>
    </row>
    <row r="42" spans="1:42" ht="42.75" customHeight="1" x14ac:dyDescent="0.25">
      <c r="A42" s="786"/>
      <c r="B42" s="786"/>
      <c r="C42" s="786"/>
      <c r="D42" s="786"/>
      <c r="E42" s="786"/>
      <c r="F42" s="786"/>
      <c r="G42" s="786"/>
      <c r="H42" s="786"/>
      <c r="I42" s="786"/>
      <c r="J42" s="786"/>
      <c r="K42" s="786"/>
      <c r="L42" s="786"/>
      <c r="M42" s="786"/>
      <c r="N42" s="786"/>
      <c r="O42" s="786"/>
      <c r="P42" s="786"/>
      <c r="Q42" s="786"/>
      <c r="R42" s="786"/>
      <c r="S42" s="786"/>
      <c r="T42" s="786"/>
      <c r="U42" s="786"/>
      <c r="V42" s="786"/>
      <c r="W42" s="786"/>
      <c r="X42" s="786"/>
      <c r="Y42" s="786"/>
      <c r="Z42" s="786"/>
      <c r="AA42" s="786"/>
      <c r="AB42" s="786"/>
      <c r="AC42" s="786"/>
      <c r="AD42" s="786"/>
      <c r="AE42" s="145"/>
      <c r="AF42" s="145"/>
      <c r="AG42" s="145"/>
      <c r="AH42" s="145"/>
      <c r="AI42" s="145"/>
      <c r="AJ42" s="143"/>
      <c r="AK42" s="143"/>
      <c r="AL42" s="117"/>
      <c r="AM42" s="117"/>
      <c r="AN42" s="117"/>
      <c r="AO42" s="117"/>
      <c r="AP42" s="117"/>
    </row>
    <row r="43" spans="1:42" ht="39.75" customHeight="1" x14ac:dyDescent="0.25">
      <c r="A43" s="833" t="s">
        <v>111</v>
      </c>
      <c r="B43" s="834"/>
      <c r="C43" s="834"/>
      <c r="D43" s="834"/>
      <c r="E43" s="834"/>
      <c r="F43" s="834"/>
      <c r="G43" s="834"/>
      <c r="H43" s="834"/>
      <c r="I43" s="834"/>
      <c r="J43" s="834"/>
      <c r="K43" s="834"/>
      <c r="L43" s="835"/>
      <c r="M43" s="786" t="s">
        <v>68</v>
      </c>
      <c r="N43" s="786"/>
      <c r="O43" s="786"/>
      <c r="P43" s="786"/>
      <c r="Q43" s="786"/>
      <c r="R43" s="786"/>
      <c r="S43" s="786"/>
      <c r="T43" s="786"/>
      <c r="U43" s="786"/>
      <c r="V43" s="786" t="s">
        <v>69</v>
      </c>
      <c r="W43" s="786"/>
      <c r="X43" s="786"/>
      <c r="Y43" s="786"/>
      <c r="Z43" s="786"/>
      <c r="AA43" s="786"/>
      <c r="AB43" s="786"/>
      <c r="AC43" s="786"/>
      <c r="AD43" s="786"/>
      <c r="AE43" s="145"/>
      <c r="AF43" s="145"/>
      <c r="AG43" s="145"/>
      <c r="AH43" s="145"/>
      <c r="AI43" s="145"/>
      <c r="AJ43" s="143"/>
      <c r="AK43" s="143"/>
      <c r="AL43" s="117"/>
      <c r="AM43" s="117"/>
      <c r="AN43" s="117"/>
      <c r="AO43" s="117"/>
      <c r="AP43" s="117"/>
    </row>
    <row r="44" spans="1:42" ht="20.25" customHeight="1" x14ac:dyDescent="0.25">
      <c r="A44" s="836"/>
      <c r="B44" s="837"/>
      <c r="C44" s="837"/>
      <c r="D44" s="837"/>
      <c r="E44" s="837"/>
      <c r="F44" s="837"/>
      <c r="G44" s="837"/>
      <c r="H44" s="837"/>
      <c r="I44" s="837"/>
      <c r="J44" s="837"/>
      <c r="K44" s="837"/>
      <c r="L44" s="838"/>
      <c r="M44" s="786"/>
      <c r="N44" s="786"/>
      <c r="O44" s="786"/>
      <c r="P44" s="786"/>
      <c r="Q44" s="786"/>
      <c r="R44" s="786"/>
      <c r="S44" s="786"/>
      <c r="T44" s="786"/>
      <c r="U44" s="786"/>
      <c r="V44" s="786"/>
      <c r="W44" s="786"/>
      <c r="X44" s="786"/>
      <c r="Y44" s="786"/>
      <c r="Z44" s="786"/>
      <c r="AA44" s="786"/>
      <c r="AB44" s="786"/>
      <c r="AC44" s="786"/>
      <c r="AD44" s="786"/>
      <c r="AE44" s="145"/>
      <c r="AF44" s="145"/>
      <c r="AG44" s="145"/>
      <c r="AH44" s="145"/>
      <c r="AI44" s="145"/>
      <c r="AJ44" s="143"/>
      <c r="AK44" s="143"/>
      <c r="AL44" s="117"/>
      <c r="AM44" s="117"/>
      <c r="AN44" s="117"/>
      <c r="AO44" s="117"/>
      <c r="AP44" s="117"/>
    </row>
    <row r="45" spans="1:42" ht="21.75" customHeight="1" x14ac:dyDescent="0.25">
      <c r="A45" s="839"/>
      <c r="B45" s="840"/>
      <c r="C45" s="840"/>
      <c r="D45" s="840"/>
      <c r="E45" s="840"/>
      <c r="F45" s="840"/>
      <c r="G45" s="840"/>
      <c r="H45" s="840"/>
      <c r="I45" s="840"/>
      <c r="J45" s="840"/>
      <c r="K45" s="840"/>
      <c r="L45" s="841"/>
      <c r="M45" s="786"/>
      <c r="N45" s="786"/>
      <c r="O45" s="786"/>
      <c r="P45" s="786"/>
      <c r="Q45" s="786"/>
      <c r="R45" s="786"/>
      <c r="S45" s="786"/>
      <c r="T45" s="786"/>
      <c r="U45" s="786"/>
      <c r="V45" s="786"/>
      <c r="W45" s="786"/>
      <c r="X45" s="786"/>
      <c r="Y45" s="786"/>
      <c r="Z45" s="786"/>
      <c r="AA45" s="786"/>
      <c r="AB45" s="786"/>
      <c r="AC45" s="786"/>
      <c r="AD45" s="786"/>
      <c r="AE45" s="145"/>
      <c r="AF45" s="145"/>
      <c r="AG45" s="145"/>
      <c r="AH45" s="145"/>
      <c r="AI45" s="145"/>
      <c r="AJ45" s="143"/>
      <c r="AK45" s="143"/>
      <c r="AL45" s="117"/>
      <c r="AM45" s="117"/>
      <c r="AN45" s="117"/>
      <c r="AO45" s="117"/>
      <c r="AP45" s="117"/>
    </row>
    <row r="46" spans="1:42" x14ac:dyDescent="0.25">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43"/>
      <c r="AF46" s="143"/>
      <c r="AG46" s="143"/>
      <c r="AH46" s="143"/>
      <c r="AI46" s="143"/>
      <c r="AJ46" s="143"/>
      <c r="AK46" s="143"/>
      <c r="AL46" s="117"/>
      <c r="AM46" s="117"/>
      <c r="AN46" s="117"/>
      <c r="AO46" s="117"/>
      <c r="AP46" s="117"/>
    </row>
    <row r="47" spans="1:42" x14ac:dyDescent="0.25">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43"/>
      <c r="AF47" s="143"/>
      <c r="AG47" s="143"/>
      <c r="AH47" s="143"/>
      <c r="AI47" s="143"/>
      <c r="AJ47" s="143"/>
      <c r="AK47" s="143"/>
      <c r="AL47" s="117"/>
      <c r="AM47" s="117"/>
      <c r="AN47" s="117"/>
      <c r="AO47" s="117"/>
      <c r="AP47" s="117"/>
    </row>
    <row r="48" spans="1:42" x14ac:dyDescent="0.2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43"/>
      <c r="AF48" s="143"/>
      <c r="AG48" s="143"/>
      <c r="AH48" s="143"/>
      <c r="AI48" s="143"/>
      <c r="AJ48" s="143"/>
      <c r="AK48" s="143"/>
      <c r="AL48" s="117"/>
      <c r="AM48" s="117"/>
      <c r="AN48" s="117"/>
      <c r="AO48" s="117"/>
      <c r="AP48" s="117"/>
    </row>
    <row r="49" spans="1:42" x14ac:dyDescent="0.25">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43"/>
      <c r="AF49" s="143"/>
      <c r="AG49" s="143"/>
      <c r="AH49" s="143"/>
      <c r="AI49" s="143"/>
      <c r="AJ49" s="143"/>
      <c r="AK49" s="143"/>
      <c r="AL49" s="117"/>
      <c r="AM49" s="117"/>
      <c r="AN49" s="117"/>
      <c r="AO49" s="117"/>
      <c r="AP49" s="117"/>
    </row>
    <row r="50" spans="1:42"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43"/>
      <c r="AF50" s="143"/>
      <c r="AG50" s="143"/>
      <c r="AH50" s="143"/>
      <c r="AI50" s="143"/>
      <c r="AJ50" s="143"/>
      <c r="AK50" s="143"/>
      <c r="AL50" s="117"/>
      <c r="AM50" s="117"/>
      <c r="AN50" s="117"/>
      <c r="AO50" s="117"/>
      <c r="AP50" s="117"/>
    </row>
    <row r="51" spans="1:42" x14ac:dyDescent="0.25">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43"/>
      <c r="AF51" s="143"/>
      <c r="AG51" s="143"/>
      <c r="AH51" s="143"/>
      <c r="AI51" s="143"/>
      <c r="AJ51" s="143"/>
      <c r="AK51" s="143"/>
      <c r="AL51" s="117"/>
      <c r="AM51" s="117"/>
      <c r="AN51" s="117"/>
      <c r="AO51" s="117"/>
      <c r="AP51" s="117"/>
    </row>
    <row r="52" spans="1:42"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43"/>
      <c r="AF52" s="143"/>
      <c r="AG52" s="143"/>
      <c r="AH52" s="143"/>
      <c r="AI52" s="143"/>
      <c r="AJ52" s="143"/>
      <c r="AK52" s="143"/>
      <c r="AL52" s="117"/>
      <c r="AM52" s="117"/>
      <c r="AN52" s="117"/>
      <c r="AO52" s="117"/>
      <c r="AP52" s="117"/>
    </row>
    <row r="53" spans="1:42"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43"/>
      <c r="AF53" s="143"/>
      <c r="AG53" s="143"/>
      <c r="AH53" s="143"/>
      <c r="AI53" s="143"/>
      <c r="AJ53" s="143"/>
      <c r="AK53" s="143"/>
      <c r="AL53" s="117"/>
      <c r="AM53" s="117"/>
      <c r="AN53" s="117"/>
      <c r="AO53" s="117"/>
      <c r="AP53" s="117"/>
    </row>
    <row r="54" spans="1:42"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43"/>
      <c r="AF54" s="143"/>
      <c r="AG54" s="143"/>
      <c r="AH54" s="143"/>
      <c r="AI54" s="143"/>
      <c r="AJ54" s="143"/>
      <c r="AK54" s="143"/>
      <c r="AL54" s="117"/>
      <c r="AM54" s="117"/>
      <c r="AN54" s="117"/>
      <c r="AO54" s="117"/>
      <c r="AP54" s="117"/>
    </row>
    <row r="55" spans="1:42" x14ac:dyDescent="0.2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43"/>
      <c r="AF55" s="143"/>
      <c r="AG55" s="143"/>
      <c r="AH55" s="143"/>
      <c r="AI55" s="143"/>
      <c r="AJ55" s="143"/>
      <c r="AK55" s="143"/>
      <c r="AL55" s="117"/>
      <c r="AM55" s="117"/>
      <c r="AN55" s="117"/>
      <c r="AO55" s="117"/>
      <c r="AP55" s="117"/>
    </row>
    <row r="56" spans="1:42" x14ac:dyDescent="0.25">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43"/>
      <c r="AF56" s="143"/>
      <c r="AG56" s="143"/>
      <c r="AH56" s="143"/>
      <c r="AI56" s="143"/>
      <c r="AJ56" s="143"/>
      <c r="AK56" s="143"/>
      <c r="AL56" s="117"/>
      <c r="AM56" s="117"/>
      <c r="AN56" s="117"/>
      <c r="AO56" s="117"/>
      <c r="AP56" s="117"/>
    </row>
    <row r="57" spans="1:42" x14ac:dyDescent="0.25">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43"/>
      <c r="AF57" s="143"/>
      <c r="AG57" s="143"/>
      <c r="AH57" s="143"/>
      <c r="AI57" s="143"/>
      <c r="AJ57" s="143"/>
      <c r="AK57" s="143"/>
      <c r="AL57" s="117"/>
      <c r="AM57" s="117"/>
      <c r="AN57" s="117"/>
      <c r="AO57" s="117"/>
      <c r="AP57" s="117"/>
    </row>
    <row r="58" spans="1:42" x14ac:dyDescent="0.25">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43"/>
      <c r="AF58" s="143"/>
      <c r="AG58" s="143"/>
      <c r="AH58" s="143"/>
      <c r="AI58" s="143"/>
      <c r="AJ58" s="143"/>
      <c r="AK58" s="143"/>
      <c r="AL58" s="117"/>
      <c r="AM58" s="117"/>
      <c r="AN58" s="117"/>
      <c r="AO58" s="117"/>
      <c r="AP58" s="117"/>
    </row>
    <row r="59" spans="1:42" x14ac:dyDescent="0.25">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43"/>
      <c r="AF59" s="143"/>
      <c r="AG59" s="143"/>
      <c r="AH59" s="143"/>
      <c r="AI59" s="143"/>
      <c r="AJ59" s="143"/>
      <c r="AK59" s="143"/>
      <c r="AL59" s="117"/>
      <c r="AM59" s="117"/>
      <c r="AN59" s="117"/>
      <c r="AO59" s="117"/>
      <c r="AP59" s="117"/>
    </row>
    <row r="60" spans="1:42" x14ac:dyDescent="0.25">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43"/>
      <c r="AF60" s="143"/>
      <c r="AG60" s="143"/>
      <c r="AH60" s="143"/>
      <c r="AI60" s="143"/>
      <c r="AJ60" s="143"/>
      <c r="AK60" s="143"/>
      <c r="AL60" s="117"/>
      <c r="AM60" s="117"/>
      <c r="AN60" s="117"/>
      <c r="AO60" s="117"/>
      <c r="AP60" s="117"/>
    </row>
    <row r="61" spans="1:42" x14ac:dyDescent="0.25">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43"/>
      <c r="AF61" s="143"/>
      <c r="AG61" s="143"/>
      <c r="AH61" s="143"/>
      <c r="AI61" s="143"/>
      <c r="AJ61" s="143"/>
      <c r="AK61" s="143"/>
      <c r="AL61" s="117"/>
      <c r="AM61" s="117"/>
      <c r="AN61" s="117"/>
      <c r="AO61" s="117"/>
      <c r="AP61" s="117"/>
    </row>
  </sheetData>
  <sheetProtection formatCells="0" formatColumns="0" formatRows="0" insertColumns="0" insertRows="0" insertHyperlinks="0" deleteColumns="0" deleteRows="0" sort="0" autoFilter="0" pivotTables="0"/>
  <mergeCells count="216">
    <mergeCell ref="O24:R24"/>
    <mergeCell ref="S24:V24"/>
    <mergeCell ref="K20:N20"/>
    <mergeCell ref="O20:R20"/>
    <mergeCell ref="S20:V20"/>
    <mergeCell ref="W20:Z20"/>
    <mergeCell ref="AA20:AD20"/>
    <mergeCell ref="AA23:AD23"/>
    <mergeCell ref="K22:N22"/>
    <mergeCell ref="O22:R22"/>
    <mergeCell ref="S22:V22"/>
    <mergeCell ref="W22:Z22"/>
    <mergeCell ref="AA22:AD22"/>
    <mergeCell ref="AA21:AD21"/>
    <mergeCell ref="S21:V21"/>
    <mergeCell ref="O21:R21"/>
    <mergeCell ref="A43:L45"/>
    <mergeCell ref="A32:A33"/>
    <mergeCell ref="B32:G33"/>
    <mergeCell ref="K32:N32"/>
    <mergeCell ref="O32:R32"/>
    <mergeCell ref="S32:V32"/>
    <mergeCell ref="W32:Z32"/>
    <mergeCell ref="O25:R25"/>
    <mergeCell ref="S25:V25"/>
    <mergeCell ref="W25:Z25"/>
    <mergeCell ref="S26:V26"/>
    <mergeCell ref="W26:Z26"/>
    <mergeCell ref="B30:G31"/>
    <mergeCell ref="A30:A31"/>
    <mergeCell ref="W31:Z31"/>
    <mergeCell ref="K29:N29"/>
    <mergeCell ref="O29:R29"/>
    <mergeCell ref="S29:V29"/>
    <mergeCell ref="W29:Z29"/>
    <mergeCell ref="K36:N36"/>
    <mergeCell ref="O36:R36"/>
    <mergeCell ref="S36:V36"/>
    <mergeCell ref="W36:Z36"/>
    <mergeCell ref="K30:N30"/>
    <mergeCell ref="AA26:AD26"/>
    <mergeCell ref="K27:N27"/>
    <mergeCell ref="W27:Z27"/>
    <mergeCell ref="AA27:AD27"/>
    <mergeCell ref="J32:J33"/>
    <mergeCell ref="AA24:AD24"/>
    <mergeCell ref="K21:N21"/>
    <mergeCell ref="O23:R23"/>
    <mergeCell ref="S23:V23"/>
    <mergeCell ref="W23:Z23"/>
    <mergeCell ref="K23:N23"/>
    <mergeCell ref="K28:N28"/>
    <mergeCell ref="O28:R28"/>
    <mergeCell ref="S28:V28"/>
    <mergeCell ref="W28:Z28"/>
    <mergeCell ref="AA28:AD28"/>
    <mergeCell ref="O27:R27"/>
    <mergeCell ref="S27:V27"/>
    <mergeCell ref="K26:N26"/>
    <mergeCell ref="O26:R26"/>
    <mergeCell ref="AA31:AD31"/>
    <mergeCell ref="S31:V31"/>
    <mergeCell ref="O31:R31"/>
    <mergeCell ref="K31:N31"/>
    <mergeCell ref="AA29:AD29"/>
    <mergeCell ref="J30:J31"/>
    <mergeCell ref="M43:U45"/>
    <mergeCell ref="W1:AD2"/>
    <mergeCell ref="W3:AD4"/>
    <mergeCell ref="H1:V4"/>
    <mergeCell ref="B38:G38"/>
    <mergeCell ref="B39:G39"/>
    <mergeCell ref="B37:G37"/>
    <mergeCell ref="B36:G36"/>
    <mergeCell ref="B35:G35"/>
    <mergeCell ref="B34:G34"/>
    <mergeCell ref="B17:G17"/>
    <mergeCell ref="B22:G23"/>
    <mergeCell ref="B24:G25"/>
    <mergeCell ref="B26:G27"/>
    <mergeCell ref="B28:G29"/>
    <mergeCell ref="K8:M8"/>
    <mergeCell ref="N6:AD6"/>
    <mergeCell ref="N8:AD8"/>
    <mergeCell ref="K39:N39"/>
    <mergeCell ref="O39:R39"/>
    <mergeCell ref="S39:V39"/>
    <mergeCell ref="W39:Z39"/>
    <mergeCell ref="AA39:AD39"/>
    <mergeCell ref="K38:N38"/>
    <mergeCell ref="O38:R38"/>
    <mergeCell ref="S38:V38"/>
    <mergeCell ref="W38:Z38"/>
    <mergeCell ref="AA38:AD38"/>
    <mergeCell ref="K37:N37"/>
    <mergeCell ref="O37:R37"/>
    <mergeCell ref="S37:V37"/>
    <mergeCell ref="W37:Z37"/>
    <mergeCell ref="AA37:AD37"/>
    <mergeCell ref="AA36:AD36"/>
    <mergeCell ref="K35:N35"/>
    <mergeCell ref="O35:R35"/>
    <mergeCell ref="S35:V35"/>
    <mergeCell ref="W35:Z35"/>
    <mergeCell ref="AA35:AD35"/>
    <mergeCell ref="K34:N34"/>
    <mergeCell ref="O34:R34"/>
    <mergeCell ref="S34:V34"/>
    <mergeCell ref="W34:Z34"/>
    <mergeCell ref="AA34:AD34"/>
    <mergeCell ref="O30:R30"/>
    <mergeCell ref="S30:V30"/>
    <mergeCell ref="W30:Z30"/>
    <mergeCell ref="AA30:AD30"/>
    <mergeCell ref="AA32:AD32"/>
    <mergeCell ref="K33:N33"/>
    <mergeCell ref="O33:R33"/>
    <mergeCell ref="S33:V33"/>
    <mergeCell ref="W33:Z33"/>
    <mergeCell ref="AA33:AD33"/>
    <mergeCell ref="A1:G4"/>
    <mergeCell ref="A6:C6"/>
    <mergeCell ref="D6:J6"/>
    <mergeCell ref="K6:M6"/>
    <mergeCell ref="A7:C7"/>
    <mergeCell ref="D7:J7"/>
    <mergeCell ref="B18:G18"/>
    <mergeCell ref="K9:AD9"/>
    <mergeCell ref="K10:N10"/>
    <mergeCell ref="O10:R10"/>
    <mergeCell ref="S10:V10"/>
    <mergeCell ref="W10:Z10"/>
    <mergeCell ref="AA10:AD10"/>
    <mergeCell ref="O14:R14"/>
    <mergeCell ref="S14:V14"/>
    <mergeCell ref="W14:Z14"/>
    <mergeCell ref="O11:R11"/>
    <mergeCell ref="K7:M7"/>
    <mergeCell ref="N7:AD7"/>
    <mergeCell ref="A8:E8"/>
    <mergeCell ref="F8:J8"/>
    <mergeCell ref="S15:V15"/>
    <mergeCell ref="O13:R13"/>
    <mergeCell ref="S13:V13"/>
    <mergeCell ref="V43:AD45"/>
    <mergeCell ref="A40:AD42"/>
    <mergeCell ref="A28:A29"/>
    <mergeCell ref="O12:R12"/>
    <mergeCell ref="S12:V12"/>
    <mergeCell ref="W12:Z12"/>
    <mergeCell ref="AA12:AD12"/>
    <mergeCell ref="B19:G19"/>
    <mergeCell ref="A26:A27"/>
    <mergeCell ref="S17:V17"/>
    <mergeCell ref="W17:Z17"/>
    <mergeCell ref="AA17:AD17"/>
    <mergeCell ref="K16:N16"/>
    <mergeCell ref="O16:R16"/>
    <mergeCell ref="S16:V16"/>
    <mergeCell ref="W16:Z16"/>
    <mergeCell ref="AA16:AD16"/>
    <mergeCell ref="K17:N17"/>
    <mergeCell ref="AA19:AD19"/>
    <mergeCell ref="K18:N18"/>
    <mergeCell ref="O18:R18"/>
    <mergeCell ref="S18:V18"/>
    <mergeCell ref="W18:Z18"/>
    <mergeCell ref="AA18:AD18"/>
    <mergeCell ref="AK17:AK18"/>
    <mergeCell ref="AX9:AY9"/>
    <mergeCell ref="AQ9:AR9"/>
    <mergeCell ref="AE9:AE10"/>
    <mergeCell ref="AF9:AF10"/>
    <mergeCell ref="A22:A23"/>
    <mergeCell ref="AA14:AD14"/>
    <mergeCell ref="W11:Z11"/>
    <mergeCell ref="AA11:AD11"/>
    <mergeCell ref="AH9:AH10"/>
    <mergeCell ref="AA15:AD15"/>
    <mergeCell ref="K14:N14"/>
    <mergeCell ref="K13:N13"/>
    <mergeCell ref="O17:R17"/>
    <mergeCell ref="AA13:AD13"/>
    <mergeCell ref="AG9:AG10"/>
    <mergeCell ref="K19:N19"/>
    <mergeCell ref="W13:Z13"/>
    <mergeCell ref="K11:N11"/>
    <mergeCell ref="K15:N15"/>
    <mergeCell ref="O19:R19"/>
    <mergeCell ref="S19:V19"/>
    <mergeCell ref="W19:Z19"/>
    <mergeCell ref="S11:V11"/>
    <mergeCell ref="AI9:AI10"/>
    <mergeCell ref="AF18:AG18"/>
    <mergeCell ref="A24:A25"/>
    <mergeCell ref="A9:A10"/>
    <mergeCell ref="H9:H10"/>
    <mergeCell ref="I9:I10"/>
    <mergeCell ref="J9:J10"/>
    <mergeCell ref="B9:G10"/>
    <mergeCell ref="B11:G11"/>
    <mergeCell ref="B12:G12"/>
    <mergeCell ref="B13:G13"/>
    <mergeCell ref="B16:G16"/>
    <mergeCell ref="B15:G15"/>
    <mergeCell ref="B14:G14"/>
    <mergeCell ref="B21:G21"/>
    <mergeCell ref="B20:G20"/>
    <mergeCell ref="W21:Z21"/>
    <mergeCell ref="K12:N12"/>
    <mergeCell ref="W24:Z24"/>
    <mergeCell ref="K25:N25"/>
    <mergeCell ref="AA25:AD25"/>
    <mergeCell ref="K24:N24"/>
    <mergeCell ref="W15:Z15"/>
    <mergeCell ref="O15:R15"/>
  </mergeCells>
  <dataValidations disablePrompts="1" count="1">
    <dataValidation type="list" allowBlank="1" showInputMessage="1" showErrorMessage="1" sqref="H34">
      <formula1>$AG$34:$AH$34</formula1>
    </dataValidation>
  </dataValidations>
  <printOptions horizontalCentered="1" verticalCentered="1"/>
  <pageMargins left="0" right="0" top="0" bottom="0" header="0" footer="0"/>
  <pageSetup paperSize="9" scale="69" orientation="portrait" horizontalDpi="1200" verticalDpi="1200" r:id="rId1"/>
  <drawing r:id="rId2"/>
  <legacyDrawing r:id="rId3"/>
  <controls>
    <mc:AlternateContent xmlns:mc="http://schemas.openxmlformats.org/markup-compatibility/2006">
      <mc:Choice Requires="x14">
        <control shapeId="1025" r:id="rId4" name="CommandButton1">
          <controlPr defaultSize="0" autoLine="0" r:id="rId5">
            <anchor moveWithCells="1">
              <from>
                <xdr:col>143</xdr:col>
                <xdr:colOff>190500</xdr:colOff>
                <xdr:row>1</xdr:row>
                <xdr:rowOff>66675</xdr:rowOff>
              </from>
              <to>
                <xdr:col>145</xdr:col>
                <xdr:colOff>47625</xdr:colOff>
                <xdr:row>2</xdr:row>
                <xdr:rowOff>161925</xdr:rowOff>
              </to>
            </anchor>
          </controlPr>
        </control>
      </mc:Choice>
      <mc:Fallback>
        <control shapeId="1025" r:id="rId4"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AV45"/>
  <sheetViews>
    <sheetView rightToLeft="1" view="pageBreakPreview" zoomScale="85" zoomScaleSheetLayoutView="85" workbookViewId="0">
      <selection activeCell="X7" sqref="X7:AB7"/>
    </sheetView>
  </sheetViews>
  <sheetFormatPr defaultColWidth="9.140625" defaultRowHeight="15.75" x14ac:dyDescent="0.25"/>
  <cols>
    <col min="1" max="1" width="6.28515625" style="33" customWidth="1"/>
    <col min="2" max="4" width="2" style="33" customWidth="1"/>
    <col min="5" max="5" width="2.85546875" style="33" customWidth="1"/>
    <col min="6" max="6" width="12.7109375" style="33" customWidth="1"/>
    <col min="7" max="7" width="2.7109375" style="33" customWidth="1"/>
    <col min="8" max="8" width="4.7109375" style="33" customWidth="1"/>
    <col min="9" max="9" width="4.140625" style="33" customWidth="1"/>
    <col min="10" max="10" width="4.5703125" style="33" customWidth="1"/>
    <col min="11" max="11" width="5.85546875" style="33" customWidth="1"/>
    <col min="12" max="12" width="4" style="33" customWidth="1"/>
    <col min="13" max="13" width="3.85546875" style="33" customWidth="1"/>
    <col min="14" max="15" width="3" style="33" customWidth="1"/>
    <col min="16" max="35" width="3.7109375" style="33" customWidth="1"/>
    <col min="36" max="36" width="14.5703125" style="199" customWidth="1"/>
    <col min="37" max="37" width="11.85546875" style="200" customWidth="1"/>
    <col min="38" max="38" width="12.28515625" style="200" customWidth="1"/>
    <col min="39" max="39" width="14.140625" style="200" customWidth="1"/>
    <col min="40" max="40" width="13" style="200" customWidth="1"/>
    <col min="41" max="41" width="9.140625" style="200"/>
    <col min="42" max="42" width="12.7109375" style="200" customWidth="1"/>
    <col min="43" max="48" width="9.140625" style="200"/>
    <col min="49" max="16384" width="9.140625" style="33"/>
  </cols>
  <sheetData>
    <row r="1" spans="1:48" ht="18" customHeight="1" x14ac:dyDescent="0.25">
      <c r="A1" s="854" t="s">
        <v>199</v>
      </c>
      <c r="B1" s="854"/>
      <c r="C1" s="854"/>
      <c r="D1" s="854"/>
      <c r="E1" s="854"/>
      <c r="F1" s="854"/>
      <c r="G1" s="854"/>
      <c r="H1" s="855" t="s">
        <v>354</v>
      </c>
      <c r="I1" s="855"/>
      <c r="J1" s="855"/>
      <c r="K1" s="855"/>
      <c r="L1" s="855"/>
      <c r="M1" s="855"/>
      <c r="N1" s="855"/>
      <c r="O1" s="855"/>
      <c r="P1" s="855"/>
      <c r="Q1" s="855"/>
      <c r="R1" s="855"/>
      <c r="S1" s="855"/>
      <c r="T1" s="855"/>
      <c r="U1" s="855"/>
      <c r="V1" s="855"/>
      <c r="W1" s="855"/>
      <c r="X1" s="855"/>
      <c r="Y1" s="855"/>
      <c r="Z1" s="855"/>
      <c r="AA1" s="855"/>
      <c r="AB1" s="856" t="s">
        <v>357</v>
      </c>
      <c r="AC1" s="856"/>
      <c r="AD1" s="856"/>
      <c r="AE1" s="856"/>
      <c r="AF1" s="856"/>
      <c r="AG1" s="856"/>
      <c r="AH1" s="856"/>
      <c r="AI1" s="856"/>
      <c r="AL1" s="200" t="s">
        <v>195</v>
      </c>
    </row>
    <row r="2" spans="1:48" ht="18" customHeight="1" x14ac:dyDescent="0.25">
      <c r="A2" s="854"/>
      <c r="B2" s="854"/>
      <c r="C2" s="854"/>
      <c r="D2" s="854"/>
      <c r="E2" s="854"/>
      <c r="F2" s="854"/>
      <c r="G2" s="854"/>
      <c r="H2" s="855"/>
      <c r="I2" s="855"/>
      <c r="J2" s="855"/>
      <c r="K2" s="855"/>
      <c r="L2" s="855"/>
      <c r="M2" s="855"/>
      <c r="N2" s="855"/>
      <c r="O2" s="855"/>
      <c r="P2" s="855"/>
      <c r="Q2" s="855"/>
      <c r="R2" s="855"/>
      <c r="S2" s="855"/>
      <c r="T2" s="855"/>
      <c r="U2" s="855"/>
      <c r="V2" s="855"/>
      <c r="W2" s="855"/>
      <c r="X2" s="855"/>
      <c r="Y2" s="855"/>
      <c r="Z2" s="855"/>
      <c r="AA2" s="855"/>
      <c r="AB2" s="856"/>
      <c r="AC2" s="856"/>
      <c r="AD2" s="856"/>
      <c r="AE2" s="856"/>
      <c r="AF2" s="856"/>
      <c r="AG2" s="856"/>
      <c r="AH2" s="856"/>
      <c r="AI2" s="856"/>
      <c r="AL2" s="200" t="s">
        <v>365</v>
      </c>
    </row>
    <row r="3" spans="1:48" ht="18" customHeight="1" x14ac:dyDescent="0.25">
      <c r="A3" s="854"/>
      <c r="B3" s="854"/>
      <c r="C3" s="854"/>
      <c r="D3" s="854"/>
      <c r="E3" s="854"/>
      <c r="F3" s="854"/>
      <c r="G3" s="854"/>
      <c r="H3" s="855"/>
      <c r="I3" s="855"/>
      <c r="J3" s="855"/>
      <c r="K3" s="855"/>
      <c r="L3" s="855"/>
      <c r="M3" s="855"/>
      <c r="N3" s="855"/>
      <c r="O3" s="855"/>
      <c r="P3" s="855"/>
      <c r="Q3" s="855"/>
      <c r="R3" s="855"/>
      <c r="S3" s="855"/>
      <c r="T3" s="855"/>
      <c r="U3" s="855"/>
      <c r="V3" s="855"/>
      <c r="W3" s="855"/>
      <c r="X3" s="855"/>
      <c r="Y3" s="855"/>
      <c r="Z3" s="855"/>
      <c r="AA3" s="855"/>
      <c r="AB3" s="857" t="s">
        <v>358</v>
      </c>
      <c r="AC3" s="857"/>
      <c r="AD3" s="857"/>
      <c r="AE3" s="857"/>
      <c r="AF3" s="857"/>
      <c r="AG3" s="857"/>
      <c r="AH3" s="857"/>
      <c r="AI3" s="857"/>
      <c r="AL3" s="200" t="s">
        <v>366</v>
      </c>
    </row>
    <row r="4" spans="1:48" ht="18" customHeight="1" x14ac:dyDescent="0.25">
      <c r="A4" s="854"/>
      <c r="B4" s="854"/>
      <c r="C4" s="854"/>
      <c r="D4" s="854"/>
      <c r="E4" s="854"/>
      <c r="F4" s="854"/>
      <c r="G4" s="854"/>
      <c r="H4" s="855"/>
      <c r="I4" s="855"/>
      <c r="J4" s="855"/>
      <c r="K4" s="855"/>
      <c r="L4" s="855"/>
      <c r="M4" s="855"/>
      <c r="N4" s="855"/>
      <c r="O4" s="855"/>
      <c r="P4" s="855"/>
      <c r="Q4" s="855"/>
      <c r="R4" s="855"/>
      <c r="S4" s="855"/>
      <c r="T4" s="855"/>
      <c r="U4" s="855"/>
      <c r="V4" s="855"/>
      <c r="W4" s="855"/>
      <c r="X4" s="855"/>
      <c r="Y4" s="855"/>
      <c r="Z4" s="855"/>
      <c r="AA4" s="855"/>
      <c r="AB4" s="857"/>
      <c r="AC4" s="857"/>
      <c r="AD4" s="857"/>
      <c r="AE4" s="857"/>
      <c r="AF4" s="857"/>
      <c r="AG4" s="857"/>
      <c r="AH4" s="857"/>
      <c r="AI4" s="857"/>
    </row>
    <row r="5" spans="1:48" ht="5.25" customHeight="1" x14ac:dyDescent="0.25">
      <c r="A5" s="843"/>
      <c r="B5" s="844"/>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4"/>
      <c r="AH5" s="844"/>
      <c r="AI5" s="845"/>
    </row>
    <row r="6" spans="1:48" ht="27.75" customHeight="1" x14ac:dyDescent="0.25">
      <c r="A6" s="848" t="s">
        <v>113</v>
      </c>
      <c r="B6" s="848"/>
      <c r="C6" s="848"/>
      <c r="D6" s="848"/>
      <c r="E6" s="848"/>
      <c r="F6" s="848"/>
      <c r="G6" s="848"/>
      <c r="H6" s="848"/>
      <c r="I6" s="848"/>
      <c r="J6" s="848"/>
      <c r="K6" s="848"/>
      <c r="L6" s="848"/>
      <c r="M6" s="848"/>
      <c r="N6" s="848"/>
      <c r="O6" s="848"/>
      <c r="P6" s="848"/>
      <c r="Q6" s="848"/>
      <c r="R6" s="848"/>
      <c r="S6" s="848"/>
      <c r="T6" s="848"/>
      <c r="U6" s="848"/>
      <c r="V6" s="848"/>
      <c r="W6" s="848"/>
      <c r="X6" s="848"/>
      <c r="Y6" s="848"/>
      <c r="Z6" s="848"/>
      <c r="AA6" s="848"/>
      <c r="AB6" s="848"/>
      <c r="AC6" s="848"/>
      <c r="AD6" s="848"/>
      <c r="AE6" s="848"/>
      <c r="AF6" s="848"/>
      <c r="AG6" s="848"/>
      <c r="AH6" s="848"/>
      <c r="AI6" s="848"/>
    </row>
    <row r="7" spans="1:48" s="34" customFormat="1" ht="24" customHeight="1" x14ac:dyDescent="0.3">
      <c r="A7" s="848" t="s">
        <v>29</v>
      </c>
      <c r="B7" s="848" t="s">
        <v>106</v>
      </c>
      <c r="C7" s="848"/>
      <c r="D7" s="848"/>
      <c r="E7" s="848"/>
      <c r="F7" s="848"/>
      <c r="G7" s="848"/>
      <c r="H7" s="859" t="s">
        <v>30</v>
      </c>
      <c r="I7" s="859"/>
      <c r="J7" s="848" t="s">
        <v>31</v>
      </c>
      <c r="K7" s="848"/>
      <c r="L7" s="848"/>
      <c r="M7" s="848"/>
      <c r="N7" s="848" t="s">
        <v>32</v>
      </c>
      <c r="O7" s="848"/>
      <c r="P7" s="848" t="s">
        <v>33</v>
      </c>
      <c r="Q7" s="848"/>
      <c r="R7" s="848"/>
      <c r="S7" s="848"/>
      <c r="T7" s="848"/>
      <c r="U7" s="848"/>
      <c r="V7" s="848"/>
      <c r="W7" s="848"/>
      <c r="X7" s="848"/>
      <c r="Y7" s="848"/>
      <c r="Z7" s="848"/>
      <c r="AA7" s="848"/>
      <c r="AB7" s="848"/>
      <c r="AC7" s="848"/>
      <c r="AD7" s="848"/>
      <c r="AE7" s="848"/>
      <c r="AF7" s="848"/>
      <c r="AG7" s="848"/>
      <c r="AH7" s="848"/>
      <c r="AI7" s="848"/>
      <c r="AJ7" s="199"/>
      <c r="AK7" s="201"/>
      <c r="AL7" s="201"/>
      <c r="AM7" s="201"/>
      <c r="AN7" s="201"/>
      <c r="AO7" s="201"/>
      <c r="AP7" s="201"/>
      <c r="AQ7" s="201"/>
      <c r="AR7" s="201"/>
      <c r="AS7" s="201"/>
      <c r="AT7" s="201"/>
      <c r="AU7" s="201"/>
      <c r="AV7" s="201"/>
    </row>
    <row r="8" spans="1:48" s="34" customFormat="1" ht="23.25" customHeight="1" x14ac:dyDescent="0.3">
      <c r="A8" s="848"/>
      <c r="B8" s="848"/>
      <c r="C8" s="848"/>
      <c r="D8" s="848"/>
      <c r="E8" s="848"/>
      <c r="F8" s="848"/>
      <c r="G8" s="848"/>
      <c r="H8" s="859"/>
      <c r="I8" s="859"/>
      <c r="J8" s="848"/>
      <c r="K8" s="848"/>
      <c r="L8" s="848"/>
      <c r="M8" s="848"/>
      <c r="N8" s="848"/>
      <c r="O8" s="848"/>
      <c r="P8" s="848">
        <v>1</v>
      </c>
      <c r="Q8" s="848"/>
      <c r="R8" s="848"/>
      <c r="S8" s="848"/>
      <c r="T8" s="848">
        <v>2</v>
      </c>
      <c r="U8" s="848"/>
      <c r="V8" s="848"/>
      <c r="W8" s="848"/>
      <c r="X8" s="848">
        <v>3</v>
      </c>
      <c r="Y8" s="848"/>
      <c r="Z8" s="848"/>
      <c r="AA8" s="848"/>
      <c r="AB8" s="848">
        <v>4</v>
      </c>
      <c r="AC8" s="848"/>
      <c r="AD8" s="848"/>
      <c r="AE8" s="848"/>
      <c r="AF8" s="848">
        <v>5</v>
      </c>
      <c r="AG8" s="848"/>
      <c r="AH8" s="848"/>
      <c r="AI8" s="848"/>
      <c r="AJ8" s="199"/>
      <c r="AK8" s="201"/>
      <c r="AL8" s="201"/>
      <c r="AM8" s="201"/>
      <c r="AN8" s="201"/>
      <c r="AO8" s="201"/>
      <c r="AP8" s="201"/>
      <c r="AQ8" s="201"/>
      <c r="AR8" s="201"/>
      <c r="AS8" s="201"/>
      <c r="AT8" s="201"/>
      <c r="AU8" s="201"/>
      <c r="AV8" s="201"/>
    </row>
    <row r="9" spans="1:48" ht="30.75" customHeight="1" x14ac:dyDescent="0.25">
      <c r="A9" s="481">
        <v>1</v>
      </c>
      <c r="B9" s="846" t="s">
        <v>115</v>
      </c>
      <c r="C9" s="846"/>
      <c r="D9" s="846"/>
      <c r="E9" s="846"/>
      <c r="F9" s="846"/>
      <c r="G9" s="846"/>
      <c r="H9" s="842" t="s">
        <v>124</v>
      </c>
      <c r="I9" s="842"/>
      <c r="J9" s="853" t="str">
        <f>'ورود اطلاعات'!K5</f>
        <v>54SiCr6</v>
      </c>
      <c r="K9" s="853"/>
      <c r="L9" s="853"/>
      <c r="M9" s="853"/>
      <c r="N9" s="842" t="s">
        <v>124</v>
      </c>
      <c r="O9" s="842"/>
      <c r="P9" s="842"/>
      <c r="Q9" s="842"/>
      <c r="R9" s="842"/>
      <c r="S9" s="842"/>
      <c r="T9" s="842"/>
      <c r="U9" s="842"/>
      <c r="V9" s="842"/>
      <c r="W9" s="842"/>
      <c r="X9" s="842"/>
      <c r="Y9" s="842"/>
      <c r="Z9" s="842"/>
      <c r="AA9" s="842"/>
      <c r="AB9" s="842"/>
      <c r="AC9" s="842"/>
      <c r="AD9" s="842"/>
      <c r="AE9" s="842"/>
      <c r="AF9" s="842"/>
      <c r="AG9" s="842"/>
      <c r="AH9" s="842"/>
      <c r="AI9" s="842"/>
    </row>
    <row r="10" spans="1:48" ht="30.75" customHeight="1" x14ac:dyDescent="0.25">
      <c r="A10" s="481">
        <v>2</v>
      </c>
      <c r="B10" s="846" t="s">
        <v>192</v>
      </c>
      <c r="C10" s="846"/>
      <c r="D10" s="846"/>
      <c r="E10" s="846"/>
      <c r="F10" s="846"/>
      <c r="G10" s="846"/>
      <c r="H10" s="842" t="s">
        <v>124</v>
      </c>
      <c r="I10" s="842"/>
      <c r="J10" s="853" t="s">
        <v>124</v>
      </c>
      <c r="K10" s="853"/>
      <c r="L10" s="853"/>
      <c r="M10" s="853"/>
      <c r="N10" s="842" t="s">
        <v>124</v>
      </c>
      <c r="O10" s="842"/>
      <c r="P10" s="842"/>
      <c r="Q10" s="842"/>
      <c r="R10" s="842"/>
      <c r="S10" s="842"/>
      <c r="T10" s="842"/>
      <c r="U10" s="842"/>
      <c r="V10" s="842"/>
      <c r="W10" s="842"/>
      <c r="X10" s="842"/>
      <c r="Y10" s="842"/>
      <c r="Z10" s="842"/>
      <c r="AA10" s="842"/>
      <c r="AB10" s="842"/>
      <c r="AC10" s="842"/>
      <c r="AD10" s="842"/>
      <c r="AE10" s="842"/>
      <c r="AF10" s="842"/>
      <c r="AG10" s="842"/>
      <c r="AH10" s="842"/>
      <c r="AI10" s="842"/>
    </row>
    <row r="11" spans="1:48" ht="30.75" customHeight="1" x14ac:dyDescent="0.25">
      <c r="A11" s="481">
        <v>3</v>
      </c>
      <c r="B11" s="846" t="s">
        <v>114</v>
      </c>
      <c r="C11" s="846"/>
      <c r="D11" s="846"/>
      <c r="E11" s="846"/>
      <c r="F11" s="846"/>
      <c r="G11" s="846"/>
      <c r="H11" s="842" t="s">
        <v>124</v>
      </c>
      <c r="I11" s="842"/>
      <c r="J11" s="853" t="str">
        <f>IF(J18="R.H","556","267")</f>
        <v>267</v>
      </c>
      <c r="K11" s="853"/>
      <c r="L11" s="853"/>
      <c r="M11" s="853"/>
      <c r="N11" s="842" t="s">
        <v>124</v>
      </c>
      <c r="O11" s="842"/>
      <c r="P11" s="842"/>
      <c r="Q11" s="842"/>
      <c r="R11" s="842"/>
      <c r="S11" s="842"/>
      <c r="T11" s="842"/>
      <c r="U11" s="842"/>
      <c r="V11" s="842"/>
      <c r="W11" s="842"/>
      <c r="X11" s="842"/>
      <c r="Y11" s="842"/>
      <c r="Z11" s="842"/>
      <c r="AA11" s="842"/>
      <c r="AB11" s="842"/>
      <c r="AC11" s="842"/>
      <c r="AD11" s="842"/>
      <c r="AE11" s="842"/>
      <c r="AF11" s="842"/>
      <c r="AG11" s="842"/>
      <c r="AH11" s="842"/>
      <c r="AI11" s="842"/>
    </row>
    <row r="12" spans="1:48" ht="30.75" customHeight="1" x14ac:dyDescent="0.25">
      <c r="A12" s="481">
        <v>4</v>
      </c>
      <c r="B12" s="846" t="s">
        <v>36</v>
      </c>
      <c r="C12" s="846"/>
      <c r="D12" s="846"/>
      <c r="E12" s="846"/>
      <c r="F12" s="846"/>
      <c r="G12" s="846"/>
      <c r="H12" s="842" t="s">
        <v>7</v>
      </c>
      <c r="I12" s="842"/>
      <c r="J12" s="853" t="str">
        <f>'نمونه اولیه'!I11</f>
        <v>7 ± 0.15</v>
      </c>
      <c r="K12" s="853"/>
      <c r="L12" s="853"/>
      <c r="M12" s="853"/>
      <c r="N12" s="842" t="s">
        <v>10</v>
      </c>
      <c r="O12" s="842"/>
      <c r="P12" s="842"/>
      <c r="Q12" s="842"/>
      <c r="R12" s="842"/>
      <c r="S12" s="842"/>
      <c r="T12" s="842"/>
      <c r="U12" s="842"/>
      <c r="V12" s="842"/>
      <c r="W12" s="842"/>
      <c r="X12" s="842"/>
      <c r="Y12" s="842"/>
      <c r="Z12" s="842"/>
      <c r="AA12" s="842"/>
      <c r="AB12" s="842"/>
      <c r="AC12" s="842"/>
      <c r="AD12" s="842"/>
      <c r="AE12" s="842"/>
      <c r="AF12" s="842"/>
      <c r="AG12" s="842"/>
      <c r="AH12" s="842"/>
      <c r="AI12" s="842"/>
      <c r="AK12" s="257" t="s">
        <v>361</v>
      </c>
      <c r="AL12" s="254" t="s">
        <v>359</v>
      </c>
      <c r="AM12" s="254" t="s">
        <v>106</v>
      </c>
    </row>
    <row r="13" spans="1:48" ht="30.75" customHeight="1" x14ac:dyDescent="0.25">
      <c r="A13" s="481">
        <v>5</v>
      </c>
      <c r="B13" s="846" t="s">
        <v>11</v>
      </c>
      <c r="C13" s="846"/>
      <c r="D13" s="846"/>
      <c r="E13" s="846"/>
      <c r="F13" s="846"/>
      <c r="G13" s="846"/>
      <c r="H13" s="842" t="s">
        <v>284</v>
      </c>
      <c r="I13" s="842"/>
      <c r="J13" s="853">
        <f>IF(AL13="",CEILING(ROUNDUP(AK13,0),10),AL13)</f>
        <v>3050</v>
      </c>
      <c r="K13" s="853"/>
      <c r="L13" s="853"/>
      <c r="M13" s="853"/>
      <c r="N13" s="842" t="s">
        <v>10</v>
      </c>
      <c r="O13" s="842"/>
      <c r="P13" s="842"/>
      <c r="Q13" s="842"/>
      <c r="R13" s="842"/>
      <c r="S13" s="842"/>
      <c r="T13" s="842"/>
      <c r="U13" s="842"/>
      <c r="V13" s="842"/>
      <c r="W13" s="842"/>
      <c r="X13" s="842"/>
      <c r="Y13" s="842"/>
      <c r="Z13" s="842"/>
      <c r="AA13" s="842"/>
      <c r="AB13" s="842"/>
      <c r="AC13" s="842"/>
      <c r="AD13" s="842"/>
      <c r="AE13" s="842"/>
      <c r="AF13" s="842"/>
      <c r="AG13" s="842"/>
      <c r="AH13" s="842"/>
      <c r="AI13" s="842"/>
      <c r="AK13" s="259">
        <f>IST!C15</f>
        <v>2500</v>
      </c>
      <c r="AL13" s="255">
        <v>3050</v>
      </c>
      <c r="AM13" s="251" t="s">
        <v>11</v>
      </c>
    </row>
    <row r="14" spans="1:48" ht="30.75" customHeight="1" x14ac:dyDescent="0.25">
      <c r="A14" s="481">
        <v>6</v>
      </c>
      <c r="B14" s="846" t="s">
        <v>193</v>
      </c>
      <c r="C14" s="846"/>
      <c r="D14" s="846"/>
      <c r="E14" s="846"/>
      <c r="F14" s="846"/>
      <c r="G14" s="846"/>
      <c r="H14" s="842" t="s">
        <v>124</v>
      </c>
      <c r="I14" s="842"/>
      <c r="J14" s="853"/>
      <c r="K14" s="853"/>
      <c r="L14" s="853"/>
      <c r="M14" s="853"/>
      <c r="N14" s="842" t="s">
        <v>59</v>
      </c>
      <c r="O14" s="842"/>
      <c r="P14" s="842"/>
      <c r="Q14" s="842"/>
      <c r="R14" s="842"/>
      <c r="S14" s="842"/>
      <c r="T14" s="842"/>
      <c r="U14" s="842"/>
      <c r="V14" s="842"/>
      <c r="W14" s="842"/>
      <c r="X14" s="842"/>
      <c r="Y14" s="842"/>
      <c r="Z14" s="842"/>
      <c r="AA14" s="842"/>
      <c r="AB14" s="842"/>
      <c r="AC14" s="842"/>
      <c r="AD14" s="842"/>
      <c r="AE14" s="842"/>
      <c r="AF14" s="842"/>
      <c r="AG14" s="842"/>
      <c r="AH14" s="842"/>
      <c r="AI14" s="842"/>
      <c r="AJ14" s="260">
        <f>IF(IST!J5&lt;700,10,IF(IST!J5&lt;800,20,IF(IST!J5&lt;900,30,IF(IST!J5&lt;950,40,50))))</f>
        <v>10</v>
      </c>
      <c r="AK14" s="258">
        <f>IST!C6+(2*IST!C3)-(2*IST!C3/4)</f>
        <v>270.5</v>
      </c>
      <c r="AL14" s="255">
        <v>280</v>
      </c>
      <c r="AM14" s="251" t="s">
        <v>37</v>
      </c>
    </row>
    <row r="15" spans="1:48" ht="30.75" customHeight="1" x14ac:dyDescent="0.25">
      <c r="A15" s="481">
        <v>7</v>
      </c>
      <c r="B15" s="846" t="s">
        <v>116</v>
      </c>
      <c r="C15" s="846"/>
      <c r="D15" s="846"/>
      <c r="E15" s="846"/>
      <c r="F15" s="846"/>
      <c r="G15" s="846"/>
      <c r="H15" s="842" t="s">
        <v>125</v>
      </c>
      <c r="I15" s="842"/>
      <c r="J15" s="853">
        <f>IST!C13</f>
        <v>131</v>
      </c>
      <c r="K15" s="853"/>
      <c r="L15" s="853"/>
      <c r="M15" s="853"/>
      <c r="N15" s="842" t="s">
        <v>10</v>
      </c>
      <c r="O15" s="842"/>
      <c r="P15" s="842"/>
      <c r="Q15" s="842"/>
      <c r="R15" s="842"/>
      <c r="S15" s="842"/>
      <c r="T15" s="842"/>
      <c r="U15" s="842"/>
      <c r="V15" s="842"/>
      <c r="W15" s="842"/>
      <c r="X15" s="842"/>
      <c r="Y15" s="842"/>
      <c r="Z15" s="842"/>
      <c r="AA15" s="842"/>
      <c r="AB15" s="842"/>
      <c r="AC15" s="842"/>
      <c r="AD15" s="842"/>
      <c r="AE15" s="842"/>
      <c r="AF15" s="842"/>
      <c r="AG15" s="842"/>
      <c r="AH15" s="842"/>
      <c r="AI15" s="842"/>
      <c r="AK15" s="258"/>
      <c r="AL15" s="255"/>
      <c r="AM15" s="251" t="s">
        <v>150</v>
      </c>
    </row>
    <row r="16" spans="1:48" ht="30.75" customHeight="1" x14ac:dyDescent="0.25">
      <c r="A16" s="481">
        <v>8</v>
      </c>
      <c r="B16" s="846" t="s">
        <v>117</v>
      </c>
      <c r="C16" s="846"/>
      <c r="D16" s="846"/>
      <c r="E16" s="846"/>
      <c r="F16" s="846"/>
      <c r="G16" s="846"/>
      <c r="H16" s="842" t="s">
        <v>124</v>
      </c>
      <c r="I16" s="842"/>
      <c r="J16" s="860" t="s">
        <v>360</v>
      </c>
      <c r="K16" s="860"/>
      <c r="L16" s="860"/>
      <c r="M16" s="860"/>
      <c r="N16" s="842" t="s">
        <v>10</v>
      </c>
      <c r="O16" s="842"/>
      <c r="P16" s="842"/>
      <c r="Q16" s="842"/>
      <c r="R16" s="842"/>
      <c r="S16" s="842"/>
      <c r="T16" s="842"/>
      <c r="U16" s="842"/>
      <c r="V16" s="842"/>
      <c r="W16" s="842"/>
      <c r="X16" s="842"/>
      <c r="Y16" s="842"/>
      <c r="Z16" s="842"/>
      <c r="AA16" s="842"/>
      <c r="AB16" s="842"/>
      <c r="AC16" s="842"/>
      <c r="AD16" s="842"/>
      <c r="AE16" s="842"/>
      <c r="AF16" s="842"/>
      <c r="AG16" s="842"/>
      <c r="AH16" s="842"/>
      <c r="AI16" s="842"/>
      <c r="AK16" s="258"/>
      <c r="AL16" s="255" t="s">
        <v>365</v>
      </c>
      <c r="AM16" s="251" t="s">
        <v>152</v>
      </c>
    </row>
    <row r="17" spans="1:41" ht="30.75" customHeight="1" x14ac:dyDescent="0.25">
      <c r="A17" s="481">
        <v>9</v>
      </c>
      <c r="B17" s="846" t="s">
        <v>194</v>
      </c>
      <c r="C17" s="846"/>
      <c r="D17" s="846"/>
      <c r="E17" s="846"/>
      <c r="F17" s="846"/>
      <c r="G17" s="846"/>
      <c r="H17" s="842" t="s">
        <v>124</v>
      </c>
      <c r="I17" s="842"/>
      <c r="J17" s="853"/>
      <c r="K17" s="853"/>
      <c r="L17" s="853"/>
      <c r="M17" s="853"/>
      <c r="N17" s="842" t="s">
        <v>10</v>
      </c>
      <c r="O17" s="842"/>
      <c r="P17" s="842"/>
      <c r="Q17" s="842"/>
      <c r="R17" s="842"/>
      <c r="S17" s="842"/>
      <c r="T17" s="842"/>
      <c r="U17" s="842"/>
      <c r="V17" s="842"/>
      <c r="W17" s="842"/>
      <c r="X17" s="842"/>
      <c r="Y17" s="842"/>
      <c r="Z17" s="842"/>
      <c r="AA17" s="842"/>
      <c r="AB17" s="842"/>
      <c r="AC17" s="842"/>
      <c r="AD17" s="842"/>
      <c r="AE17" s="842"/>
      <c r="AF17" s="842"/>
      <c r="AG17" s="842"/>
      <c r="AH17" s="842"/>
      <c r="AI17" s="842"/>
      <c r="AK17" s="258"/>
      <c r="AL17" s="256">
        <v>1</v>
      </c>
      <c r="AM17" s="251" t="s">
        <v>151</v>
      </c>
    </row>
    <row r="18" spans="1:41" ht="30.75" customHeight="1" x14ac:dyDescent="0.25">
      <c r="A18" s="481">
        <v>10</v>
      </c>
      <c r="B18" s="846" t="s">
        <v>52</v>
      </c>
      <c r="C18" s="846"/>
      <c r="D18" s="846"/>
      <c r="E18" s="846"/>
      <c r="F18" s="846"/>
      <c r="G18" s="846"/>
      <c r="H18" s="842" t="s">
        <v>130</v>
      </c>
      <c r="I18" s="842"/>
      <c r="J18" s="853" t="str">
        <f>'ورود اطلاعات'!K12</f>
        <v>L.H</v>
      </c>
      <c r="K18" s="853"/>
      <c r="L18" s="853"/>
      <c r="M18" s="853"/>
      <c r="N18" s="842" t="s">
        <v>124</v>
      </c>
      <c r="O18" s="842"/>
      <c r="P18" s="842"/>
      <c r="Q18" s="842"/>
      <c r="R18" s="842"/>
      <c r="S18" s="842"/>
      <c r="T18" s="842"/>
      <c r="U18" s="842"/>
      <c r="V18" s="842"/>
      <c r="W18" s="842"/>
      <c r="X18" s="842"/>
      <c r="Y18" s="842"/>
      <c r="Z18" s="842"/>
      <c r="AA18" s="842"/>
      <c r="AB18" s="842"/>
      <c r="AC18" s="842"/>
      <c r="AD18" s="842"/>
      <c r="AE18" s="842"/>
      <c r="AF18" s="842"/>
      <c r="AG18" s="842"/>
      <c r="AH18" s="842"/>
      <c r="AI18" s="842"/>
      <c r="AL18" s="261">
        <v>870</v>
      </c>
      <c r="AM18" s="253" t="s">
        <v>364</v>
      </c>
    </row>
    <row r="19" spans="1:41" ht="30.75" customHeight="1" x14ac:dyDescent="0.25">
      <c r="A19" s="481">
        <v>11</v>
      </c>
      <c r="B19" s="846" t="s">
        <v>37</v>
      </c>
      <c r="C19" s="846"/>
      <c r="D19" s="846"/>
      <c r="E19" s="846"/>
      <c r="F19" s="846"/>
      <c r="G19" s="846"/>
      <c r="H19" s="842" t="s">
        <v>129</v>
      </c>
      <c r="I19" s="842"/>
      <c r="J19" s="861">
        <f>AL14</f>
        <v>280</v>
      </c>
      <c r="K19" s="861"/>
      <c r="L19" s="861"/>
      <c r="M19" s="861"/>
      <c r="N19" s="842" t="s">
        <v>10</v>
      </c>
      <c r="O19" s="842"/>
      <c r="P19" s="842"/>
      <c r="Q19" s="842"/>
      <c r="R19" s="842"/>
      <c r="S19" s="842"/>
      <c r="T19" s="842"/>
      <c r="U19" s="842"/>
      <c r="V19" s="842"/>
      <c r="W19" s="842"/>
      <c r="X19" s="842"/>
      <c r="Y19" s="842"/>
      <c r="Z19" s="842"/>
      <c r="AA19" s="842"/>
      <c r="AB19" s="842"/>
      <c r="AC19" s="842"/>
      <c r="AD19" s="842"/>
      <c r="AE19" s="842"/>
      <c r="AF19" s="842"/>
      <c r="AG19" s="842"/>
      <c r="AH19" s="842"/>
      <c r="AI19" s="842"/>
      <c r="AJ19" s="199">
        <f>IST!C6+((2*IST!C3)-(2*(IST!C3/4)))</f>
        <v>270.5</v>
      </c>
      <c r="AL19" s="261">
        <v>420</v>
      </c>
      <c r="AM19" s="253" t="s">
        <v>150</v>
      </c>
    </row>
    <row r="20" spans="1:41" ht="30.75" customHeight="1" x14ac:dyDescent="0.25">
      <c r="A20" s="481">
        <v>12</v>
      </c>
      <c r="B20" s="846" t="s">
        <v>41</v>
      </c>
      <c r="C20" s="846"/>
      <c r="D20" s="846"/>
      <c r="E20" s="846"/>
      <c r="F20" s="846"/>
      <c r="G20" s="846"/>
      <c r="H20" s="842" t="s">
        <v>376</v>
      </c>
      <c r="I20" s="842"/>
      <c r="J20" s="853" t="str">
        <f>'نمونه اولیه'!I15</f>
        <v>5.7 ± 0</v>
      </c>
      <c r="K20" s="853"/>
      <c r="L20" s="853"/>
      <c r="M20" s="853"/>
      <c r="N20" s="858" t="s">
        <v>73</v>
      </c>
      <c r="O20" s="858"/>
      <c r="P20" s="842"/>
      <c r="Q20" s="842"/>
      <c r="R20" s="842"/>
      <c r="S20" s="842"/>
      <c r="T20" s="842"/>
      <c r="U20" s="842"/>
      <c r="V20" s="842"/>
      <c r="W20" s="842"/>
      <c r="X20" s="842"/>
      <c r="Y20" s="842"/>
      <c r="Z20" s="842"/>
      <c r="AA20" s="842"/>
      <c r="AB20" s="842"/>
      <c r="AC20" s="842"/>
      <c r="AD20" s="842"/>
      <c r="AE20" s="842"/>
      <c r="AF20" s="842"/>
      <c r="AG20" s="842"/>
      <c r="AH20" s="842"/>
      <c r="AI20" s="842"/>
      <c r="AL20" s="255"/>
      <c r="AM20" s="253"/>
    </row>
    <row r="21" spans="1:41" ht="30.75" customHeight="1" x14ac:dyDescent="0.25">
      <c r="A21" s="481">
        <v>13</v>
      </c>
      <c r="B21" s="846" t="s">
        <v>38</v>
      </c>
      <c r="C21" s="846"/>
      <c r="D21" s="846"/>
      <c r="E21" s="846"/>
      <c r="F21" s="846"/>
      <c r="G21" s="846"/>
      <c r="H21" s="842" t="s">
        <v>377</v>
      </c>
      <c r="I21" s="842"/>
      <c r="J21" s="853" t="str">
        <f>'نمونه اولیه'!I13</f>
        <v>194 ± 3.3</v>
      </c>
      <c r="K21" s="853"/>
      <c r="L21" s="853"/>
      <c r="M21" s="853"/>
      <c r="N21" s="842" t="s">
        <v>10</v>
      </c>
      <c r="O21" s="842"/>
      <c r="P21" s="842"/>
      <c r="Q21" s="842"/>
      <c r="R21" s="842"/>
      <c r="S21" s="842"/>
      <c r="T21" s="842"/>
      <c r="U21" s="842"/>
      <c r="V21" s="842"/>
      <c r="W21" s="842"/>
      <c r="X21" s="842"/>
      <c r="Y21" s="842"/>
      <c r="Z21" s="842"/>
      <c r="AA21" s="842"/>
      <c r="AB21" s="842"/>
      <c r="AC21" s="842"/>
      <c r="AD21" s="842"/>
      <c r="AE21" s="842"/>
      <c r="AF21" s="842"/>
      <c r="AG21" s="842"/>
      <c r="AH21" s="842"/>
      <c r="AI21" s="842"/>
    </row>
    <row r="22" spans="1:41" ht="30.75" customHeight="1" x14ac:dyDescent="0.25">
      <c r="A22" s="481">
        <v>14</v>
      </c>
      <c r="B22" s="846" t="s">
        <v>39</v>
      </c>
      <c r="C22" s="846"/>
      <c r="D22" s="846"/>
      <c r="E22" s="846"/>
      <c r="F22" s="846"/>
      <c r="G22" s="846"/>
      <c r="H22" s="842" t="s">
        <v>378</v>
      </c>
      <c r="I22" s="842"/>
      <c r="J22" s="853" t="str">
        <f>'نمونه اولیه'!I14</f>
        <v>180 ± 3.3</v>
      </c>
      <c r="K22" s="853"/>
      <c r="L22" s="853"/>
      <c r="M22" s="853"/>
      <c r="N22" s="842" t="s">
        <v>10</v>
      </c>
      <c r="O22" s="842"/>
      <c r="P22" s="842"/>
      <c r="Q22" s="842"/>
      <c r="R22" s="842"/>
      <c r="S22" s="842"/>
      <c r="T22" s="842"/>
      <c r="U22" s="842"/>
      <c r="V22" s="842"/>
      <c r="W22" s="842"/>
      <c r="X22" s="842"/>
      <c r="Y22" s="842"/>
      <c r="Z22" s="842"/>
      <c r="AA22" s="842"/>
      <c r="AB22" s="842"/>
      <c r="AC22" s="842"/>
      <c r="AD22" s="842"/>
      <c r="AE22" s="842"/>
      <c r="AF22" s="842"/>
      <c r="AG22" s="842"/>
      <c r="AH22" s="842"/>
      <c r="AI22" s="842"/>
    </row>
    <row r="23" spans="1:41" ht="30.75" customHeight="1" x14ac:dyDescent="0.25">
      <c r="A23" s="481">
        <v>15</v>
      </c>
      <c r="B23" s="846" t="s">
        <v>44</v>
      </c>
      <c r="C23" s="846"/>
      <c r="D23" s="846"/>
      <c r="E23" s="846"/>
      <c r="F23" s="846"/>
      <c r="G23" s="846"/>
      <c r="H23" s="842" t="s">
        <v>382</v>
      </c>
      <c r="I23" s="842"/>
      <c r="J23" s="860" t="str">
        <f>'نمونه اولیه'!I17</f>
        <v>بسته و سنگ خورده</v>
      </c>
      <c r="K23" s="860"/>
      <c r="L23" s="860"/>
      <c r="M23" s="860"/>
      <c r="N23" s="842" t="s">
        <v>10</v>
      </c>
      <c r="O23" s="842"/>
      <c r="P23" s="842"/>
      <c r="Q23" s="842"/>
      <c r="R23" s="842"/>
      <c r="S23" s="842"/>
      <c r="T23" s="842"/>
      <c r="U23" s="842"/>
      <c r="V23" s="842"/>
      <c r="W23" s="842"/>
      <c r="X23" s="842"/>
      <c r="Y23" s="842"/>
      <c r="Z23" s="842"/>
      <c r="AA23" s="842"/>
      <c r="AB23" s="842"/>
      <c r="AC23" s="842"/>
      <c r="AD23" s="842"/>
      <c r="AE23" s="842"/>
      <c r="AF23" s="842"/>
      <c r="AG23" s="842"/>
      <c r="AH23" s="842"/>
      <c r="AI23" s="842"/>
    </row>
    <row r="24" spans="1:41" ht="30.75" customHeight="1" x14ac:dyDescent="0.25">
      <c r="A24" s="481">
        <v>16</v>
      </c>
      <c r="B24" s="846" t="s">
        <v>118</v>
      </c>
      <c r="C24" s="846"/>
      <c r="D24" s="846"/>
      <c r="E24" s="846"/>
      <c r="F24" s="846"/>
      <c r="G24" s="846"/>
      <c r="H24" s="842" t="s">
        <v>315</v>
      </c>
      <c r="I24" s="842"/>
      <c r="J24" s="860" t="str">
        <f>'نمونه اولیه'!I16</f>
        <v>ثابت</v>
      </c>
      <c r="K24" s="860"/>
      <c r="L24" s="860"/>
      <c r="M24" s="860"/>
      <c r="N24" s="842" t="s">
        <v>10</v>
      </c>
      <c r="O24" s="842"/>
      <c r="P24" s="842"/>
      <c r="Q24" s="842"/>
      <c r="R24" s="842"/>
      <c r="S24" s="842"/>
      <c r="T24" s="842"/>
      <c r="U24" s="842"/>
      <c r="V24" s="842"/>
      <c r="W24" s="842"/>
      <c r="X24" s="842"/>
      <c r="Y24" s="842"/>
      <c r="Z24" s="842"/>
      <c r="AA24" s="842"/>
      <c r="AB24" s="842"/>
      <c r="AC24" s="842"/>
      <c r="AD24" s="842"/>
      <c r="AE24" s="842"/>
      <c r="AF24" s="842"/>
      <c r="AG24" s="842"/>
      <c r="AH24" s="842"/>
      <c r="AI24" s="842"/>
    </row>
    <row r="25" spans="1:41" ht="30.75" customHeight="1" x14ac:dyDescent="0.25">
      <c r="A25" s="481">
        <v>17</v>
      </c>
      <c r="B25" s="846" t="s">
        <v>48</v>
      </c>
      <c r="C25" s="846"/>
      <c r="D25" s="846"/>
      <c r="E25" s="846"/>
      <c r="F25" s="846"/>
      <c r="G25" s="846"/>
      <c r="H25" s="842" t="s">
        <v>383</v>
      </c>
      <c r="I25" s="842"/>
      <c r="J25" s="860" t="str">
        <f>'نمونه اولیه'!I18</f>
        <v>بسته و سنگ خورده</v>
      </c>
      <c r="K25" s="860"/>
      <c r="L25" s="860"/>
      <c r="M25" s="860"/>
      <c r="N25" s="842" t="s">
        <v>10</v>
      </c>
      <c r="O25" s="842"/>
      <c r="P25" s="842"/>
      <c r="Q25" s="842"/>
      <c r="R25" s="842"/>
      <c r="S25" s="842"/>
      <c r="T25" s="842"/>
      <c r="U25" s="842"/>
      <c r="V25" s="842"/>
      <c r="W25" s="842"/>
      <c r="X25" s="842"/>
      <c r="Y25" s="842"/>
      <c r="Z25" s="842"/>
      <c r="AA25" s="842"/>
      <c r="AB25" s="842"/>
      <c r="AC25" s="842"/>
      <c r="AD25" s="842"/>
      <c r="AE25" s="842"/>
      <c r="AF25" s="842"/>
      <c r="AG25" s="842"/>
      <c r="AH25" s="842"/>
      <c r="AI25" s="842"/>
    </row>
    <row r="26" spans="1:41" ht="30.75" customHeight="1" x14ac:dyDescent="0.25">
      <c r="A26" s="846">
        <v>18</v>
      </c>
      <c r="B26" s="852" t="s">
        <v>119</v>
      </c>
      <c r="C26" s="852"/>
      <c r="D26" s="852"/>
      <c r="E26" s="846" t="s">
        <v>120</v>
      </c>
      <c r="F26" s="846"/>
      <c r="G26" s="846"/>
      <c r="H26" s="842" t="s">
        <v>129</v>
      </c>
      <c r="I26" s="842"/>
      <c r="J26" s="861">
        <f>J19</f>
        <v>280</v>
      </c>
      <c r="K26" s="861"/>
      <c r="L26" s="861"/>
      <c r="M26" s="861"/>
      <c r="N26" s="842" t="s">
        <v>10</v>
      </c>
      <c r="O26" s="842"/>
      <c r="P26" s="842"/>
      <c r="Q26" s="842"/>
      <c r="R26" s="842"/>
      <c r="S26" s="842"/>
      <c r="T26" s="842"/>
      <c r="U26" s="842"/>
      <c r="V26" s="842"/>
      <c r="W26" s="842"/>
      <c r="X26" s="842"/>
      <c r="Y26" s="842"/>
      <c r="Z26" s="842"/>
      <c r="AA26" s="842"/>
      <c r="AB26" s="842"/>
      <c r="AC26" s="842"/>
      <c r="AD26" s="842"/>
      <c r="AE26" s="842"/>
      <c r="AF26" s="842"/>
      <c r="AG26" s="842"/>
      <c r="AH26" s="842"/>
      <c r="AI26" s="842"/>
    </row>
    <row r="27" spans="1:41" ht="30.75" customHeight="1" x14ac:dyDescent="0.25">
      <c r="A27" s="846"/>
      <c r="B27" s="852"/>
      <c r="C27" s="852"/>
      <c r="D27" s="852"/>
      <c r="E27" s="846" t="s">
        <v>128</v>
      </c>
      <c r="F27" s="846"/>
      <c r="G27" s="846"/>
      <c r="H27" s="842" t="s">
        <v>124</v>
      </c>
      <c r="I27" s="842"/>
      <c r="J27" s="853" t="s">
        <v>541</v>
      </c>
      <c r="K27" s="853"/>
      <c r="L27" s="853"/>
      <c r="M27" s="853"/>
      <c r="N27" s="842" t="s">
        <v>10</v>
      </c>
      <c r="O27" s="842"/>
      <c r="P27" s="842"/>
      <c r="Q27" s="842"/>
      <c r="R27" s="842"/>
      <c r="S27" s="842"/>
      <c r="T27" s="842"/>
      <c r="U27" s="842"/>
      <c r="V27" s="842"/>
      <c r="W27" s="842"/>
      <c r="X27" s="842"/>
      <c r="Y27" s="842"/>
      <c r="Z27" s="842"/>
      <c r="AA27" s="842"/>
      <c r="AB27" s="842"/>
      <c r="AC27" s="842"/>
      <c r="AD27" s="842"/>
      <c r="AE27" s="842"/>
      <c r="AF27" s="842"/>
      <c r="AG27" s="842"/>
      <c r="AH27" s="842"/>
      <c r="AI27" s="842"/>
    </row>
    <row r="28" spans="1:41" ht="30.75" customHeight="1" x14ac:dyDescent="0.25">
      <c r="A28" s="846"/>
      <c r="B28" s="852"/>
      <c r="C28" s="852"/>
      <c r="D28" s="852"/>
      <c r="E28" s="846" t="s">
        <v>121</v>
      </c>
      <c r="F28" s="846"/>
      <c r="G28" s="846"/>
      <c r="H28" s="842" t="s">
        <v>124</v>
      </c>
      <c r="I28" s="842"/>
      <c r="J28" s="853"/>
      <c r="K28" s="853"/>
      <c r="L28" s="853"/>
      <c r="M28" s="853"/>
      <c r="N28" s="842" t="s">
        <v>10</v>
      </c>
      <c r="O28" s="842"/>
      <c r="P28" s="842"/>
      <c r="Q28" s="842"/>
      <c r="R28" s="842"/>
      <c r="S28" s="842"/>
      <c r="T28" s="842"/>
      <c r="U28" s="842"/>
      <c r="V28" s="842"/>
      <c r="W28" s="842"/>
      <c r="X28" s="842"/>
      <c r="Y28" s="842"/>
      <c r="Z28" s="842"/>
      <c r="AA28" s="842"/>
      <c r="AB28" s="842"/>
      <c r="AC28" s="842"/>
      <c r="AD28" s="842"/>
      <c r="AE28" s="842"/>
      <c r="AF28" s="842"/>
      <c r="AG28" s="842"/>
      <c r="AH28" s="842"/>
      <c r="AI28" s="842"/>
    </row>
    <row r="29" spans="1:41" ht="30.75" customHeight="1" x14ac:dyDescent="0.25">
      <c r="A29" s="846"/>
      <c r="B29" s="852"/>
      <c r="C29" s="852"/>
      <c r="D29" s="852"/>
      <c r="E29" s="846" t="s">
        <v>122</v>
      </c>
      <c r="F29" s="846"/>
      <c r="G29" s="846"/>
      <c r="H29" s="842" t="s">
        <v>124</v>
      </c>
      <c r="I29" s="842"/>
      <c r="J29" s="853"/>
      <c r="K29" s="853"/>
      <c r="L29" s="853"/>
      <c r="M29" s="853"/>
      <c r="N29" s="842" t="str">
        <f>N26</f>
        <v>mm</v>
      </c>
      <c r="O29" s="842"/>
      <c r="P29" s="842"/>
      <c r="Q29" s="842"/>
      <c r="R29" s="842"/>
      <c r="S29" s="842"/>
      <c r="T29" s="842"/>
      <c r="U29" s="842"/>
      <c r="V29" s="842"/>
      <c r="W29" s="842"/>
      <c r="X29" s="842"/>
      <c r="Y29" s="842"/>
      <c r="Z29" s="842"/>
      <c r="AA29" s="842"/>
      <c r="AB29" s="842"/>
      <c r="AC29" s="842"/>
      <c r="AD29" s="842"/>
      <c r="AE29" s="842"/>
      <c r="AF29" s="842"/>
      <c r="AG29" s="842"/>
      <c r="AH29" s="842"/>
      <c r="AI29" s="842"/>
      <c r="AO29" s="202"/>
    </row>
    <row r="30" spans="1:41" ht="30.75" customHeight="1" x14ac:dyDescent="0.25">
      <c r="A30" s="846"/>
      <c r="B30" s="852"/>
      <c r="C30" s="852"/>
      <c r="D30" s="852"/>
      <c r="E30" s="846" t="s">
        <v>123</v>
      </c>
      <c r="F30" s="846"/>
      <c r="G30" s="846"/>
      <c r="H30" s="842" t="s">
        <v>124</v>
      </c>
      <c r="I30" s="842"/>
      <c r="J30" s="853"/>
      <c r="K30" s="853"/>
      <c r="L30" s="853"/>
      <c r="M30" s="853"/>
      <c r="N30" s="842" t="s">
        <v>10</v>
      </c>
      <c r="O30" s="842"/>
      <c r="P30" s="842"/>
      <c r="Q30" s="842"/>
      <c r="R30" s="842"/>
      <c r="S30" s="842"/>
      <c r="T30" s="842"/>
      <c r="U30" s="842"/>
      <c r="V30" s="842"/>
      <c r="W30" s="842"/>
      <c r="X30" s="842"/>
      <c r="Y30" s="842"/>
      <c r="Z30" s="842"/>
      <c r="AA30" s="842"/>
      <c r="AB30" s="842"/>
      <c r="AC30" s="842"/>
      <c r="AD30" s="842"/>
      <c r="AE30" s="842"/>
      <c r="AF30" s="842"/>
      <c r="AG30" s="842"/>
      <c r="AH30" s="842"/>
      <c r="AI30" s="842"/>
      <c r="AO30" s="202"/>
    </row>
    <row r="31" spans="1:41" ht="30.75" customHeight="1" x14ac:dyDescent="0.25">
      <c r="A31" s="846"/>
      <c r="B31" s="852"/>
      <c r="C31" s="852"/>
      <c r="D31" s="852"/>
      <c r="E31" s="846" t="s">
        <v>134</v>
      </c>
      <c r="F31" s="846"/>
      <c r="G31" s="846"/>
      <c r="H31" s="842" t="s">
        <v>129</v>
      </c>
      <c r="I31" s="842"/>
      <c r="J31" s="853" t="str">
        <f>'نمونه اولیه'!I12</f>
        <v>260 ± 24.92</v>
      </c>
      <c r="K31" s="853"/>
      <c r="L31" s="853"/>
      <c r="M31" s="853"/>
      <c r="N31" s="842" t="str">
        <f>N29</f>
        <v>mm</v>
      </c>
      <c r="O31" s="842"/>
      <c r="P31" s="842"/>
      <c r="Q31" s="842"/>
      <c r="R31" s="842"/>
      <c r="S31" s="842"/>
      <c r="T31" s="842"/>
      <c r="U31" s="842"/>
      <c r="V31" s="842"/>
      <c r="W31" s="842"/>
      <c r="X31" s="842"/>
      <c r="Y31" s="842"/>
      <c r="Z31" s="842"/>
      <c r="AA31" s="842"/>
      <c r="AB31" s="842"/>
      <c r="AC31" s="842"/>
      <c r="AD31" s="842"/>
      <c r="AE31" s="842"/>
      <c r="AF31" s="842"/>
      <c r="AG31" s="842"/>
      <c r="AH31" s="842"/>
      <c r="AI31" s="842"/>
      <c r="AO31" s="202"/>
    </row>
    <row r="32" spans="1:41" ht="5.25" customHeight="1" x14ac:dyDescent="0.25">
      <c r="A32" s="263"/>
      <c r="B32" s="849"/>
      <c r="C32" s="849"/>
      <c r="D32" s="849"/>
      <c r="E32" s="849"/>
      <c r="F32" s="849"/>
      <c r="G32" s="849"/>
      <c r="H32" s="264"/>
      <c r="I32" s="264"/>
      <c r="J32" s="265"/>
      <c r="K32" s="265"/>
      <c r="L32" s="265"/>
      <c r="M32" s="265"/>
      <c r="N32" s="264"/>
      <c r="O32" s="264"/>
      <c r="P32" s="850"/>
      <c r="Q32" s="850"/>
      <c r="R32" s="850"/>
      <c r="S32" s="850"/>
      <c r="T32" s="850"/>
      <c r="U32" s="850"/>
      <c r="V32" s="850"/>
      <c r="W32" s="850"/>
      <c r="X32" s="850"/>
      <c r="Y32" s="850"/>
      <c r="Z32" s="850"/>
      <c r="AA32" s="850"/>
      <c r="AB32" s="850"/>
      <c r="AC32" s="850"/>
      <c r="AD32" s="850"/>
      <c r="AE32" s="850"/>
      <c r="AF32" s="850"/>
      <c r="AG32" s="850"/>
      <c r="AH32" s="850"/>
      <c r="AI32" s="850"/>
    </row>
    <row r="33" spans="1:48" ht="29.25" customHeight="1" x14ac:dyDescent="0.25">
      <c r="A33" s="862" t="s">
        <v>145</v>
      </c>
      <c r="B33" s="862"/>
      <c r="C33" s="862"/>
      <c r="D33" s="862"/>
      <c r="E33" s="862"/>
      <c r="F33" s="862"/>
      <c r="G33" s="862" t="str">
        <f>IF($J$27="",AK33,AK36)</f>
        <v>فنرپیچی</v>
      </c>
      <c r="H33" s="862"/>
      <c r="I33" s="862"/>
      <c r="J33" s="862"/>
      <c r="K33" s="862"/>
      <c r="L33" s="862" t="str">
        <f>IF($J$27="",AL33,AL36)</f>
        <v>خنک شدن</v>
      </c>
      <c r="M33" s="862"/>
      <c r="N33" s="862"/>
      <c r="O33" s="862"/>
      <c r="P33" s="862"/>
      <c r="Q33" s="862"/>
      <c r="R33" s="862" t="str">
        <f>IF($J$27="",AM33,AM36)</f>
        <v>سختکاری مجدد</v>
      </c>
      <c r="S33" s="862"/>
      <c r="T33" s="862"/>
      <c r="U33" s="862"/>
      <c r="V33" s="862"/>
      <c r="W33" s="862"/>
      <c r="X33" s="862" t="str">
        <f>IF($J$27="",AN33,AN36)</f>
        <v>مخزن کوئنچ</v>
      </c>
      <c r="Y33" s="862"/>
      <c r="Z33" s="862"/>
      <c r="AA33" s="862"/>
      <c r="AB33" s="862"/>
      <c r="AC33" s="862"/>
      <c r="AD33" s="862" t="str">
        <f>IF($J$27="",AO33,AO36)</f>
        <v>تمپرینگ</v>
      </c>
      <c r="AE33" s="862"/>
      <c r="AF33" s="862"/>
      <c r="AG33" s="862"/>
      <c r="AH33" s="862"/>
      <c r="AI33" s="862"/>
      <c r="AK33" s="3" t="s">
        <v>120</v>
      </c>
      <c r="AL33" s="3" t="s">
        <v>149</v>
      </c>
      <c r="AM33" s="3" t="s">
        <v>131</v>
      </c>
      <c r="AN33" s="3" t="s">
        <v>132</v>
      </c>
      <c r="AO33" s="3" t="s">
        <v>121</v>
      </c>
      <c r="AP33" s="3" t="s">
        <v>133</v>
      </c>
      <c r="AQ33" s="3" t="s">
        <v>134</v>
      </c>
      <c r="AR33" s="3" t="s">
        <v>65</v>
      </c>
      <c r="AS33" s="3" t="s">
        <v>135</v>
      </c>
      <c r="AT33" s="202"/>
      <c r="AU33" s="202"/>
      <c r="AV33" s="202"/>
    </row>
    <row r="34" spans="1:48" ht="26.25" customHeight="1" x14ac:dyDescent="0.25">
      <c r="A34" s="862" t="s">
        <v>146</v>
      </c>
      <c r="B34" s="862"/>
      <c r="C34" s="862"/>
      <c r="D34" s="862"/>
      <c r="E34" s="862"/>
      <c r="F34" s="862"/>
      <c r="G34" s="851" t="str">
        <f>IF($J$27="",AK34,AK37)</f>
        <v>T=870 ° C</v>
      </c>
      <c r="H34" s="851"/>
      <c r="I34" s="851"/>
      <c r="J34" s="851"/>
      <c r="K34" s="851"/>
      <c r="L34" s="851" t="str">
        <f>IF($J$27="",AL34,AL37)</f>
        <v>در محیط</v>
      </c>
      <c r="M34" s="851"/>
      <c r="N34" s="851"/>
      <c r="O34" s="851"/>
      <c r="P34" s="851"/>
      <c r="Q34" s="851"/>
      <c r="R34" s="851" t="str">
        <f>IF($J$27="",AM34,AM37)</f>
        <v>T=870 ° C</v>
      </c>
      <c r="S34" s="851"/>
      <c r="T34" s="851"/>
      <c r="U34" s="851"/>
      <c r="V34" s="851"/>
      <c r="W34" s="851"/>
      <c r="X34" s="851" t="str">
        <f>IF($J$27="",AN34,AN37)</f>
        <v xml:space="preserve"> </v>
      </c>
      <c r="Y34" s="851"/>
      <c r="Z34" s="851"/>
      <c r="AA34" s="851"/>
      <c r="AB34" s="851"/>
      <c r="AC34" s="851"/>
      <c r="AD34" s="851" t="str">
        <f>IF($J$27="",AO34,AO37)</f>
        <v>T=420 ° C</v>
      </c>
      <c r="AE34" s="851"/>
      <c r="AF34" s="851"/>
      <c r="AG34" s="851"/>
      <c r="AH34" s="851"/>
      <c r="AI34" s="851"/>
      <c r="AK34" s="3" t="str">
        <f>CONCATENATE("T=",AL18," ° C")</f>
        <v>T=870 ° C</v>
      </c>
      <c r="AL34" s="3" t="s">
        <v>148</v>
      </c>
      <c r="AM34" s="3" t="str">
        <f>CONCATENATE("T=",AL19," ° C")</f>
        <v>T=420 ° C</v>
      </c>
      <c r="AN34" s="3" t="str">
        <f>IF('ورود اطلاعات'!K6&gt;13.1,"V=3 M/min","V=6 M/min")</f>
        <v>V=6 M/min</v>
      </c>
      <c r="AO34" s="3" t="s">
        <v>142</v>
      </c>
      <c r="AP34" s="3" t="str">
        <f>AL16</f>
        <v>پرس کوچک</v>
      </c>
      <c r="AQ34" s="3" t="s">
        <v>142</v>
      </c>
      <c r="AR34" s="3" t="s">
        <v>140</v>
      </c>
      <c r="AS34" s="3" t="s">
        <v>344</v>
      </c>
      <c r="AT34" s="202"/>
      <c r="AU34" s="202"/>
      <c r="AV34" s="202"/>
    </row>
    <row r="35" spans="1:48" ht="26.25" customHeight="1" x14ac:dyDescent="0.25">
      <c r="A35" s="862"/>
      <c r="B35" s="862"/>
      <c r="C35" s="862"/>
      <c r="D35" s="862"/>
      <c r="E35" s="862"/>
      <c r="F35" s="862"/>
      <c r="G35" s="851" t="str">
        <f>IF($J$27="",AK35,AK38)</f>
        <v>t=14'</v>
      </c>
      <c r="H35" s="851"/>
      <c r="I35" s="851"/>
      <c r="J35" s="851"/>
      <c r="K35" s="851"/>
      <c r="L35" s="851" t="str">
        <f>IF($J$27="",AL35,AL38)</f>
        <v xml:space="preserve"> </v>
      </c>
      <c r="M35" s="851"/>
      <c r="N35" s="851"/>
      <c r="O35" s="851"/>
      <c r="P35" s="851"/>
      <c r="Q35" s="851"/>
      <c r="R35" s="851" t="str">
        <f>IF($J$27="",AM35,AM38)</f>
        <v>t=14'</v>
      </c>
      <c r="S35" s="851"/>
      <c r="T35" s="851"/>
      <c r="U35" s="851"/>
      <c r="V35" s="851"/>
      <c r="W35" s="851"/>
      <c r="X35" s="851" t="str">
        <f>IF($J$27="",AN35,AN38)</f>
        <v>t=4'</v>
      </c>
      <c r="Y35" s="851"/>
      <c r="Z35" s="851"/>
      <c r="AA35" s="851"/>
      <c r="AB35" s="851"/>
      <c r="AC35" s="851"/>
      <c r="AD35" s="851" t="str">
        <f>IF($J$27="",AO35,AO38)</f>
        <v>t=45'</v>
      </c>
      <c r="AE35" s="851"/>
      <c r="AF35" s="851"/>
      <c r="AG35" s="851"/>
      <c r="AH35" s="851"/>
      <c r="AI35" s="851"/>
      <c r="AK35" s="262" t="str">
        <f>CONCATENATE("t=",ROUNDUP('نمونه اولیه'!AE11*2,0),"'")</f>
        <v>t=14'</v>
      </c>
      <c r="AL35" s="262" t="str">
        <f>CONCATENATE("t=",ROUNDUP('نمونه اولیه'!AE11/2,0),"'")</f>
        <v>t=4'</v>
      </c>
      <c r="AM35" s="262" t="s">
        <v>138</v>
      </c>
      <c r="AN35" s="262" t="s">
        <v>139</v>
      </c>
      <c r="AO35" s="262" t="s">
        <v>143</v>
      </c>
      <c r="AP35" s="262">
        <f>AL17</f>
        <v>1</v>
      </c>
      <c r="AQ35" s="262" t="s">
        <v>143</v>
      </c>
      <c r="AR35" s="262" t="s">
        <v>141</v>
      </c>
      <c r="AS35" s="262" t="s">
        <v>345</v>
      </c>
      <c r="AT35" s="202"/>
      <c r="AU35" s="202"/>
      <c r="AV35" s="202"/>
    </row>
    <row r="36" spans="1:48" ht="4.5" customHeight="1" x14ac:dyDescent="0.25">
      <c r="A36" s="863"/>
      <c r="B36" s="863"/>
      <c r="C36" s="863"/>
      <c r="D36" s="863"/>
      <c r="E36" s="863"/>
      <c r="F36" s="863"/>
      <c r="G36" s="864"/>
      <c r="H36" s="864"/>
      <c r="I36" s="864"/>
      <c r="J36" s="864"/>
      <c r="K36" s="864"/>
      <c r="L36" s="863"/>
      <c r="M36" s="863"/>
      <c r="N36" s="863"/>
      <c r="O36" s="863"/>
      <c r="P36" s="863"/>
      <c r="Q36" s="863"/>
      <c r="R36" s="863"/>
      <c r="S36" s="863"/>
      <c r="T36" s="863"/>
      <c r="U36" s="863"/>
      <c r="V36" s="863"/>
      <c r="W36" s="863"/>
      <c r="X36" s="863"/>
      <c r="Y36" s="863"/>
      <c r="Z36" s="863"/>
      <c r="AA36" s="863"/>
      <c r="AB36" s="863"/>
      <c r="AC36" s="863"/>
      <c r="AD36" s="863"/>
      <c r="AE36" s="863"/>
      <c r="AF36" s="863"/>
      <c r="AG36" s="863"/>
      <c r="AH36" s="863"/>
      <c r="AI36" s="863"/>
      <c r="AK36" s="3" t="s">
        <v>120</v>
      </c>
      <c r="AL36" s="3" t="s">
        <v>136</v>
      </c>
      <c r="AM36" s="3" t="s">
        <v>137</v>
      </c>
      <c r="AN36" s="3" t="s">
        <v>149</v>
      </c>
      <c r="AO36" s="3" t="s">
        <v>131</v>
      </c>
      <c r="AP36" s="3" t="s">
        <v>132</v>
      </c>
      <c r="AQ36" s="3" t="s">
        <v>121</v>
      </c>
      <c r="AR36" s="3" t="s">
        <v>133</v>
      </c>
      <c r="AS36" s="3" t="s">
        <v>134</v>
      </c>
      <c r="AT36" s="3" t="s">
        <v>65</v>
      </c>
      <c r="AU36" s="3" t="s">
        <v>135</v>
      </c>
      <c r="AV36" s="388"/>
    </row>
    <row r="37" spans="1:48" ht="25.5" customHeight="1" x14ac:dyDescent="0.25">
      <c r="A37" s="862" t="s">
        <v>145</v>
      </c>
      <c r="B37" s="862"/>
      <c r="C37" s="862"/>
      <c r="D37" s="862"/>
      <c r="E37" s="862"/>
      <c r="F37" s="862"/>
      <c r="G37" s="862" t="str">
        <f>IF($J$27="",AP33,AP36)</f>
        <v>شات پینینگ</v>
      </c>
      <c r="H37" s="862"/>
      <c r="I37" s="862"/>
      <c r="J37" s="862"/>
      <c r="K37" s="862"/>
      <c r="L37" s="862" t="str">
        <f>IF($J$27="",AQ33,AQ36)</f>
        <v>سنگ اولیه</v>
      </c>
      <c r="M37" s="862"/>
      <c r="N37" s="862"/>
      <c r="O37" s="862"/>
      <c r="P37" s="862"/>
      <c r="Q37" s="862"/>
      <c r="R37" s="862" t="str">
        <f>IF($J$27="",AR33,AR36)</f>
        <v>ست</v>
      </c>
      <c r="S37" s="862"/>
      <c r="T37" s="862"/>
      <c r="U37" s="862"/>
      <c r="V37" s="862"/>
      <c r="W37" s="862"/>
      <c r="X37" s="862" t="str">
        <f>IF($J$27="","",AS36)</f>
        <v>سنگ نهایی</v>
      </c>
      <c r="Y37" s="862"/>
      <c r="Z37" s="862"/>
      <c r="AA37" s="862"/>
      <c r="AB37" s="862"/>
      <c r="AC37" s="862"/>
      <c r="AD37" s="862" t="str">
        <f>IF($J$27="","",AT36)</f>
        <v>ترکیابی</v>
      </c>
      <c r="AE37" s="862"/>
      <c r="AF37" s="862"/>
      <c r="AG37" s="862"/>
      <c r="AH37" s="862"/>
      <c r="AI37" s="862"/>
      <c r="AK37" s="3" t="str">
        <f>AK34</f>
        <v>T=870 ° C</v>
      </c>
      <c r="AL37" s="3" t="s">
        <v>144</v>
      </c>
      <c r="AM37" s="3" t="str">
        <f>AK37</f>
        <v>T=870 ° C</v>
      </c>
      <c r="AN37" s="3" t="s">
        <v>148</v>
      </c>
      <c r="AO37" s="3" t="str">
        <f>AM34</f>
        <v>T=420 ° C</v>
      </c>
      <c r="AP37" s="3" t="str">
        <f>AN34</f>
        <v>V=6 M/min</v>
      </c>
      <c r="AQ37" s="3" t="s">
        <v>142</v>
      </c>
      <c r="AR37" s="3" t="str">
        <f>AP34</f>
        <v>پرس کوچک</v>
      </c>
      <c r="AS37" s="3" t="s">
        <v>142</v>
      </c>
      <c r="AT37" s="3" t="s">
        <v>140</v>
      </c>
      <c r="AU37" s="3" t="s">
        <v>344</v>
      </c>
      <c r="AV37" s="388"/>
    </row>
    <row r="38" spans="1:48" ht="26.25" customHeight="1" x14ac:dyDescent="0.25">
      <c r="A38" s="862" t="s">
        <v>146</v>
      </c>
      <c r="B38" s="862"/>
      <c r="C38" s="862"/>
      <c r="D38" s="862"/>
      <c r="E38" s="862"/>
      <c r="F38" s="862"/>
      <c r="G38" s="851" t="str">
        <f>IF($J$27="",AP34,AP37)</f>
        <v>V=6 M/min</v>
      </c>
      <c r="H38" s="851"/>
      <c r="I38" s="851"/>
      <c r="J38" s="851"/>
      <c r="K38" s="851"/>
      <c r="L38" s="851" t="str">
        <f>IF($J$27="",AQ34,AQ37)</f>
        <v>P1=مناسب</v>
      </c>
      <c r="M38" s="851"/>
      <c r="N38" s="851"/>
      <c r="O38" s="851"/>
      <c r="P38" s="851"/>
      <c r="Q38" s="851"/>
      <c r="R38" s="851" t="str">
        <f>IF($J$27="",AR34,AR37)</f>
        <v>پرس کوچک</v>
      </c>
      <c r="S38" s="851"/>
      <c r="T38" s="851"/>
      <c r="U38" s="851"/>
      <c r="V38" s="851"/>
      <c r="W38" s="851"/>
      <c r="X38" s="851" t="str">
        <f>IF($J$27="","",AS37)</f>
        <v>P1=مناسب</v>
      </c>
      <c r="Y38" s="851"/>
      <c r="Z38" s="851"/>
      <c r="AA38" s="851"/>
      <c r="AB38" s="851"/>
      <c r="AC38" s="851"/>
      <c r="AD38" s="851" t="str">
        <f>IF($J$27="","",AT37)</f>
        <v xml:space="preserve">طولی </v>
      </c>
      <c r="AE38" s="851"/>
      <c r="AF38" s="851"/>
      <c r="AG38" s="851"/>
      <c r="AH38" s="851"/>
      <c r="AI38" s="851"/>
      <c r="AK38" s="3" t="str">
        <f>CONCATENATE("t=",ROUNDUP('نمونه اولیه'!AE11*2,0),"'")</f>
        <v>t=14'</v>
      </c>
      <c r="AL38" s="3" t="s">
        <v>148</v>
      </c>
      <c r="AM38" s="3" t="str">
        <f>CONCATENATE("t=",ROUNDUP('نمونه اولیه'!AE11*2,0),"'")</f>
        <v>t=14'</v>
      </c>
      <c r="AN38" s="3" t="str">
        <f>CONCATENATE("t=",ROUNDUP('نمونه اولیه'!AE11/2,0),"'")</f>
        <v>t=4'</v>
      </c>
      <c r="AO38" s="3" t="s">
        <v>138</v>
      </c>
      <c r="AP38" s="3" t="s">
        <v>139</v>
      </c>
      <c r="AQ38" s="3" t="s">
        <v>143</v>
      </c>
      <c r="AR38" s="3">
        <f>AP35</f>
        <v>1</v>
      </c>
      <c r="AS38" s="3" t="s">
        <v>143</v>
      </c>
      <c r="AT38" s="3" t="s">
        <v>141</v>
      </c>
      <c r="AU38" s="3" t="s">
        <v>345</v>
      </c>
      <c r="AV38" s="388"/>
    </row>
    <row r="39" spans="1:48" ht="26.25" customHeight="1" x14ac:dyDescent="0.25">
      <c r="A39" s="862"/>
      <c r="B39" s="862"/>
      <c r="C39" s="862"/>
      <c r="D39" s="862"/>
      <c r="E39" s="862"/>
      <c r="F39" s="862"/>
      <c r="G39" s="851" t="str">
        <f>IF($J$27="",AP35,AP38)</f>
        <v>ALMN=0.45</v>
      </c>
      <c r="H39" s="851"/>
      <c r="I39" s="851"/>
      <c r="J39" s="851"/>
      <c r="K39" s="851"/>
      <c r="L39" s="851" t="str">
        <f>IF($J$27="",AQ35,AQ38)</f>
        <v>P2=مناسب</v>
      </c>
      <c r="M39" s="851"/>
      <c r="N39" s="851"/>
      <c r="O39" s="851"/>
      <c r="P39" s="851"/>
      <c r="Q39" s="851"/>
      <c r="R39" s="851">
        <f>IF($J$27="",AR35,AR38)</f>
        <v>1</v>
      </c>
      <c r="S39" s="851"/>
      <c r="T39" s="851"/>
      <c r="U39" s="851"/>
      <c r="V39" s="851"/>
      <c r="W39" s="851"/>
      <c r="X39" s="851" t="str">
        <f>IF($J$27="","",AS38)</f>
        <v>P2=مناسب</v>
      </c>
      <c r="Y39" s="851"/>
      <c r="Z39" s="851"/>
      <c r="AA39" s="851"/>
      <c r="AB39" s="851"/>
      <c r="AC39" s="851"/>
      <c r="AD39" s="851" t="str">
        <f>IF($J$27="","",AT38)</f>
        <v>عرضی</v>
      </c>
      <c r="AE39" s="851"/>
      <c r="AF39" s="851"/>
      <c r="AG39" s="851"/>
      <c r="AH39" s="851"/>
      <c r="AI39" s="851"/>
      <c r="AK39" s="202"/>
      <c r="AM39" s="202"/>
      <c r="AN39" s="202"/>
      <c r="AO39" s="202"/>
      <c r="AP39" s="202"/>
      <c r="AQ39" s="202"/>
      <c r="AR39" s="202"/>
      <c r="AS39" s="202"/>
      <c r="AT39" s="202"/>
      <c r="AU39" s="202"/>
      <c r="AV39" s="202"/>
    </row>
    <row r="40" spans="1:48" ht="4.5" customHeight="1" x14ac:dyDescent="0.25">
      <c r="A40" s="863"/>
      <c r="B40" s="863"/>
      <c r="C40" s="863"/>
      <c r="D40" s="863"/>
      <c r="E40" s="863"/>
      <c r="F40" s="863"/>
      <c r="G40" s="864"/>
      <c r="H40" s="864"/>
      <c r="I40" s="864"/>
      <c r="J40" s="864"/>
      <c r="K40" s="864"/>
      <c r="L40" s="871"/>
      <c r="M40" s="871"/>
      <c r="N40" s="871"/>
      <c r="O40" s="871"/>
      <c r="P40" s="871"/>
      <c r="Q40" s="871"/>
      <c r="R40" s="871"/>
      <c r="S40" s="871"/>
      <c r="T40" s="871"/>
      <c r="U40" s="871"/>
      <c r="V40" s="871"/>
      <c r="W40" s="871"/>
      <c r="X40" s="871"/>
      <c r="Y40" s="871"/>
      <c r="Z40" s="871"/>
      <c r="AA40" s="871"/>
      <c r="AB40" s="871"/>
      <c r="AC40" s="871"/>
      <c r="AD40" s="871"/>
      <c r="AE40" s="871"/>
      <c r="AF40" s="871"/>
      <c r="AG40" s="871"/>
      <c r="AH40" s="871"/>
      <c r="AI40" s="871"/>
      <c r="AK40" s="202"/>
      <c r="AM40" s="202"/>
      <c r="AN40" s="202"/>
      <c r="AO40" s="202"/>
      <c r="AP40" s="202"/>
      <c r="AQ40" s="202"/>
      <c r="AR40" s="202"/>
      <c r="AS40" s="202"/>
      <c r="AT40" s="202"/>
      <c r="AU40" s="202"/>
      <c r="AV40" s="202"/>
    </row>
    <row r="41" spans="1:48" ht="28.5" customHeight="1" x14ac:dyDescent="0.25">
      <c r="A41" s="865" t="s">
        <v>67</v>
      </c>
      <c r="B41" s="866"/>
      <c r="C41" s="866"/>
      <c r="D41" s="866"/>
      <c r="E41" s="866"/>
      <c r="F41" s="866"/>
      <c r="G41" s="866"/>
      <c r="H41" s="866"/>
      <c r="I41" s="866"/>
      <c r="J41" s="866"/>
      <c r="K41" s="866"/>
      <c r="L41" s="866"/>
      <c r="M41" s="866"/>
      <c r="N41" s="866"/>
      <c r="O41" s="866"/>
      <c r="P41" s="866"/>
      <c r="Q41" s="866"/>
      <c r="R41" s="866"/>
      <c r="S41" s="866"/>
      <c r="T41" s="866"/>
      <c r="U41" s="866"/>
      <c r="V41" s="866"/>
      <c r="W41" s="866"/>
      <c r="X41" s="866"/>
      <c r="Y41" s="866"/>
      <c r="Z41" s="867"/>
      <c r="AA41" s="865" t="s">
        <v>68</v>
      </c>
      <c r="AB41" s="866"/>
      <c r="AC41" s="866"/>
      <c r="AD41" s="866"/>
      <c r="AE41" s="866"/>
      <c r="AF41" s="866"/>
      <c r="AG41" s="866"/>
      <c r="AH41" s="866"/>
      <c r="AI41" s="867"/>
    </row>
    <row r="42" spans="1:48" ht="28.5" customHeight="1" x14ac:dyDescent="0.25">
      <c r="A42" s="868"/>
      <c r="B42" s="869"/>
      <c r="C42" s="869"/>
      <c r="D42" s="869"/>
      <c r="E42" s="869"/>
      <c r="F42" s="869"/>
      <c r="G42" s="869"/>
      <c r="H42" s="869"/>
      <c r="I42" s="869"/>
      <c r="J42" s="869"/>
      <c r="K42" s="869"/>
      <c r="L42" s="869"/>
      <c r="M42" s="869"/>
      <c r="N42" s="869"/>
      <c r="O42" s="869"/>
      <c r="P42" s="869"/>
      <c r="Q42" s="869"/>
      <c r="R42" s="869"/>
      <c r="S42" s="869"/>
      <c r="T42" s="869"/>
      <c r="U42" s="869"/>
      <c r="V42" s="869"/>
      <c r="W42" s="869"/>
      <c r="X42" s="869"/>
      <c r="Y42" s="869"/>
      <c r="Z42" s="870"/>
      <c r="AA42" s="868"/>
      <c r="AB42" s="869"/>
      <c r="AC42" s="869"/>
      <c r="AD42" s="869"/>
      <c r="AE42" s="869"/>
      <c r="AF42" s="869"/>
      <c r="AG42" s="869"/>
      <c r="AH42" s="869"/>
      <c r="AI42" s="870"/>
    </row>
    <row r="43" spans="1:48" ht="28.5" customHeight="1" x14ac:dyDescent="0.25">
      <c r="A43" s="847" t="s">
        <v>147</v>
      </c>
      <c r="B43" s="847"/>
      <c r="C43" s="847"/>
      <c r="D43" s="847"/>
      <c r="E43" s="847"/>
      <c r="F43" s="847"/>
      <c r="G43" s="847"/>
      <c r="H43" s="847"/>
      <c r="I43" s="847"/>
      <c r="J43" s="847"/>
      <c r="K43" s="847"/>
      <c r="L43" s="847"/>
      <c r="M43" s="847"/>
      <c r="N43" s="847"/>
      <c r="O43" s="847"/>
      <c r="P43" s="847"/>
      <c r="Q43" s="847"/>
      <c r="R43" s="847"/>
      <c r="S43" s="847"/>
      <c r="T43" s="847"/>
      <c r="U43" s="847"/>
      <c r="V43" s="847"/>
      <c r="W43" s="847"/>
      <c r="X43" s="847"/>
      <c r="Y43" s="847"/>
      <c r="Z43" s="847"/>
      <c r="AA43" s="847" t="s">
        <v>69</v>
      </c>
      <c r="AB43" s="847"/>
      <c r="AC43" s="847"/>
      <c r="AD43" s="847"/>
      <c r="AE43" s="847"/>
      <c r="AF43" s="847"/>
      <c r="AG43" s="847"/>
      <c r="AH43" s="847"/>
      <c r="AI43" s="847"/>
    </row>
    <row r="44" spans="1:48" ht="28.5" customHeight="1" x14ac:dyDescent="0.25">
      <c r="A44" s="847"/>
      <c r="B44" s="847"/>
      <c r="C44" s="847"/>
      <c r="D44" s="847"/>
      <c r="E44" s="847"/>
      <c r="F44" s="847"/>
      <c r="G44" s="847"/>
      <c r="H44" s="847"/>
      <c r="I44" s="847"/>
      <c r="J44" s="847"/>
      <c r="K44" s="847"/>
      <c r="L44" s="847"/>
      <c r="M44" s="847"/>
      <c r="N44" s="847"/>
      <c r="O44" s="847"/>
      <c r="P44" s="847"/>
      <c r="Q44" s="847"/>
      <c r="R44" s="847"/>
      <c r="S44" s="847"/>
      <c r="T44" s="847"/>
      <c r="U44" s="847"/>
      <c r="V44" s="847"/>
      <c r="W44" s="847"/>
      <c r="X44" s="847"/>
      <c r="Y44" s="847"/>
      <c r="Z44" s="847"/>
      <c r="AA44" s="847"/>
      <c r="AB44" s="847"/>
      <c r="AC44" s="847"/>
      <c r="AD44" s="847"/>
      <c r="AE44" s="847"/>
      <c r="AF44" s="847"/>
      <c r="AG44" s="847"/>
      <c r="AH44" s="847"/>
      <c r="AI44" s="847"/>
    </row>
    <row r="45" spans="1:48" ht="5.25" customHeight="1" x14ac:dyDescent="0.25"/>
  </sheetData>
  <sheetProtection formatCells="0" formatColumns="0" formatRows="0" insertColumns="0" insertRows="0" insertHyperlinks="0" deleteColumns="0" deleteRows="0" selectLockedCells="1" sort="0" autoFilter="0" pivotTables="0"/>
  <mergeCells count="282">
    <mergeCell ref="AA41:AI42"/>
    <mergeCell ref="A41:Z42"/>
    <mergeCell ref="A43:Z44"/>
    <mergeCell ref="A40:F40"/>
    <mergeCell ref="G40:K40"/>
    <mergeCell ref="L40:Q40"/>
    <mergeCell ref="R40:W40"/>
    <mergeCell ref="X40:AC40"/>
    <mergeCell ref="AD40:AI40"/>
    <mergeCell ref="A36:F36"/>
    <mergeCell ref="G36:K36"/>
    <mergeCell ref="L36:Q36"/>
    <mergeCell ref="R36:W36"/>
    <mergeCell ref="X36:AC36"/>
    <mergeCell ref="AD36:AI36"/>
    <mergeCell ref="A37:F37"/>
    <mergeCell ref="G37:K37"/>
    <mergeCell ref="L37:Q37"/>
    <mergeCell ref="R37:W37"/>
    <mergeCell ref="X37:AC37"/>
    <mergeCell ref="AD37:AI37"/>
    <mergeCell ref="A38:F39"/>
    <mergeCell ref="G38:K38"/>
    <mergeCell ref="L38:Q38"/>
    <mergeCell ref="R38:W38"/>
    <mergeCell ref="X38:AC38"/>
    <mergeCell ref="AD38:AI38"/>
    <mergeCell ref="G39:K39"/>
    <mergeCell ref="L39:Q39"/>
    <mergeCell ref="R39:W39"/>
    <mergeCell ref="X39:AC39"/>
    <mergeCell ref="AD39:AI39"/>
    <mergeCell ref="A33:F33"/>
    <mergeCell ref="AD33:AI33"/>
    <mergeCell ref="L33:Q33"/>
    <mergeCell ref="R33:W33"/>
    <mergeCell ref="X33:AC33"/>
    <mergeCell ref="G33:K33"/>
    <mergeCell ref="G35:K35"/>
    <mergeCell ref="L35:Q35"/>
    <mergeCell ref="R35:W35"/>
    <mergeCell ref="X35:AC35"/>
    <mergeCell ref="AD35:AI35"/>
    <mergeCell ref="A34:F35"/>
    <mergeCell ref="H31:I31"/>
    <mergeCell ref="J7:M8"/>
    <mergeCell ref="J9:M9"/>
    <mergeCell ref="J11:M11"/>
    <mergeCell ref="J12:M12"/>
    <mergeCell ref="J13:M13"/>
    <mergeCell ref="J15:M15"/>
    <mergeCell ref="J16:M16"/>
    <mergeCell ref="J18:M18"/>
    <mergeCell ref="J19:M19"/>
    <mergeCell ref="J20:M20"/>
    <mergeCell ref="J21:M21"/>
    <mergeCell ref="J22:M22"/>
    <mergeCell ref="J23:M23"/>
    <mergeCell ref="J24:M24"/>
    <mergeCell ref="J25:M25"/>
    <mergeCell ref="J26:M26"/>
    <mergeCell ref="J27:M27"/>
    <mergeCell ref="J28:M28"/>
    <mergeCell ref="J29:M29"/>
    <mergeCell ref="J30:M30"/>
    <mergeCell ref="J31:M31"/>
    <mergeCell ref="H17:I17"/>
    <mergeCell ref="J17:M17"/>
    <mergeCell ref="N26:O26"/>
    <mergeCell ref="N27:O27"/>
    <mergeCell ref="N28:O28"/>
    <mergeCell ref="N29:O29"/>
    <mergeCell ref="N30:O30"/>
    <mergeCell ref="N31:O31"/>
    <mergeCell ref="H7:I8"/>
    <mergeCell ref="H9:I9"/>
    <mergeCell ref="H11:I11"/>
    <mergeCell ref="H12:I12"/>
    <mergeCell ref="H13:I13"/>
    <mergeCell ref="H15:I15"/>
    <mergeCell ref="H16:I16"/>
    <mergeCell ref="H18:I18"/>
    <mergeCell ref="H19:I19"/>
    <mergeCell ref="H20:I20"/>
    <mergeCell ref="H21:I21"/>
    <mergeCell ref="H22:I22"/>
    <mergeCell ref="H23:I23"/>
    <mergeCell ref="H24:I24"/>
    <mergeCell ref="H25:I25"/>
    <mergeCell ref="H26:I26"/>
    <mergeCell ref="H27:I27"/>
    <mergeCell ref="H28:I28"/>
    <mergeCell ref="A1:G4"/>
    <mergeCell ref="H1:AA4"/>
    <mergeCell ref="AB1:AI2"/>
    <mergeCell ref="AB3:AI4"/>
    <mergeCell ref="E27:G27"/>
    <mergeCell ref="P27:S27"/>
    <mergeCell ref="T27:W27"/>
    <mergeCell ref="X27:AA27"/>
    <mergeCell ref="AB27:AE27"/>
    <mergeCell ref="AF27:AI27"/>
    <mergeCell ref="N7:O8"/>
    <mergeCell ref="N9:O9"/>
    <mergeCell ref="N11:O11"/>
    <mergeCell ref="N12:O12"/>
    <mergeCell ref="N13:O13"/>
    <mergeCell ref="N15:O15"/>
    <mergeCell ref="N16:O16"/>
    <mergeCell ref="N18:O18"/>
    <mergeCell ref="N19:O19"/>
    <mergeCell ref="N20:O20"/>
    <mergeCell ref="N21:O21"/>
    <mergeCell ref="N22:O22"/>
    <mergeCell ref="N23:O23"/>
    <mergeCell ref="N24:O24"/>
    <mergeCell ref="A7:A8"/>
    <mergeCell ref="B7:G8"/>
    <mergeCell ref="P7:AI7"/>
    <mergeCell ref="B11:G11"/>
    <mergeCell ref="P11:S11"/>
    <mergeCell ref="T11:W11"/>
    <mergeCell ref="X11:AA11"/>
    <mergeCell ref="AB11:AE11"/>
    <mergeCell ref="AF11:AI11"/>
    <mergeCell ref="B9:G9"/>
    <mergeCell ref="P9:S9"/>
    <mergeCell ref="T9:W9"/>
    <mergeCell ref="X9:AA9"/>
    <mergeCell ref="AB9:AE9"/>
    <mergeCell ref="AF9:AI9"/>
    <mergeCell ref="AF10:AI10"/>
    <mergeCell ref="AB10:AE10"/>
    <mergeCell ref="X10:AA10"/>
    <mergeCell ref="T10:W10"/>
    <mergeCell ref="N10:O10"/>
    <mergeCell ref="J10:M10"/>
    <mergeCell ref="H10:I10"/>
    <mergeCell ref="B10:G10"/>
    <mergeCell ref="B13:G13"/>
    <mergeCell ref="AF14:AI14"/>
    <mergeCell ref="AB14:AE14"/>
    <mergeCell ref="X14:AA14"/>
    <mergeCell ref="T14:W14"/>
    <mergeCell ref="P8:S8"/>
    <mergeCell ref="T8:W8"/>
    <mergeCell ref="X8:AA8"/>
    <mergeCell ref="AB8:AE8"/>
    <mergeCell ref="AF8:AI8"/>
    <mergeCell ref="T13:W13"/>
    <mergeCell ref="X13:AA13"/>
    <mergeCell ref="AB13:AE13"/>
    <mergeCell ref="AF13:AI13"/>
    <mergeCell ref="P10:S10"/>
    <mergeCell ref="P13:S13"/>
    <mergeCell ref="AF12:AI12"/>
    <mergeCell ref="N14:O14"/>
    <mergeCell ref="J14:M14"/>
    <mergeCell ref="H14:I14"/>
    <mergeCell ref="B14:G14"/>
    <mergeCell ref="P14:S14"/>
    <mergeCell ref="B19:G19"/>
    <mergeCell ref="P19:S19"/>
    <mergeCell ref="T19:W19"/>
    <mergeCell ref="X19:AA19"/>
    <mergeCell ref="AB19:AE19"/>
    <mergeCell ref="AF19:AI19"/>
    <mergeCell ref="B18:G18"/>
    <mergeCell ref="P18:S18"/>
    <mergeCell ref="T18:W18"/>
    <mergeCell ref="X18:AA18"/>
    <mergeCell ref="AB18:AE18"/>
    <mergeCell ref="AF18:AI18"/>
    <mergeCell ref="B21:G21"/>
    <mergeCell ref="P21:S21"/>
    <mergeCell ref="T21:W21"/>
    <mergeCell ref="X21:AA21"/>
    <mergeCell ref="AB21:AE21"/>
    <mergeCell ref="AF21:AI21"/>
    <mergeCell ref="B20:G20"/>
    <mergeCell ref="P20:S20"/>
    <mergeCell ref="T20:W20"/>
    <mergeCell ref="X20:AA20"/>
    <mergeCell ref="AB20:AE20"/>
    <mergeCell ref="AF20:AI20"/>
    <mergeCell ref="B24:G24"/>
    <mergeCell ref="B25:G25"/>
    <mergeCell ref="P23:S23"/>
    <mergeCell ref="T23:W23"/>
    <mergeCell ref="X23:AA23"/>
    <mergeCell ref="AB23:AE23"/>
    <mergeCell ref="AF23:AI23"/>
    <mergeCell ref="B23:G23"/>
    <mergeCell ref="B22:G22"/>
    <mergeCell ref="P22:S22"/>
    <mergeCell ref="T22:W22"/>
    <mergeCell ref="X22:AA22"/>
    <mergeCell ref="AB22:AE22"/>
    <mergeCell ref="AF22:AI22"/>
    <mergeCell ref="N25:O25"/>
    <mergeCell ref="AF24:AI24"/>
    <mergeCell ref="P25:S25"/>
    <mergeCell ref="T25:W25"/>
    <mergeCell ref="X25:AA25"/>
    <mergeCell ref="AB25:AE25"/>
    <mergeCell ref="AF25:AI25"/>
    <mergeCell ref="P24:S24"/>
    <mergeCell ref="T24:W24"/>
    <mergeCell ref="X24:AA24"/>
    <mergeCell ref="AB24:AE24"/>
    <mergeCell ref="AF26:AI26"/>
    <mergeCell ref="P28:S28"/>
    <mergeCell ref="T28:W28"/>
    <mergeCell ref="X28:AA28"/>
    <mergeCell ref="AB28:AE28"/>
    <mergeCell ref="AF28:AI28"/>
    <mergeCell ref="P26:S26"/>
    <mergeCell ref="T26:W26"/>
    <mergeCell ref="X26:AA26"/>
    <mergeCell ref="AB26:AE26"/>
    <mergeCell ref="E29:G29"/>
    <mergeCell ref="AF29:AI29"/>
    <mergeCell ref="P30:S30"/>
    <mergeCell ref="T30:W30"/>
    <mergeCell ref="X30:AA30"/>
    <mergeCell ref="AB30:AE30"/>
    <mergeCell ref="AF30:AI30"/>
    <mergeCell ref="P29:S29"/>
    <mergeCell ref="T29:W29"/>
    <mergeCell ref="X29:AA29"/>
    <mergeCell ref="AB29:AE29"/>
    <mergeCell ref="E30:G30"/>
    <mergeCell ref="H29:I29"/>
    <mergeCell ref="H30:I30"/>
    <mergeCell ref="E31:G31"/>
    <mergeCell ref="A26:A31"/>
    <mergeCell ref="AA43:AI44"/>
    <mergeCell ref="A6:AI6"/>
    <mergeCell ref="B32:G32"/>
    <mergeCell ref="P32:S32"/>
    <mergeCell ref="T32:W32"/>
    <mergeCell ref="X32:AA32"/>
    <mergeCell ref="AB32:AE32"/>
    <mergeCell ref="AF32:AI32"/>
    <mergeCell ref="G34:K34"/>
    <mergeCell ref="L34:Q34"/>
    <mergeCell ref="R34:W34"/>
    <mergeCell ref="X34:AC34"/>
    <mergeCell ref="AD34:AI34"/>
    <mergeCell ref="P31:S31"/>
    <mergeCell ref="T31:W31"/>
    <mergeCell ref="X31:AA31"/>
    <mergeCell ref="AB31:AE31"/>
    <mergeCell ref="AF31:AI31"/>
    <mergeCell ref="B26:D31"/>
    <mergeCell ref="E26:G26"/>
    <mergeCell ref="E28:G28"/>
    <mergeCell ref="B17:G17"/>
    <mergeCell ref="N17:O17"/>
    <mergeCell ref="P17:S17"/>
    <mergeCell ref="T17:W17"/>
    <mergeCell ref="X17:AA17"/>
    <mergeCell ref="AB17:AE17"/>
    <mergeCell ref="AF17:AI17"/>
    <mergeCell ref="A5:AI5"/>
    <mergeCell ref="B16:G16"/>
    <mergeCell ref="P16:S16"/>
    <mergeCell ref="T16:W16"/>
    <mergeCell ref="X16:AA16"/>
    <mergeCell ref="AB16:AE16"/>
    <mergeCell ref="AF16:AI16"/>
    <mergeCell ref="B15:G15"/>
    <mergeCell ref="P15:S15"/>
    <mergeCell ref="T15:W15"/>
    <mergeCell ref="X15:AA15"/>
    <mergeCell ref="AB15:AE15"/>
    <mergeCell ref="AF15:AI15"/>
    <mergeCell ref="B12:G12"/>
    <mergeCell ref="P12:S12"/>
    <mergeCell ref="T12:W12"/>
    <mergeCell ref="X12:AA12"/>
    <mergeCell ref="AB12:AE12"/>
  </mergeCells>
  <conditionalFormatting sqref="J19:M19">
    <cfRule type="cellIs" dxfId="1" priority="1" operator="greaterThan">
      <formula>$AK$14+$AJ$14</formula>
    </cfRule>
    <cfRule type="cellIs" dxfId="0" priority="2" operator="lessThan">
      <formula>$AK$14</formula>
    </cfRule>
  </conditionalFormatting>
  <printOptions horizontalCentered="1" verticalCentered="1"/>
  <pageMargins left="0" right="0" top="0" bottom="0" header="0" footer="0"/>
  <pageSetup paperSize="9" scale="72" orientation="portrait" horizontalDpi="1200" verticalDpi="1200" r:id="rId1"/>
  <drawing r:id="rId2"/>
  <legacyDrawing r:id="rId3"/>
  <controls>
    <mc:AlternateContent xmlns:mc="http://schemas.openxmlformats.org/markup-compatibility/2006">
      <mc:Choice Requires="x14">
        <control shapeId="6145" r:id="rId4" name="CommandButton1">
          <controlPr defaultSize="0" autoLine="0" r:id="rId5">
            <anchor moveWithCells="1">
              <from>
                <xdr:col>126</xdr:col>
                <xdr:colOff>190500</xdr:colOff>
                <xdr:row>1</xdr:row>
                <xdr:rowOff>66675</xdr:rowOff>
              </from>
              <to>
                <xdr:col>128</xdr:col>
                <xdr:colOff>47625</xdr:colOff>
                <xdr:row>3</xdr:row>
                <xdr:rowOff>9525</xdr:rowOff>
              </to>
            </anchor>
          </controlPr>
        </control>
      </mc:Choice>
      <mc:Fallback>
        <control shapeId="6145"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AJ39"/>
  <sheetViews>
    <sheetView rightToLeft="1" view="pageBreakPreview" zoomScaleNormal="100" zoomScaleSheetLayoutView="100" workbookViewId="0">
      <selection activeCell="X7" sqref="X7:AB7"/>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6" customWidth="1"/>
    <col min="8" max="8" width="3" customWidth="1"/>
    <col min="9" max="9" width="11.140625" customWidth="1"/>
    <col min="10" max="10" width="9.28515625" customWidth="1"/>
    <col min="11" max="11" width="2" customWidth="1"/>
    <col min="12" max="12" width="8.5703125" customWidth="1"/>
    <col min="13" max="13" width="11.42578125" customWidth="1"/>
    <col min="15" max="15" width="13.7109375" customWidth="1"/>
    <col min="16" max="16" width="11.140625" style="4" customWidth="1"/>
    <col min="17" max="17" width="12" style="4" customWidth="1"/>
    <col min="18" max="18" width="3.5703125" style="4" customWidth="1"/>
    <col min="19" max="19" width="11.85546875" style="4" customWidth="1"/>
    <col min="20" max="20" width="12.140625" style="4" customWidth="1"/>
    <col min="21" max="36" width="9.140625" style="118"/>
  </cols>
  <sheetData>
    <row r="1" spans="2:30" ht="29.25" customHeight="1" x14ac:dyDescent="0.25">
      <c r="B1" s="875" t="s">
        <v>199</v>
      </c>
      <c r="C1" s="875"/>
      <c r="D1" s="875"/>
      <c r="E1" s="876" t="s">
        <v>390</v>
      </c>
      <c r="F1" s="876"/>
      <c r="G1" s="876"/>
      <c r="H1" s="876"/>
      <c r="I1" s="876"/>
      <c r="J1" s="876"/>
      <c r="K1" s="876"/>
      <c r="L1" s="876"/>
      <c r="M1" s="876"/>
      <c r="N1" s="415" t="s">
        <v>391</v>
      </c>
      <c r="O1" s="419" t="s">
        <v>526</v>
      </c>
      <c r="P1" s="416"/>
    </row>
    <row r="2" spans="2:30" ht="29.25" customHeight="1" x14ac:dyDescent="0.25">
      <c r="B2" s="875"/>
      <c r="C2" s="875"/>
      <c r="D2" s="875"/>
      <c r="E2" s="876"/>
      <c r="F2" s="876"/>
      <c r="G2" s="876"/>
      <c r="H2" s="876"/>
      <c r="I2" s="876"/>
      <c r="J2" s="876"/>
      <c r="K2" s="876"/>
      <c r="L2" s="876"/>
      <c r="M2" s="876"/>
      <c r="N2" s="877" t="s">
        <v>525</v>
      </c>
      <c r="O2" s="877"/>
      <c r="P2" s="417"/>
    </row>
    <row r="3" spans="2:30" s="421" customFormat="1" ht="29.25" customHeight="1" x14ac:dyDescent="0.2">
      <c r="B3" s="872" t="s">
        <v>393</v>
      </c>
      <c r="C3" s="873"/>
      <c r="D3" s="884" t="str">
        <f>'نمونه اولیه'!D6:J6</f>
        <v>Y25-LSD1</v>
      </c>
      <c r="E3" s="884"/>
      <c r="F3" s="884"/>
      <c r="G3" s="872" t="s">
        <v>529</v>
      </c>
      <c r="H3" s="873"/>
      <c r="I3" s="882" t="str">
        <f>'نمونه اولیه'!D7</f>
        <v>0318.000000.0008</v>
      </c>
      <c r="J3" s="882"/>
      <c r="K3" s="882"/>
      <c r="L3" s="883"/>
      <c r="M3" s="491" t="s">
        <v>394</v>
      </c>
      <c r="N3" s="878" t="str">
        <f>فنرپیچی!J9</f>
        <v>54SiCr6</v>
      </c>
      <c r="O3" s="879"/>
      <c r="P3" s="420"/>
      <c r="Q3" s="420"/>
      <c r="R3" s="420"/>
      <c r="S3" s="420"/>
      <c r="T3" s="420"/>
    </row>
    <row r="4" spans="2:30" s="421" customFormat="1" ht="29.25" customHeight="1" x14ac:dyDescent="0.2">
      <c r="B4" s="872" t="s">
        <v>527</v>
      </c>
      <c r="C4" s="873"/>
      <c r="D4" s="873"/>
      <c r="E4" s="873"/>
      <c r="F4" s="873"/>
      <c r="G4" s="872" t="s">
        <v>566</v>
      </c>
      <c r="H4" s="873"/>
      <c r="I4" s="873"/>
      <c r="J4" s="873"/>
      <c r="K4" s="873"/>
      <c r="L4" s="874"/>
      <c r="M4" s="491" t="s">
        <v>395</v>
      </c>
      <c r="N4" s="482" t="s">
        <v>120</v>
      </c>
      <c r="O4" s="483" t="s">
        <v>396</v>
      </c>
      <c r="P4" s="422"/>
      <c r="Q4" s="426" t="s">
        <v>397</v>
      </c>
      <c r="R4" s="426" t="s">
        <v>153</v>
      </c>
      <c r="S4" s="426"/>
      <c r="T4" s="420"/>
    </row>
    <row r="5" spans="2:30" s="421" customFormat="1" ht="29.25" customHeight="1" x14ac:dyDescent="0.2">
      <c r="B5" s="872" t="s">
        <v>565</v>
      </c>
      <c r="C5" s="873"/>
      <c r="D5" s="873"/>
      <c r="E5" s="873"/>
      <c r="F5" s="873"/>
      <c r="G5" s="872" t="s">
        <v>398</v>
      </c>
      <c r="H5" s="873"/>
      <c r="I5" s="873"/>
      <c r="J5" s="873"/>
      <c r="K5" s="873"/>
      <c r="L5" s="874"/>
      <c r="M5" s="491" t="s">
        <v>399</v>
      </c>
      <c r="N5" s="880" t="str">
        <f>'نمونه اولیه'!N8:AD8</f>
        <v xml:space="preserve"> شرکت آروین تبریز</v>
      </c>
      <c r="O5" s="881"/>
      <c r="P5" s="420"/>
      <c r="Q5" s="426" t="s">
        <v>396</v>
      </c>
      <c r="R5" s="426" t="s">
        <v>400</v>
      </c>
      <c r="S5" s="426"/>
      <c r="T5" s="420"/>
    </row>
    <row r="6" spans="2:30" s="421" customFormat="1" ht="29.25" customHeight="1" x14ac:dyDescent="0.2">
      <c r="B6" s="872" t="s">
        <v>530</v>
      </c>
      <c r="C6" s="873"/>
      <c r="D6" s="873"/>
      <c r="E6" s="873"/>
      <c r="F6" s="873"/>
      <c r="G6" s="872" t="s">
        <v>531</v>
      </c>
      <c r="H6" s="873"/>
      <c r="I6" s="873"/>
      <c r="J6" s="873"/>
      <c r="K6" s="873"/>
      <c r="L6" s="874"/>
      <c r="M6" s="872" t="s">
        <v>528</v>
      </c>
      <c r="N6" s="873"/>
      <c r="O6" s="874"/>
      <c r="P6" s="420"/>
      <c r="Q6" s="420"/>
      <c r="R6" s="420"/>
      <c r="S6" s="420"/>
      <c r="T6" s="420"/>
    </row>
    <row r="7" spans="2:30" ht="18.75" customHeight="1" x14ac:dyDescent="0.25">
      <c r="B7" s="894" t="s">
        <v>401</v>
      </c>
      <c r="C7" s="894"/>
      <c r="D7" s="894"/>
      <c r="E7" s="894"/>
      <c r="F7" s="894"/>
      <c r="G7" s="894"/>
      <c r="H7" s="894"/>
      <c r="I7" s="894"/>
      <c r="J7" s="894"/>
      <c r="K7" s="894"/>
      <c r="L7" s="894"/>
      <c r="M7" s="894"/>
      <c r="N7" s="894"/>
      <c r="O7" s="894"/>
    </row>
    <row r="8" spans="2:30" ht="21" customHeight="1" x14ac:dyDescent="0.25">
      <c r="B8" s="895" t="s">
        <v>542</v>
      </c>
      <c r="C8" s="896"/>
      <c r="D8" s="896"/>
      <c r="E8" s="896"/>
      <c r="F8" s="896"/>
      <c r="G8" s="896"/>
      <c r="H8" s="896"/>
      <c r="I8" s="896"/>
      <c r="J8" s="896"/>
      <c r="K8" s="896"/>
      <c r="L8" s="896"/>
      <c r="M8" s="896"/>
      <c r="N8" s="896"/>
      <c r="O8" s="897"/>
    </row>
    <row r="9" spans="2:30" ht="35.25" customHeight="1" x14ac:dyDescent="0.25">
      <c r="B9" s="898"/>
      <c r="C9" s="899"/>
      <c r="D9" s="899"/>
      <c r="E9" s="899"/>
      <c r="F9" s="899"/>
      <c r="G9" s="899"/>
      <c r="H9" s="899"/>
      <c r="I9" s="899"/>
      <c r="J9" s="899"/>
      <c r="K9" s="899"/>
      <c r="L9" s="899"/>
      <c r="M9" s="899"/>
      <c r="N9" s="899"/>
      <c r="O9" s="900"/>
      <c r="P9" s="202"/>
      <c r="Q9" s="202"/>
      <c r="R9" s="202"/>
      <c r="S9" s="202"/>
      <c r="T9" s="202"/>
      <c r="U9" s="200"/>
      <c r="V9" s="200"/>
      <c r="W9" s="200"/>
      <c r="X9" s="200"/>
      <c r="Y9" s="200"/>
      <c r="Z9" s="200"/>
      <c r="AA9" s="200"/>
      <c r="AB9" s="200"/>
      <c r="AC9" s="200"/>
      <c r="AD9" s="200"/>
    </row>
    <row r="10" spans="2:30" ht="18.75" customHeight="1" x14ac:dyDescent="0.25">
      <c r="B10" s="894" t="s">
        <v>544</v>
      </c>
      <c r="C10" s="894"/>
      <c r="D10" s="894"/>
      <c r="E10" s="894"/>
      <c r="F10" s="894"/>
      <c r="G10" s="894"/>
      <c r="H10" s="894"/>
      <c r="I10" s="894"/>
      <c r="J10" s="894"/>
      <c r="K10" s="894"/>
      <c r="L10" s="894"/>
      <c r="M10" s="894"/>
      <c r="N10" s="894"/>
      <c r="O10" s="894"/>
      <c r="P10" s="202"/>
      <c r="Q10" s="202"/>
      <c r="R10" s="202"/>
      <c r="S10" s="202"/>
      <c r="T10" s="202"/>
      <c r="U10" s="200"/>
      <c r="V10" s="200"/>
      <c r="W10" s="200"/>
      <c r="X10" s="200"/>
      <c r="Y10" s="200"/>
      <c r="Z10" s="200"/>
      <c r="AA10" s="200"/>
      <c r="AB10" s="200"/>
      <c r="AC10" s="200"/>
      <c r="AD10" s="200"/>
    </row>
    <row r="11" spans="2:30" ht="18.75" customHeight="1" x14ac:dyDescent="0.25">
      <c r="B11" s="895" t="s">
        <v>403</v>
      </c>
      <c r="C11" s="896"/>
      <c r="D11" s="896"/>
      <c r="E11" s="896"/>
      <c r="F11" s="896"/>
      <c r="G11" s="896"/>
      <c r="H11" s="896"/>
      <c r="I11" s="896"/>
      <c r="J11" s="896"/>
      <c r="K11" s="896"/>
      <c r="L11" s="896"/>
      <c r="M11" s="896"/>
      <c r="N11" s="896"/>
      <c r="O11" s="897"/>
      <c r="P11" s="390"/>
      <c r="Q11" s="390"/>
      <c r="R11" s="391"/>
      <c r="S11" s="391"/>
      <c r="T11" s="391"/>
      <c r="U11" s="392"/>
      <c r="V11" s="392"/>
      <c r="W11" s="392"/>
      <c r="X11" s="392"/>
      <c r="Y11" s="392"/>
      <c r="Z11" s="392"/>
      <c r="AA11" s="200"/>
      <c r="AB11" s="200"/>
      <c r="AC11" s="200"/>
      <c r="AD11" s="200"/>
    </row>
    <row r="12" spans="2:30" ht="18.75" customHeight="1" x14ac:dyDescent="0.25">
      <c r="B12" s="895"/>
      <c r="C12" s="896"/>
      <c r="D12" s="896"/>
      <c r="E12" s="896"/>
      <c r="F12" s="896"/>
      <c r="G12" s="896"/>
      <c r="H12" s="896"/>
      <c r="I12" s="896"/>
      <c r="J12" s="896"/>
      <c r="K12" s="896"/>
      <c r="L12" s="896"/>
      <c r="M12" s="896"/>
      <c r="N12" s="896"/>
      <c r="O12" s="897"/>
      <c r="P12" s="390"/>
      <c r="Q12" s="390"/>
      <c r="R12" s="391"/>
      <c r="S12" s="391"/>
      <c r="T12" s="391"/>
      <c r="U12" s="392"/>
      <c r="V12" s="392"/>
      <c r="W12" s="392"/>
      <c r="X12" s="392"/>
      <c r="Y12" s="392"/>
      <c r="Z12" s="392"/>
      <c r="AA12" s="200"/>
      <c r="AB12" s="200"/>
      <c r="AC12" s="200"/>
      <c r="AD12" s="200"/>
    </row>
    <row r="13" spans="2:30" ht="18.75" customHeight="1" x14ac:dyDescent="0.25">
      <c r="B13" s="895"/>
      <c r="C13" s="896"/>
      <c r="D13" s="896"/>
      <c r="E13" s="896"/>
      <c r="F13" s="896"/>
      <c r="G13" s="896"/>
      <c r="H13" s="896"/>
      <c r="I13" s="896"/>
      <c r="J13" s="896"/>
      <c r="K13" s="896"/>
      <c r="L13" s="896"/>
      <c r="M13" s="896"/>
      <c r="N13" s="896"/>
      <c r="O13" s="897"/>
      <c r="P13" s="391"/>
      <c r="Q13" s="391"/>
      <c r="R13" s="391"/>
      <c r="S13" s="391"/>
      <c r="T13" s="391"/>
      <c r="U13" s="392"/>
      <c r="V13" s="392"/>
      <c r="W13" s="392"/>
      <c r="X13" s="392"/>
      <c r="Y13" s="392"/>
      <c r="Z13" s="392"/>
      <c r="AA13" s="200"/>
      <c r="AB13" s="200"/>
      <c r="AC13" s="200"/>
      <c r="AD13" s="200"/>
    </row>
    <row r="14" spans="2:30" ht="4.5" customHeight="1" x14ac:dyDescent="0.25">
      <c r="B14" s="901"/>
      <c r="C14" s="901"/>
      <c r="D14" s="901"/>
      <c r="E14" s="901"/>
      <c r="F14" s="901"/>
      <c r="G14" s="901"/>
      <c r="H14" s="901"/>
      <c r="I14" s="901"/>
      <c r="J14" s="901"/>
      <c r="K14" s="901"/>
      <c r="L14" s="901"/>
      <c r="M14" s="901"/>
      <c r="N14" s="901"/>
      <c r="O14" s="901"/>
      <c r="P14" s="202"/>
      <c r="Q14" s="202"/>
      <c r="R14" s="202"/>
      <c r="S14" s="202"/>
      <c r="T14" s="202"/>
      <c r="U14" s="200"/>
      <c r="V14" s="200"/>
      <c r="W14" s="200"/>
      <c r="X14" s="200"/>
      <c r="Y14" s="200"/>
      <c r="Z14" s="200"/>
      <c r="AA14" s="200"/>
      <c r="AB14" s="200"/>
      <c r="AC14" s="200"/>
      <c r="AD14" s="200"/>
    </row>
    <row r="15" spans="2:30" ht="25.5" customHeight="1" x14ac:dyDescent="0.25">
      <c r="B15" s="885" t="s">
        <v>404</v>
      </c>
      <c r="C15" s="886" t="s">
        <v>106</v>
      </c>
      <c r="D15" s="887"/>
      <c r="E15" s="890" t="s">
        <v>405</v>
      </c>
      <c r="F15" s="886" t="s">
        <v>406</v>
      </c>
      <c r="G15" s="891"/>
      <c r="H15" s="887"/>
      <c r="I15" s="893" t="s">
        <v>407</v>
      </c>
      <c r="J15" s="893" t="s">
        <v>408</v>
      </c>
      <c r="K15" s="893" t="s">
        <v>409</v>
      </c>
      <c r="L15" s="893"/>
      <c r="M15" s="893" t="s">
        <v>410</v>
      </c>
      <c r="N15" s="893"/>
      <c r="O15" s="893" t="s">
        <v>411</v>
      </c>
      <c r="P15" s="202"/>
      <c r="Q15" s="202"/>
      <c r="R15" s="202"/>
      <c r="S15" s="202"/>
      <c r="T15" s="202"/>
      <c r="U15" s="200"/>
      <c r="V15" s="200"/>
      <c r="W15" s="200"/>
      <c r="X15" s="200"/>
      <c r="Y15" s="200"/>
      <c r="Z15" s="200"/>
      <c r="AA15" s="200"/>
      <c r="AB15" s="200"/>
      <c r="AC15" s="200"/>
      <c r="AD15" s="200"/>
    </row>
    <row r="16" spans="2:30" ht="25.5" customHeight="1" x14ac:dyDescent="0.25">
      <c r="B16" s="885"/>
      <c r="C16" s="888"/>
      <c r="D16" s="889"/>
      <c r="E16" s="890"/>
      <c r="F16" s="888"/>
      <c r="G16" s="892"/>
      <c r="H16" s="889"/>
      <c r="I16" s="893"/>
      <c r="J16" s="893"/>
      <c r="K16" s="893"/>
      <c r="L16" s="893"/>
      <c r="M16" s="484" t="s">
        <v>248</v>
      </c>
      <c r="N16" s="484" t="s">
        <v>412</v>
      </c>
      <c r="O16" s="893"/>
      <c r="Q16" s="3" t="s">
        <v>97</v>
      </c>
      <c r="R16" s="425" t="s">
        <v>374</v>
      </c>
      <c r="S16" s="3" t="s">
        <v>254</v>
      </c>
    </row>
    <row r="17" spans="2:36" ht="27" customHeight="1" x14ac:dyDescent="0.25">
      <c r="B17" s="393">
        <v>1</v>
      </c>
      <c r="C17" s="902" t="s">
        <v>36</v>
      </c>
      <c r="D17" s="903"/>
      <c r="E17" s="495" t="s">
        <v>418</v>
      </c>
      <c r="F17" s="904" t="str">
        <f>IF(Q17="",'نمونه اولیه'!I11,CONCATENATE(Q17,R17,S17))</f>
        <v>7 ± 0.15</v>
      </c>
      <c r="G17" s="905"/>
      <c r="H17" s="906"/>
      <c r="I17" s="486" t="s">
        <v>414</v>
      </c>
      <c r="J17" s="486" t="s">
        <v>415</v>
      </c>
      <c r="K17" s="907" t="s">
        <v>416</v>
      </c>
      <c r="L17" s="907"/>
      <c r="M17" s="485">
        <v>100</v>
      </c>
      <c r="N17" s="485">
        <v>100</v>
      </c>
      <c r="O17" s="486" t="s">
        <v>417</v>
      </c>
      <c r="Q17" s="3"/>
      <c r="R17" s="423" t="s">
        <v>532</v>
      </c>
      <c r="S17" s="3"/>
      <c r="T17" s="3" t="s">
        <v>36</v>
      </c>
    </row>
    <row r="18" spans="2:36" ht="27" customHeight="1" x14ac:dyDescent="0.25">
      <c r="B18" s="393">
        <v>2</v>
      </c>
      <c r="C18" s="902" t="s">
        <v>11</v>
      </c>
      <c r="D18" s="903"/>
      <c r="E18" s="495" t="s">
        <v>418</v>
      </c>
      <c r="F18" s="904" t="str">
        <f>IF(Q18="",CONCATENATE(فنرپیچی!J13,"±",5),CONCATENATE(Q18,R18,S18))</f>
        <v>3050±5</v>
      </c>
      <c r="G18" s="905"/>
      <c r="H18" s="906"/>
      <c r="I18" s="486" t="s">
        <v>414</v>
      </c>
      <c r="J18" s="486" t="s">
        <v>419</v>
      </c>
      <c r="K18" s="907" t="s">
        <v>420</v>
      </c>
      <c r="L18" s="907"/>
      <c r="M18" s="485">
        <v>100</v>
      </c>
      <c r="N18" s="485">
        <v>100</v>
      </c>
      <c r="O18" s="486" t="s">
        <v>417</v>
      </c>
      <c r="Q18" s="3"/>
      <c r="R18" s="423" t="s">
        <v>532</v>
      </c>
      <c r="S18" s="3"/>
      <c r="T18" s="3" t="s">
        <v>11</v>
      </c>
    </row>
    <row r="19" spans="2:36" ht="27" customHeight="1" x14ac:dyDescent="0.25">
      <c r="B19" s="393">
        <v>3</v>
      </c>
      <c r="C19" s="902" t="s">
        <v>421</v>
      </c>
      <c r="D19" s="903"/>
      <c r="E19" s="495" t="s">
        <v>418</v>
      </c>
      <c r="F19" s="908" t="str">
        <f>'نمونه اولیه'!I21</f>
        <v>L.H</v>
      </c>
      <c r="G19" s="909"/>
      <c r="H19" s="910"/>
      <c r="I19" s="486" t="s">
        <v>422</v>
      </c>
      <c r="J19" s="486" t="s">
        <v>423</v>
      </c>
      <c r="K19" s="911" t="s">
        <v>424</v>
      </c>
      <c r="L19" s="911"/>
      <c r="M19" s="485">
        <v>1</v>
      </c>
      <c r="N19" s="485" t="s">
        <v>425</v>
      </c>
      <c r="O19" s="486" t="s">
        <v>426</v>
      </c>
      <c r="Q19" s="3" t="s">
        <v>97</v>
      </c>
      <c r="R19" s="425" t="s">
        <v>374</v>
      </c>
      <c r="S19" s="3" t="s">
        <v>254</v>
      </c>
    </row>
    <row r="20" spans="2:36" ht="27" customHeight="1" x14ac:dyDescent="0.25">
      <c r="B20" s="393">
        <v>4</v>
      </c>
      <c r="C20" s="902" t="s">
        <v>427</v>
      </c>
      <c r="D20" s="903"/>
      <c r="E20" s="495" t="s">
        <v>418</v>
      </c>
      <c r="F20" s="912" t="str">
        <f>CONCATENATE(Q20,R20,S20)</f>
        <v>±</v>
      </c>
      <c r="G20" s="913" t="str">
        <f>[3]HyperLink!I5</f>
        <v>±</v>
      </c>
      <c r="H20" s="914">
        <v>570</v>
      </c>
      <c r="I20" s="486" t="s">
        <v>414</v>
      </c>
      <c r="J20" s="486" t="s">
        <v>428</v>
      </c>
      <c r="K20" s="907" t="s">
        <v>420</v>
      </c>
      <c r="L20" s="907"/>
      <c r="M20" s="485">
        <v>1</v>
      </c>
      <c r="N20" s="485">
        <v>5</v>
      </c>
      <c r="O20" s="485" t="s">
        <v>429</v>
      </c>
      <c r="Q20" s="3"/>
      <c r="R20" s="423" t="s">
        <v>532</v>
      </c>
      <c r="S20" s="3"/>
      <c r="T20" s="3" t="s">
        <v>427</v>
      </c>
    </row>
    <row r="21" spans="2:36" ht="27" customHeight="1" x14ac:dyDescent="0.25">
      <c r="B21" s="393">
        <v>5</v>
      </c>
      <c r="C21" s="902" t="s">
        <v>70</v>
      </c>
      <c r="D21" s="903"/>
      <c r="E21" s="495" t="s">
        <v>418</v>
      </c>
      <c r="F21" s="904" t="str">
        <f>IF(Q21="",'نمونه اولیه'!I15,CONCATENATE(Q21,R21,S21))</f>
        <v>5.7 ± 0</v>
      </c>
      <c r="G21" s="905"/>
      <c r="H21" s="906"/>
      <c r="I21" s="486" t="s">
        <v>414</v>
      </c>
      <c r="J21" s="486" t="s">
        <v>423</v>
      </c>
      <c r="K21" s="911" t="s">
        <v>430</v>
      </c>
      <c r="L21" s="911"/>
      <c r="M21" s="485">
        <v>1</v>
      </c>
      <c r="N21" s="485">
        <v>50</v>
      </c>
      <c r="O21" s="486" t="s">
        <v>431</v>
      </c>
      <c r="Q21" s="3"/>
      <c r="R21" s="423" t="s">
        <v>532</v>
      </c>
      <c r="S21" s="3"/>
      <c r="T21" s="3" t="s">
        <v>70</v>
      </c>
    </row>
    <row r="22" spans="2:36" ht="27" customHeight="1" x14ac:dyDescent="0.25">
      <c r="B22" s="393">
        <v>6</v>
      </c>
      <c r="C22" s="902" t="s">
        <v>432</v>
      </c>
      <c r="D22" s="903"/>
      <c r="E22" s="495" t="s">
        <v>418</v>
      </c>
      <c r="F22" s="904" t="str">
        <f>IF(Q22="",'نمونه اولیه'!I13,CONCATENATE(Q22,R22,S22))</f>
        <v>194 ± 3.3</v>
      </c>
      <c r="G22" s="905"/>
      <c r="H22" s="906"/>
      <c r="I22" s="486" t="s">
        <v>414</v>
      </c>
      <c r="J22" s="486" t="s">
        <v>415</v>
      </c>
      <c r="K22" s="907" t="s">
        <v>416</v>
      </c>
      <c r="L22" s="907"/>
      <c r="M22" s="485">
        <v>1</v>
      </c>
      <c r="N22" s="485">
        <v>50</v>
      </c>
      <c r="O22" s="486" t="s">
        <v>431</v>
      </c>
      <c r="P22" s="418"/>
      <c r="Q22" s="3"/>
      <c r="R22" s="423" t="s">
        <v>532</v>
      </c>
      <c r="S22" s="3"/>
      <c r="T22" s="3" t="s">
        <v>533</v>
      </c>
    </row>
    <row r="23" spans="2:36" s="151" customFormat="1" ht="27" customHeight="1" x14ac:dyDescent="0.25">
      <c r="B23" s="393">
        <v>7</v>
      </c>
      <c r="C23" s="902" t="s">
        <v>434</v>
      </c>
      <c r="D23" s="903"/>
      <c r="E23" s="495" t="s">
        <v>418</v>
      </c>
      <c r="F23" s="902" t="s">
        <v>435</v>
      </c>
      <c r="G23" s="915"/>
      <c r="H23" s="903"/>
      <c r="I23" s="486" t="s">
        <v>414</v>
      </c>
      <c r="J23" s="486" t="s">
        <v>415</v>
      </c>
      <c r="K23" s="907" t="s">
        <v>416</v>
      </c>
      <c r="L23" s="907"/>
      <c r="M23" s="485">
        <v>1</v>
      </c>
      <c r="N23" s="485">
        <v>50</v>
      </c>
      <c r="O23" s="486" t="s">
        <v>431</v>
      </c>
      <c r="P23" s="4"/>
      <c r="Q23" s="202"/>
      <c r="R23" s="424"/>
      <c r="S23" s="202"/>
      <c r="T23" s="4"/>
      <c r="U23" s="118"/>
      <c r="V23" s="118"/>
      <c r="W23" s="118"/>
      <c r="X23" s="118"/>
      <c r="Y23" s="118"/>
      <c r="Z23" s="118"/>
      <c r="AA23" s="118"/>
      <c r="AB23" s="118"/>
      <c r="AC23" s="118"/>
      <c r="AD23" s="118"/>
      <c r="AE23" s="118"/>
      <c r="AF23" s="118"/>
      <c r="AG23" s="118"/>
      <c r="AH23" s="118"/>
      <c r="AI23" s="118"/>
      <c r="AJ23" s="118"/>
    </row>
    <row r="24" spans="2:36" s="151" customFormat="1" ht="27" customHeight="1" x14ac:dyDescent="0.25">
      <c r="B24" s="394">
        <v>8</v>
      </c>
      <c r="C24" s="902" t="s">
        <v>534</v>
      </c>
      <c r="D24" s="903"/>
      <c r="E24" s="495" t="s">
        <v>418</v>
      </c>
      <c r="F24" s="902" t="str">
        <f>'نمونه اولیه'!I17</f>
        <v>بسته و سنگ خورده</v>
      </c>
      <c r="G24" s="915"/>
      <c r="H24" s="903"/>
      <c r="I24" s="395" t="s">
        <v>422</v>
      </c>
      <c r="J24" s="395" t="s">
        <v>423</v>
      </c>
      <c r="K24" s="907" t="s">
        <v>124</v>
      </c>
      <c r="L24" s="907"/>
      <c r="M24" s="487">
        <v>1</v>
      </c>
      <c r="N24" s="487" t="s">
        <v>425</v>
      </c>
      <c r="O24" s="395" t="s">
        <v>431</v>
      </c>
      <c r="P24" s="4"/>
      <c r="Q24" s="202"/>
      <c r="R24" s="424"/>
      <c r="S24" s="202"/>
      <c r="T24" s="4"/>
      <c r="U24" s="118"/>
      <c r="V24" s="118"/>
      <c r="W24" s="118"/>
      <c r="X24" s="118"/>
      <c r="Y24" s="118"/>
      <c r="Z24" s="118"/>
      <c r="AA24" s="118"/>
      <c r="AB24" s="118"/>
      <c r="AC24" s="118"/>
      <c r="AD24" s="118"/>
      <c r="AE24" s="118"/>
      <c r="AF24" s="118"/>
      <c r="AG24" s="118"/>
      <c r="AH24" s="118"/>
      <c r="AI24" s="118"/>
      <c r="AJ24" s="118"/>
    </row>
    <row r="25" spans="2:36" s="151" customFormat="1" ht="27" customHeight="1" x14ac:dyDescent="0.25">
      <c r="B25" s="394">
        <v>9</v>
      </c>
      <c r="C25" s="920" t="s">
        <v>535</v>
      </c>
      <c r="D25" s="921"/>
      <c r="E25" s="495" t="s">
        <v>418</v>
      </c>
      <c r="F25" s="922" t="str">
        <f>'نمونه اولیه'!I18</f>
        <v>بسته و سنگ خورده</v>
      </c>
      <c r="G25" s="923"/>
      <c r="H25" s="924"/>
      <c r="I25" s="395" t="s">
        <v>422</v>
      </c>
      <c r="J25" s="395" t="s">
        <v>423</v>
      </c>
      <c r="K25" s="925" t="s">
        <v>124</v>
      </c>
      <c r="L25" s="925"/>
      <c r="M25" s="487">
        <v>1</v>
      </c>
      <c r="N25" s="487" t="s">
        <v>425</v>
      </c>
      <c r="O25" s="395" t="s">
        <v>431</v>
      </c>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21" customHeight="1" x14ac:dyDescent="0.25">
      <c r="B26" s="932" t="s">
        <v>564</v>
      </c>
      <c r="C26" s="933"/>
      <c r="D26" s="933"/>
      <c r="E26" s="933"/>
      <c r="F26" s="933"/>
      <c r="G26" s="933"/>
      <c r="H26" s="933"/>
      <c r="I26" s="933"/>
      <c r="J26" s="933"/>
      <c r="K26" s="933"/>
      <c r="L26" s="933"/>
      <c r="M26" s="933"/>
      <c r="N26" s="933"/>
      <c r="O26" s="934"/>
      <c r="P26" s="4"/>
      <c r="Q26" s="4"/>
      <c r="R26" s="4"/>
      <c r="S26" s="4"/>
      <c r="T26" s="4"/>
      <c r="U26" s="118"/>
      <c r="V26" s="118"/>
      <c r="W26" s="118"/>
      <c r="X26" s="118"/>
      <c r="Y26" s="118"/>
      <c r="Z26" s="118"/>
      <c r="AA26" s="118"/>
      <c r="AB26" s="118"/>
      <c r="AC26" s="118"/>
      <c r="AD26" s="118"/>
      <c r="AE26" s="118"/>
      <c r="AF26" s="118"/>
      <c r="AG26" s="118"/>
      <c r="AH26" s="118"/>
      <c r="AI26" s="118"/>
      <c r="AJ26" s="118"/>
    </row>
    <row r="27" spans="2:36" s="151" customFormat="1" ht="27" customHeight="1" x14ac:dyDescent="0.25">
      <c r="B27" s="401">
        <v>1</v>
      </c>
      <c r="C27" s="926" t="s">
        <v>436</v>
      </c>
      <c r="D27" s="927"/>
      <c r="E27" s="496" t="s">
        <v>413</v>
      </c>
      <c r="F27" s="928">
        <f>فنرپیچی!J15</f>
        <v>131</v>
      </c>
      <c r="G27" s="929"/>
      <c r="H27" s="930"/>
      <c r="I27" s="444" t="s">
        <v>414</v>
      </c>
      <c r="J27" s="444" t="s">
        <v>415</v>
      </c>
      <c r="K27" s="931" t="s">
        <v>416</v>
      </c>
      <c r="L27" s="931"/>
      <c r="M27" s="488">
        <v>1</v>
      </c>
      <c r="N27" s="488" t="s">
        <v>425</v>
      </c>
      <c r="O27" s="444" t="s">
        <v>437</v>
      </c>
      <c r="P27" s="4"/>
      <c r="Q27" s="4"/>
      <c r="R27" s="4"/>
      <c r="S27" s="4"/>
      <c r="T27" s="4"/>
      <c r="U27" s="118"/>
      <c r="V27" s="118"/>
      <c r="W27" s="118"/>
      <c r="X27" s="118"/>
      <c r="Y27" s="118"/>
      <c r="Z27" s="118"/>
      <c r="AA27" s="118"/>
      <c r="AB27" s="118"/>
      <c r="AC27" s="118"/>
      <c r="AD27" s="118"/>
      <c r="AE27" s="118"/>
      <c r="AF27" s="118"/>
      <c r="AG27" s="118"/>
      <c r="AH27" s="118"/>
      <c r="AI27" s="118"/>
      <c r="AJ27" s="118"/>
    </row>
    <row r="28" spans="2:36" s="151" customFormat="1" ht="27" customHeight="1" x14ac:dyDescent="0.25">
      <c r="B28" s="393">
        <v>2</v>
      </c>
      <c r="C28" s="902" t="s">
        <v>438</v>
      </c>
      <c r="D28" s="903"/>
      <c r="E28" s="495" t="s">
        <v>418</v>
      </c>
      <c r="F28" s="939" t="s">
        <v>439</v>
      </c>
      <c r="G28" s="940"/>
      <c r="H28" s="941"/>
      <c r="I28" s="486" t="s">
        <v>414</v>
      </c>
      <c r="J28" s="486" t="s">
        <v>415</v>
      </c>
      <c r="K28" s="907" t="s">
        <v>416</v>
      </c>
      <c r="L28" s="907"/>
      <c r="M28" s="485">
        <v>1</v>
      </c>
      <c r="N28" s="485" t="s">
        <v>425</v>
      </c>
      <c r="O28" s="486" t="s">
        <v>440</v>
      </c>
      <c r="P28" s="4"/>
      <c r="Q28" s="4"/>
      <c r="R28" s="4"/>
      <c r="S28" s="4"/>
      <c r="T28" s="4"/>
      <c r="U28" s="118"/>
      <c r="V28" s="118"/>
      <c r="W28" s="118"/>
      <c r="X28" s="118"/>
      <c r="Y28" s="118"/>
      <c r="Z28" s="118"/>
      <c r="AA28" s="118"/>
      <c r="AB28" s="118"/>
      <c r="AC28" s="118"/>
      <c r="AD28" s="118"/>
      <c r="AE28" s="118"/>
      <c r="AF28" s="118"/>
      <c r="AG28" s="118"/>
      <c r="AH28" s="118"/>
      <c r="AI28" s="118"/>
      <c r="AJ28" s="118"/>
    </row>
    <row r="29" spans="2:36" s="151" customFormat="1" ht="27" customHeight="1" x14ac:dyDescent="0.25">
      <c r="B29" s="393">
        <v>3</v>
      </c>
      <c r="C29" s="902" t="s">
        <v>441</v>
      </c>
      <c r="D29" s="903"/>
      <c r="E29" s="495" t="s">
        <v>433</v>
      </c>
      <c r="F29" s="916" t="s">
        <v>442</v>
      </c>
      <c r="G29" s="917"/>
      <c r="H29" s="918"/>
      <c r="I29" s="486" t="s">
        <v>422</v>
      </c>
      <c r="J29" s="486" t="s">
        <v>423</v>
      </c>
      <c r="K29" s="919" t="s">
        <v>424</v>
      </c>
      <c r="L29" s="919"/>
      <c r="M29" s="485">
        <v>100</v>
      </c>
      <c r="N29" s="485">
        <v>100</v>
      </c>
      <c r="O29" s="486" t="s">
        <v>443</v>
      </c>
      <c r="P29" s="4"/>
      <c r="Q29" s="4"/>
      <c r="R29" s="4"/>
      <c r="S29" s="4"/>
      <c r="T29" s="4"/>
      <c r="U29" s="118"/>
      <c r="V29" s="118"/>
      <c r="W29" s="118"/>
      <c r="X29" s="118"/>
      <c r="Y29" s="118"/>
      <c r="Z29" s="118"/>
      <c r="AA29" s="118"/>
      <c r="AB29" s="118"/>
      <c r="AC29" s="118"/>
      <c r="AD29" s="118"/>
      <c r="AE29" s="118"/>
      <c r="AF29" s="118"/>
      <c r="AG29" s="118"/>
      <c r="AH29" s="118"/>
      <c r="AI29" s="118"/>
      <c r="AJ29" s="118"/>
    </row>
    <row r="30" spans="2:36" s="151" customFormat="1" ht="27" customHeight="1" x14ac:dyDescent="0.25">
      <c r="B30" s="393">
        <v>4</v>
      </c>
      <c r="C30" s="946" t="s">
        <v>444</v>
      </c>
      <c r="D30" s="947"/>
      <c r="E30" s="495" t="s">
        <v>413</v>
      </c>
      <c r="F30" s="916" t="str">
        <f>فنرپیچی!J11</f>
        <v>267</v>
      </c>
      <c r="G30" s="917"/>
      <c r="H30" s="918"/>
      <c r="I30" s="486" t="s">
        <v>422</v>
      </c>
      <c r="J30" s="486" t="s">
        <v>423</v>
      </c>
      <c r="K30" s="919" t="s">
        <v>424</v>
      </c>
      <c r="L30" s="919"/>
      <c r="M30" s="485">
        <v>1</v>
      </c>
      <c r="N30" s="485" t="s">
        <v>425</v>
      </c>
      <c r="O30" s="486" t="s">
        <v>445</v>
      </c>
      <c r="P30" s="4"/>
      <c r="Q30" s="4"/>
      <c r="R30" s="4"/>
      <c r="S30" s="4"/>
      <c r="T30" s="4"/>
      <c r="U30" s="118"/>
      <c r="V30" s="118"/>
      <c r="W30" s="118"/>
      <c r="X30" s="118"/>
      <c r="Y30" s="118"/>
      <c r="Z30" s="118"/>
      <c r="AA30" s="118"/>
      <c r="AB30" s="118"/>
      <c r="AC30" s="118"/>
      <c r="AD30" s="118"/>
      <c r="AE30" s="118"/>
      <c r="AF30" s="118"/>
      <c r="AG30" s="118"/>
      <c r="AH30" s="118"/>
      <c r="AI30" s="118"/>
      <c r="AJ30" s="118"/>
    </row>
    <row r="31" spans="2:36" s="151" customFormat="1" ht="27" customHeight="1" x14ac:dyDescent="0.25">
      <c r="B31" s="393">
        <v>5</v>
      </c>
      <c r="C31" s="902" t="s">
        <v>446</v>
      </c>
      <c r="D31" s="903"/>
      <c r="E31" s="495" t="s">
        <v>418</v>
      </c>
      <c r="F31" s="902" t="s">
        <v>447</v>
      </c>
      <c r="G31" s="915"/>
      <c r="H31" s="903"/>
      <c r="I31" s="486" t="s">
        <v>422</v>
      </c>
      <c r="J31" s="486" t="s">
        <v>423</v>
      </c>
      <c r="K31" s="919" t="s">
        <v>424</v>
      </c>
      <c r="L31" s="919"/>
      <c r="M31" s="485">
        <v>1</v>
      </c>
      <c r="N31" s="485" t="s">
        <v>425</v>
      </c>
      <c r="O31" s="486" t="s">
        <v>448</v>
      </c>
      <c r="P31" s="4"/>
      <c r="Q31" s="4"/>
      <c r="R31" s="4"/>
      <c r="S31" s="4"/>
      <c r="T31" s="4"/>
      <c r="U31" s="118"/>
      <c r="V31" s="118"/>
      <c r="W31" s="118"/>
      <c r="X31" s="118"/>
      <c r="Y31" s="118"/>
      <c r="Z31" s="118"/>
      <c r="AA31" s="118"/>
      <c r="AB31" s="118"/>
      <c r="AC31" s="118"/>
      <c r="AD31" s="118"/>
      <c r="AE31" s="118"/>
      <c r="AF31" s="118"/>
      <c r="AG31" s="118"/>
      <c r="AH31" s="118"/>
      <c r="AI31" s="118"/>
      <c r="AJ31" s="118"/>
    </row>
    <row r="32" spans="2:36" s="151" customFormat="1" ht="27" customHeight="1" x14ac:dyDescent="0.25">
      <c r="B32" s="393">
        <v>6</v>
      </c>
      <c r="C32" s="902" t="s">
        <v>449</v>
      </c>
      <c r="D32" s="903"/>
      <c r="E32" s="495" t="s">
        <v>418</v>
      </c>
      <c r="F32" s="916" t="s">
        <v>450</v>
      </c>
      <c r="G32" s="917"/>
      <c r="H32" s="918"/>
      <c r="I32" s="486" t="s">
        <v>422</v>
      </c>
      <c r="J32" s="486" t="s">
        <v>451</v>
      </c>
      <c r="K32" s="945" t="s">
        <v>452</v>
      </c>
      <c r="L32" s="945"/>
      <c r="M32" s="485">
        <v>1</v>
      </c>
      <c r="N32" s="486" t="s">
        <v>453</v>
      </c>
      <c r="O32" s="486" t="s">
        <v>454</v>
      </c>
      <c r="P32" s="4"/>
      <c r="Q32" s="3" t="s">
        <v>97</v>
      </c>
      <c r="R32" s="425" t="s">
        <v>374</v>
      </c>
      <c r="S32" s="3" t="s">
        <v>254</v>
      </c>
      <c r="T32" s="4"/>
      <c r="U32" s="118"/>
      <c r="V32" s="118"/>
      <c r="W32" s="118"/>
      <c r="X32" s="118"/>
      <c r="Y32" s="118"/>
      <c r="Z32" s="118"/>
      <c r="AA32" s="118"/>
      <c r="AB32" s="118"/>
      <c r="AC32" s="118"/>
      <c r="AD32" s="118"/>
      <c r="AE32" s="118"/>
      <c r="AF32" s="118"/>
      <c r="AG32" s="118"/>
      <c r="AH32" s="118"/>
      <c r="AI32" s="118"/>
      <c r="AJ32" s="118"/>
    </row>
    <row r="33" spans="2:36" s="151" customFormat="1" ht="27" customHeight="1" x14ac:dyDescent="0.25">
      <c r="B33" s="393">
        <v>7</v>
      </c>
      <c r="C33" s="902" t="s">
        <v>455</v>
      </c>
      <c r="D33" s="903"/>
      <c r="E33" s="495" t="s">
        <v>413</v>
      </c>
      <c r="F33" s="904" t="str">
        <f>CONCATENATE(Q33,R33,S33)</f>
        <v>870±10</v>
      </c>
      <c r="G33" s="905"/>
      <c r="H33" s="906"/>
      <c r="I33" s="486" t="s">
        <v>422</v>
      </c>
      <c r="J33" s="486" t="s">
        <v>456</v>
      </c>
      <c r="K33" s="945" t="s">
        <v>452</v>
      </c>
      <c r="L33" s="945"/>
      <c r="M33" s="485">
        <v>100</v>
      </c>
      <c r="N33" s="485">
        <v>100</v>
      </c>
      <c r="O33" s="486" t="s">
        <v>457</v>
      </c>
      <c r="P33" s="4"/>
      <c r="Q33" s="3">
        <f>فنرپیچی!AL18</f>
        <v>870</v>
      </c>
      <c r="R33" s="423" t="s">
        <v>532</v>
      </c>
      <c r="S33" s="3">
        <v>10</v>
      </c>
      <c r="T33" s="3" t="s">
        <v>538</v>
      </c>
      <c r="U33" s="118"/>
      <c r="V33" s="118"/>
      <c r="W33" s="118"/>
      <c r="X33" s="118"/>
      <c r="Y33" s="118"/>
      <c r="Z33" s="118"/>
      <c r="AA33" s="118"/>
      <c r="AB33" s="118"/>
      <c r="AC33" s="118"/>
      <c r="AD33" s="118"/>
      <c r="AE33" s="118"/>
      <c r="AF33" s="118"/>
      <c r="AG33" s="118"/>
      <c r="AH33" s="118"/>
      <c r="AI33" s="118"/>
      <c r="AJ33" s="118"/>
    </row>
    <row r="34" spans="2:36" s="151" customFormat="1" ht="27" customHeight="1" x14ac:dyDescent="0.25">
      <c r="B34" s="393">
        <v>8</v>
      </c>
      <c r="C34" s="902" t="s">
        <v>458</v>
      </c>
      <c r="D34" s="903"/>
      <c r="E34" s="495" t="s">
        <v>413</v>
      </c>
      <c r="F34" s="904" t="str">
        <f>CONCATENATE(Q34,R34,S34)</f>
        <v>14±0</v>
      </c>
      <c r="G34" s="905"/>
      <c r="H34" s="906"/>
      <c r="I34" s="486" t="s">
        <v>414</v>
      </c>
      <c r="J34" s="486" t="s">
        <v>459</v>
      </c>
      <c r="K34" s="945" t="s">
        <v>460</v>
      </c>
      <c r="L34" s="945"/>
      <c r="M34" s="485">
        <v>100</v>
      </c>
      <c r="N34" s="485">
        <v>100</v>
      </c>
      <c r="O34" s="486" t="s">
        <v>461</v>
      </c>
      <c r="P34" s="4"/>
      <c r="Q34" s="3">
        <f>'نمونه اولیه'!AE11*2</f>
        <v>14</v>
      </c>
      <c r="R34" s="423" t="s">
        <v>532</v>
      </c>
      <c r="S34" s="3">
        <f>ROUNDDOWN(Q34*0.05,0)</f>
        <v>0</v>
      </c>
      <c r="T34" s="3" t="s">
        <v>536</v>
      </c>
      <c r="U34" s="118"/>
      <c r="V34" s="118"/>
      <c r="W34" s="118"/>
      <c r="X34" s="118"/>
      <c r="Y34" s="118"/>
      <c r="Z34" s="118"/>
      <c r="AA34" s="118"/>
      <c r="AB34" s="118"/>
      <c r="AC34" s="118"/>
      <c r="AD34" s="118"/>
      <c r="AE34" s="118"/>
      <c r="AF34" s="118"/>
      <c r="AG34" s="118"/>
      <c r="AH34" s="118"/>
      <c r="AI34" s="118"/>
      <c r="AJ34" s="118"/>
    </row>
    <row r="35" spans="2:36" s="151" customFormat="1" ht="27" customHeight="1" x14ac:dyDescent="0.25">
      <c r="B35" s="393">
        <v>9</v>
      </c>
      <c r="C35" s="902" t="s">
        <v>462</v>
      </c>
      <c r="D35" s="903"/>
      <c r="E35" s="495" t="s">
        <v>418</v>
      </c>
      <c r="F35" s="904" t="str">
        <f t="shared" ref="F35" si="0">CONCATENATE(Q35,R35,S35)</f>
        <v>4±1</v>
      </c>
      <c r="G35" s="905"/>
      <c r="H35" s="906"/>
      <c r="I35" s="486" t="s">
        <v>414</v>
      </c>
      <c r="J35" s="486" t="s">
        <v>459</v>
      </c>
      <c r="K35" s="945" t="s">
        <v>460</v>
      </c>
      <c r="L35" s="945"/>
      <c r="M35" s="485">
        <v>1</v>
      </c>
      <c r="N35" s="485" t="s">
        <v>425</v>
      </c>
      <c r="O35" s="486" t="s">
        <v>463</v>
      </c>
      <c r="P35" s="4"/>
      <c r="Q35" s="3">
        <f>ROUNDUP('نمونه اولیه'!AE11/2,0)</f>
        <v>4</v>
      </c>
      <c r="R35" s="423" t="s">
        <v>532</v>
      </c>
      <c r="S35" s="3">
        <v>1</v>
      </c>
      <c r="T35" s="3" t="s">
        <v>537</v>
      </c>
      <c r="U35" s="118"/>
      <c r="V35" s="118"/>
      <c r="W35" s="118"/>
      <c r="X35" s="118"/>
      <c r="Y35" s="118"/>
      <c r="Z35" s="118"/>
      <c r="AA35" s="118"/>
      <c r="AB35" s="118"/>
      <c r="AC35" s="118"/>
      <c r="AD35" s="118"/>
      <c r="AE35" s="118"/>
      <c r="AF35" s="118"/>
      <c r="AG35" s="118"/>
      <c r="AH35" s="118"/>
      <c r="AI35" s="118"/>
      <c r="AJ35" s="118"/>
    </row>
    <row r="36" spans="2:36" s="151" customFormat="1" ht="27" customHeight="1" x14ac:dyDescent="0.25">
      <c r="B36" s="394">
        <v>10</v>
      </c>
      <c r="C36" s="922" t="s">
        <v>464</v>
      </c>
      <c r="D36" s="924"/>
      <c r="E36" s="497" t="s">
        <v>418</v>
      </c>
      <c r="F36" s="942" t="s">
        <v>465</v>
      </c>
      <c r="G36" s="943"/>
      <c r="H36" s="944"/>
      <c r="I36" s="395" t="s">
        <v>422</v>
      </c>
      <c r="J36" s="395" t="s">
        <v>466</v>
      </c>
      <c r="K36" s="945" t="s">
        <v>452</v>
      </c>
      <c r="L36" s="945"/>
      <c r="M36" s="485">
        <v>1</v>
      </c>
      <c r="N36" s="486" t="s">
        <v>453</v>
      </c>
      <c r="O36" s="486" t="s">
        <v>454</v>
      </c>
      <c r="P36" s="4"/>
      <c r="Q36" s="4"/>
      <c r="R36" s="4"/>
      <c r="S36" s="4"/>
      <c r="T36" s="4"/>
      <c r="U36" s="118"/>
      <c r="V36" s="118"/>
      <c r="W36" s="118"/>
      <c r="X36" s="118"/>
      <c r="Y36" s="118"/>
      <c r="Z36" s="118"/>
      <c r="AA36" s="118"/>
      <c r="AB36" s="118"/>
      <c r="AC36" s="118"/>
      <c r="AD36" s="118"/>
      <c r="AE36" s="118"/>
      <c r="AF36" s="118"/>
      <c r="AG36" s="118"/>
      <c r="AH36" s="118"/>
      <c r="AI36" s="118"/>
      <c r="AJ36" s="118"/>
    </row>
    <row r="37" spans="2:36" s="151" customFormat="1" ht="20.25" customHeight="1" x14ac:dyDescent="0.25">
      <c r="B37" s="936" t="s">
        <v>584</v>
      </c>
      <c r="C37" s="937"/>
      <c r="D37" s="937"/>
      <c r="E37" s="937"/>
      <c r="F37" s="937"/>
      <c r="G37" s="937"/>
      <c r="H37" s="937"/>
      <c r="I37" s="937"/>
      <c r="J37" s="937"/>
      <c r="K37" s="396"/>
      <c r="L37" s="118"/>
      <c r="M37" s="396"/>
      <c r="N37" s="396"/>
      <c r="O37" s="396"/>
      <c r="P37" s="4"/>
      <c r="Q37" s="4"/>
      <c r="R37" s="4"/>
      <c r="S37" s="4"/>
      <c r="T37" s="4"/>
      <c r="U37" s="118"/>
      <c r="V37" s="118"/>
      <c r="W37" s="118"/>
      <c r="X37" s="118"/>
      <c r="Y37" s="118"/>
      <c r="Z37" s="118"/>
      <c r="AA37" s="118"/>
      <c r="AB37" s="118"/>
      <c r="AC37" s="118"/>
      <c r="AD37" s="118"/>
      <c r="AE37" s="118"/>
      <c r="AF37" s="118"/>
      <c r="AG37" s="118"/>
      <c r="AH37" s="118"/>
      <c r="AI37" s="118"/>
      <c r="AJ37" s="118"/>
    </row>
    <row r="38" spans="2:36" s="151" customFormat="1" ht="26.25" customHeight="1" x14ac:dyDescent="0.25">
      <c r="B38" s="938" t="s">
        <v>540</v>
      </c>
      <c r="C38" s="938"/>
      <c r="D38" s="938"/>
      <c r="E38" s="498">
        <f>فنرپیچی!AL19</f>
        <v>420</v>
      </c>
      <c r="F38" s="397" t="s">
        <v>467</v>
      </c>
      <c r="G38" s="397"/>
      <c r="H38" s="397"/>
      <c r="I38" s="935" t="str">
        <f>IF(فنرپیچی!J27="","","- عملیات سختکاری مجدد انجام شود.")</f>
        <v>- عملیات سختکاری مجدد انجام شود.</v>
      </c>
      <c r="J38" s="935"/>
      <c r="K38" s="935"/>
      <c r="L38" s="935"/>
      <c r="M38" s="935"/>
      <c r="N38" s="499" t="s">
        <v>468</v>
      </c>
      <c r="O38" s="397"/>
      <c r="P38" s="4"/>
      <c r="Q38" s="4"/>
      <c r="R38" s="4"/>
      <c r="S38" s="4"/>
      <c r="T38" s="4"/>
      <c r="U38" s="118"/>
      <c r="V38" s="118"/>
      <c r="W38" s="118"/>
      <c r="X38" s="118"/>
      <c r="Y38" s="118"/>
      <c r="Z38" s="118"/>
      <c r="AA38" s="118"/>
      <c r="AB38" s="118"/>
      <c r="AC38" s="118"/>
      <c r="AD38" s="118"/>
      <c r="AE38" s="118"/>
      <c r="AF38" s="118"/>
      <c r="AG38" s="118"/>
      <c r="AH38" s="118"/>
      <c r="AI38" s="118"/>
      <c r="AJ38" s="118"/>
    </row>
    <row r="39" spans="2:36" s="151" customFormat="1" ht="25.5" customHeight="1" x14ac:dyDescent="0.25">
      <c r="B39" s="938" t="s">
        <v>539</v>
      </c>
      <c r="C39" s="938"/>
      <c r="D39" s="938"/>
      <c r="E39" s="938"/>
      <c r="F39" s="938"/>
      <c r="G39" s="938"/>
      <c r="H39" s="938"/>
      <c r="I39" s="500" t="s">
        <v>585</v>
      </c>
      <c r="J39" s="500"/>
      <c r="K39" s="500"/>
      <c r="L39" s="500"/>
      <c r="M39" s="500"/>
      <c r="N39" s="499" t="s">
        <v>469</v>
      </c>
      <c r="O39" s="397"/>
      <c r="P39" s="4"/>
      <c r="Q39" s="4"/>
      <c r="R39" s="4"/>
      <c r="S39" s="4"/>
      <c r="T39" s="4"/>
      <c r="U39" s="118"/>
      <c r="V39" s="118"/>
      <c r="W39" s="118"/>
      <c r="X39" s="118"/>
      <c r="Y39" s="118"/>
      <c r="Z39" s="118"/>
      <c r="AA39" s="118"/>
      <c r="AB39" s="118"/>
      <c r="AC39" s="118"/>
      <c r="AD39" s="118"/>
      <c r="AE39" s="118"/>
      <c r="AF39" s="118"/>
      <c r="AG39" s="118"/>
      <c r="AH39" s="118"/>
      <c r="AI39" s="118"/>
      <c r="AJ39" s="118"/>
    </row>
  </sheetData>
  <mergeCells count="92">
    <mergeCell ref="K24:L24"/>
    <mergeCell ref="C36:D36"/>
    <mergeCell ref="F36:H36"/>
    <mergeCell ref="K36:L36"/>
    <mergeCell ref="C32:D32"/>
    <mergeCell ref="F32:H32"/>
    <mergeCell ref="K32:L32"/>
    <mergeCell ref="C33:D33"/>
    <mergeCell ref="F33:H33"/>
    <mergeCell ref="K33:L33"/>
    <mergeCell ref="C30:D30"/>
    <mergeCell ref="F30:H30"/>
    <mergeCell ref="K30:L30"/>
    <mergeCell ref="C31:D31"/>
    <mergeCell ref="K34:L34"/>
    <mergeCell ref="K35:L35"/>
    <mergeCell ref="B39:H39"/>
    <mergeCell ref="C34:D34"/>
    <mergeCell ref="F34:H34"/>
    <mergeCell ref="C24:D24"/>
    <mergeCell ref="F24:H24"/>
    <mergeCell ref="C35:D35"/>
    <mergeCell ref="F35:H35"/>
    <mergeCell ref="C28:D28"/>
    <mergeCell ref="F28:H28"/>
    <mergeCell ref="I38:M38"/>
    <mergeCell ref="B37:J37"/>
    <mergeCell ref="B38:D38"/>
    <mergeCell ref="F31:H31"/>
    <mergeCell ref="K31:L31"/>
    <mergeCell ref="K28:L28"/>
    <mergeCell ref="C29:D29"/>
    <mergeCell ref="F29:H29"/>
    <mergeCell ref="K29:L29"/>
    <mergeCell ref="C25:D25"/>
    <mergeCell ref="F25:H25"/>
    <mergeCell ref="K25:L25"/>
    <mergeCell ref="C27:D27"/>
    <mergeCell ref="F27:H27"/>
    <mergeCell ref="K27:L27"/>
    <mergeCell ref="B26:O26"/>
    <mergeCell ref="C22:D22"/>
    <mergeCell ref="F22:H22"/>
    <mergeCell ref="K22:L22"/>
    <mergeCell ref="C23:D23"/>
    <mergeCell ref="F23:H23"/>
    <mergeCell ref="K23:L23"/>
    <mergeCell ref="C20:D20"/>
    <mergeCell ref="F20:H20"/>
    <mergeCell ref="K20:L20"/>
    <mergeCell ref="C21:D21"/>
    <mergeCell ref="F21:H21"/>
    <mergeCell ref="K21:L21"/>
    <mergeCell ref="C18:D18"/>
    <mergeCell ref="F18:H18"/>
    <mergeCell ref="K18:L18"/>
    <mergeCell ref="C19:D19"/>
    <mergeCell ref="F19:H19"/>
    <mergeCell ref="K19:L19"/>
    <mergeCell ref="J15:J16"/>
    <mergeCell ref="K15:L16"/>
    <mergeCell ref="M15:N15"/>
    <mergeCell ref="O15:O16"/>
    <mergeCell ref="C17:D17"/>
    <mergeCell ref="F17:H17"/>
    <mergeCell ref="K17:L17"/>
    <mergeCell ref="B7:O7"/>
    <mergeCell ref="B8:O9"/>
    <mergeCell ref="B10:O10"/>
    <mergeCell ref="B11:O13"/>
    <mergeCell ref="B14:O14"/>
    <mergeCell ref="B15:B16"/>
    <mergeCell ref="C15:D16"/>
    <mergeCell ref="E15:E16"/>
    <mergeCell ref="F15:H16"/>
    <mergeCell ref="I15:I16"/>
    <mergeCell ref="M6:O6"/>
    <mergeCell ref="B1:D2"/>
    <mergeCell ref="E1:M2"/>
    <mergeCell ref="N2:O2"/>
    <mergeCell ref="B3:C3"/>
    <mergeCell ref="N3:O3"/>
    <mergeCell ref="N5:O5"/>
    <mergeCell ref="I3:L3"/>
    <mergeCell ref="D3:F3"/>
    <mergeCell ref="B4:F4"/>
    <mergeCell ref="B5:F5"/>
    <mergeCell ref="B6:F6"/>
    <mergeCell ref="G3:H3"/>
    <mergeCell ref="G4:L4"/>
    <mergeCell ref="G5:L5"/>
    <mergeCell ref="G6:L6"/>
  </mergeCells>
  <printOptions horizontalCentered="1"/>
  <pageMargins left="0" right="0" top="0.19685039370078741" bottom="0" header="0" footer="0"/>
  <pageSetup paperSize="9" scale="8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B1:T34"/>
  <sheetViews>
    <sheetView rightToLeft="1" view="pageBreakPreview" topLeftCell="A13" zoomScaleNormal="100" zoomScaleSheetLayoutView="100" workbookViewId="0">
      <selection activeCell="X7" sqref="X7:AB7"/>
    </sheetView>
  </sheetViews>
  <sheetFormatPr defaultRowHeight="15" x14ac:dyDescent="0.25"/>
  <cols>
    <col min="1" max="1" width="1" customWidth="1"/>
    <col min="2" max="2" width="5.140625" customWidth="1"/>
    <col min="3" max="3" width="6" customWidth="1"/>
    <col min="4" max="4" width="14" customWidth="1"/>
    <col min="5" max="5" width="6.28515625" customWidth="1"/>
    <col min="6" max="6" width="2.7109375" customWidth="1"/>
    <col min="7" max="7" width="4.42578125" customWidth="1"/>
    <col min="8" max="8" width="3.28515625" customWidth="1"/>
    <col min="9" max="9" width="7.140625" customWidth="1"/>
    <col min="10" max="10" width="14" customWidth="1"/>
    <col min="11" max="11" width="9" customWidth="1"/>
    <col min="12" max="12" width="2" customWidth="1"/>
    <col min="13" max="13" width="6.140625" customWidth="1"/>
    <col min="14" max="14" width="11" customWidth="1"/>
    <col min="15" max="15" width="7.140625" customWidth="1"/>
    <col min="16" max="16" width="2.42578125" customWidth="1"/>
    <col min="17" max="17" width="14.5703125" customWidth="1"/>
    <col min="18" max="18" width="11.140625" customWidth="1"/>
    <col min="19" max="19" width="10" customWidth="1"/>
    <col min="20" max="20" width="9.140625" customWidth="1"/>
    <col min="23" max="23" width="9.28515625" customWidth="1"/>
  </cols>
  <sheetData>
    <row r="1" spans="2:18" ht="35.25" customHeight="1" x14ac:dyDescent="0.25">
      <c r="B1" s="875" t="s">
        <v>199</v>
      </c>
      <c r="C1" s="875"/>
      <c r="D1" s="875"/>
      <c r="E1" s="876" t="s">
        <v>496</v>
      </c>
      <c r="F1" s="876"/>
      <c r="G1" s="876"/>
      <c r="H1" s="876"/>
      <c r="I1" s="876"/>
      <c r="J1" s="876"/>
      <c r="K1" s="876"/>
      <c r="L1" s="876"/>
      <c r="M1" s="876"/>
      <c r="N1" s="876"/>
      <c r="O1" s="948" t="s">
        <v>391</v>
      </c>
      <c r="P1" s="949"/>
      <c r="Q1" s="389" t="s">
        <v>553</v>
      </c>
      <c r="R1" s="398" t="s">
        <v>392</v>
      </c>
    </row>
    <row r="2" spans="2:18" ht="31.5" customHeight="1" x14ac:dyDescent="0.3">
      <c r="B2" s="875"/>
      <c r="C2" s="875"/>
      <c r="D2" s="875"/>
      <c r="E2" s="876"/>
      <c r="F2" s="876"/>
      <c r="G2" s="876"/>
      <c r="H2" s="876"/>
      <c r="I2" s="876"/>
      <c r="J2" s="876"/>
      <c r="K2" s="876"/>
      <c r="L2" s="876"/>
      <c r="M2" s="876"/>
      <c r="N2" s="876"/>
      <c r="O2" s="948" t="s">
        <v>552</v>
      </c>
      <c r="P2" s="949"/>
      <c r="Q2" s="949"/>
      <c r="R2" s="404"/>
    </row>
    <row r="3" spans="2:18" s="421" customFormat="1" ht="30" customHeight="1" x14ac:dyDescent="0.2">
      <c r="B3" s="872" t="s">
        <v>393</v>
      </c>
      <c r="C3" s="873"/>
      <c r="D3" s="884" t="str">
        <f>'Fanar pichi_Garm'!D3</f>
        <v>Y25-LSD1</v>
      </c>
      <c r="E3" s="884"/>
      <c r="F3" s="884"/>
      <c r="G3" s="974"/>
      <c r="H3" s="872" t="s">
        <v>529</v>
      </c>
      <c r="I3" s="873"/>
      <c r="J3" s="882" t="str">
        <f>'Fanar pichi_sard'!I3</f>
        <v>0318.000000.0008</v>
      </c>
      <c r="K3" s="882"/>
      <c r="L3" s="882"/>
      <c r="M3" s="883"/>
      <c r="N3" s="491" t="s">
        <v>394</v>
      </c>
      <c r="O3" s="882" t="str">
        <f>فنرپیچی!J9</f>
        <v>54SiCr6</v>
      </c>
      <c r="P3" s="882"/>
      <c r="Q3" s="883"/>
      <c r="R3" s="427"/>
    </row>
    <row r="4" spans="2:18" s="421" customFormat="1" ht="30" customHeight="1" x14ac:dyDescent="0.2">
      <c r="B4" s="962" t="s">
        <v>586</v>
      </c>
      <c r="C4" s="962"/>
      <c r="D4" s="962"/>
      <c r="E4" s="962"/>
      <c r="F4" s="962"/>
      <c r="G4" s="962"/>
      <c r="H4" s="872" t="s">
        <v>554</v>
      </c>
      <c r="I4" s="873"/>
      <c r="J4" s="873" t="s">
        <v>567</v>
      </c>
      <c r="K4" s="873"/>
      <c r="L4" s="873"/>
      <c r="M4" s="874"/>
      <c r="N4" s="872" t="s">
        <v>587</v>
      </c>
      <c r="O4" s="873"/>
      <c r="P4" s="873"/>
      <c r="Q4" s="874"/>
    </row>
    <row r="5" spans="2:18" s="421" customFormat="1" ht="30" customHeight="1" x14ac:dyDescent="0.2">
      <c r="B5" s="962" t="s">
        <v>588</v>
      </c>
      <c r="C5" s="962"/>
      <c r="D5" s="962"/>
      <c r="E5" s="962"/>
      <c r="F5" s="962"/>
      <c r="G5" s="962"/>
      <c r="H5" s="872" t="s">
        <v>398</v>
      </c>
      <c r="I5" s="873"/>
      <c r="J5" s="969"/>
      <c r="K5" s="969"/>
      <c r="L5" s="969"/>
      <c r="M5" s="970"/>
      <c r="N5" s="491" t="s">
        <v>399</v>
      </c>
      <c r="O5" s="880" t="str">
        <f>'Fanar pichi_Garm'!N5</f>
        <v xml:space="preserve"> شرکت آروین تبریز</v>
      </c>
      <c r="P5" s="880"/>
      <c r="Q5" s="881"/>
      <c r="R5" s="428"/>
    </row>
    <row r="6" spans="2:18" s="421" customFormat="1" ht="30" customHeight="1" x14ac:dyDescent="0.2">
      <c r="B6" s="962" t="s">
        <v>555</v>
      </c>
      <c r="C6" s="962"/>
      <c r="D6" s="962"/>
      <c r="E6" s="962"/>
      <c r="F6" s="962"/>
      <c r="G6" s="962"/>
      <c r="H6" s="872" t="s">
        <v>531</v>
      </c>
      <c r="I6" s="873"/>
      <c r="J6" s="873"/>
      <c r="K6" s="873"/>
      <c r="L6" s="873"/>
      <c r="M6" s="874"/>
      <c r="N6" s="872" t="s">
        <v>562</v>
      </c>
      <c r="O6" s="873"/>
      <c r="P6" s="873"/>
      <c r="Q6" s="874"/>
    </row>
    <row r="7" spans="2:18" ht="17.25" customHeight="1" x14ac:dyDescent="0.25">
      <c r="B7" s="894" t="s">
        <v>401</v>
      </c>
      <c r="C7" s="894"/>
      <c r="D7" s="894"/>
      <c r="E7" s="894"/>
      <c r="F7" s="894"/>
      <c r="G7" s="894"/>
      <c r="H7" s="894"/>
      <c r="I7" s="894"/>
      <c r="J7" s="894"/>
      <c r="K7" s="894"/>
      <c r="L7" s="894"/>
      <c r="M7" s="894"/>
      <c r="N7" s="894"/>
      <c r="O7" s="894"/>
      <c r="P7" s="894"/>
      <c r="Q7" s="894"/>
    </row>
    <row r="8" spans="2:18" ht="27.75" customHeight="1" x14ac:dyDescent="0.25">
      <c r="B8" s="963" t="s">
        <v>497</v>
      </c>
      <c r="C8" s="964"/>
      <c r="D8" s="964"/>
      <c r="E8" s="964"/>
      <c r="F8" s="964"/>
      <c r="G8" s="964"/>
      <c r="H8" s="964"/>
      <c r="I8" s="964"/>
      <c r="J8" s="964"/>
      <c r="K8" s="964"/>
      <c r="L8" s="964"/>
      <c r="M8" s="964"/>
      <c r="N8" s="964"/>
      <c r="O8" s="964"/>
      <c r="P8" s="964"/>
      <c r="Q8" s="965"/>
    </row>
    <row r="9" spans="2:18" ht="29.25" customHeight="1" x14ac:dyDescent="0.25">
      <c r="B9" s="966"/>
      <c r="C9" s="967"/>
      <c r="D9" s="967"/>
      <c r="E9" s="967"/>
      <c r="F9" s="967"/>
      <c r="G9" s="967"/>
      <c r="H9" s="967"/>
      <c r="I9" s="967"/>
      <c r="J9" s="967"/>
      <c r="K9" s="967"/>
      <c r="L9" s="967"/>
      <c r="M9" s="967"/>
      <c r="N9" s="967"/>
      <c r="O9" s="967"/>
      <c r="P9" s="967"/>
      <c r="Q9" s="968"/>
    </row>
    <row r="10" spans="2:18" ht="17.25" customHeight="1" x14ac:dyDescent="0.25">
      <c r="B10" s="894" t="s">
        <v>402</v>
      </c>
      <c r="C10" s="894"/>
      <c r="D10" s="894"/>
      <c r="E10" s="894"/>
      <c r="F10" s="894"/>
      <c r="G10" s="894"/>
      <c r="H10" s="894"/>
      <c r="I10" s="894"/>
      <c r="J10" s="894"/>
      <c r="K10" s="894"/>
      <c r="L10" s="894"/>
      <c r="M10" s="894"/>
      <c r="N10" s="894"/>
      <c r="O10" s="894"/>
      <c r="P10" s="894"/>
      <c r="Q10" s="894"/>
    </row>
    <row r="11" spans="2:18" ht="17.25" customHeight="1" x14ac:dyDescent="0.25">
      <c r="B11" s="963" t="s">
        <v>498</v>
      </c>
      <c r="C11" s="964"/>
      <c r="D11" s="964"/>
      <c r="E11" s="964"/>
      <c r="F11" s="964"/>
      <c r="G11" s="964"/>
      <c r="H11" s="964"/>
      <c r="I11" s="964"/>
      <c r="J11" s="964"/>
      <c r="K11" s="964"/>
      <c r="L11" s="964"/>
      <c r="M11" s="964"/>
      <c r="N11" s="964"/>
      <c r="O11" s="964"/>
      <c r="P11" s="964"/>
      <c r="Q11" s="965"/>
    </row>
    <row r="12" spans="2:18" ht="17.25" customHeight="1" x14ac:dyDescent="0.25">
      <c r="B12" s="963"/>
      <c r="C12" s="964"/>
      <c r="D12" s="964"/>
      <c r="E12" s="964"/>
      <c r="F12" s="964"/>
      <c r="G12" s="964"/>
      <c r="H12" s="964"/>
      <c r="I12" s="964"/>
      <c r="J12" s="964"/>
      <c r="K12" s="964"/>
      <c r="L12" s="964"/>
      <c r="M12" s="964"/>
      <c r="N12" s="964"/>
      <c r="O12" s="964"/>
      <c r="P12" s="964"/>
      <c r="Q12" s="965"/>
    </row>
    <row r="13" spans="2:18" ht="17.25" customHeight="1" x14ac:dyDescent="0.25">
      <c r="B13" s="963"/>
      <c r="C13" s="964"/>
      <c r="D13" s="964"/>
      <c r="E13" s="964"/>
      <c r="F13" s="964"/>
      <c r="G13" s="964"/>
      <c r="H13" s="964"/>
      <c r="I13" s="964"/>
      <c r="J13" s="964"/>
      <c r="K13" s="964"/>
      <c r="L13" s="964"/>
      <c r="M13" s="964"/>
      <c r="N13" s="964"/>
      <c r="O13" s="964"/>
      <c r="P13" s="964"/>
      <c r="Q13" s="965"/>
    </row>
    <row r="14" spans="2:18" ht="22.5" customHeight="1" x14ac:dyDescent="0.25">
      <c r="B14" s="966"/>
      <c r="C14" s="967"/>
      <c r="D14" s="967"/>
      <c r="E14" s="967"/>
      <c r="F14" s="967"/>
      <c r="G14" s="967"/>
      <c r="H14" s="967"/>
      <c r="I14" s="967"/>
      <c r="J14" s="967"/>
      <c r="K14" s="967"/>
      <c r="L14" s="967"/>
      <c r="M14" s="967"/>
      <c r="N14" s="967"/>
      <c r="O14" s="967"/>
      <c r="P14" s="967"/>
      <c r="Q14" s="968"/>
    </row>
    <row r="15" spans="2:18" ht="21.75" customHeight="1" x14ac:dyDescent="0.25">
      <c r="B15" s="885" t="s">
        <v>404</v>
      </c>
      <c r="C15" s="886" t="s">
        <v>106</v>
      </c>
      <c r="D15" s="887"/>
      <c r="E15" s="890" t="s">
        <v>405</v>
      </c>
      <c r="F15" s="886" t="s">
        <v>406</v>
      </c>
      <c r="G15" s="891"/>
      <c r="H15" s="891"/>
      <c r="I15" s="887"/>
      <c r="J15" s="893" t="s">
        <v>407</v>
      </c>
      <c r="K15" s="893" t="s">
        <v>408</v>
      </c>
      <c r="L15" s="893" t="s">
        <v>409</v>
      </c>
      <c r="M15" s="893"/>
      <c r="N15" s="950" t="s">
        <v>410</v>
      </c>
      <c r="O15" s="951"/>
      <c r="P15" s="952"/>
      <c r="Q15" s="893" t="s">
        <v>411</v>
      </c>
    </row>
    <row r="16" spans="2:18" ht="21.75" customHeight="1" x14ac:dyDescent="0.25">
      <c r="B16" s="885"/>
      <c r="C16" s="888"/>
      <c r="D16" s="889"/>
      <c r="E16" s="890"/>
      <c r="F16" s="888"/>
      <c r="G16" s="892"/>
      <c r="H16" s="892"/>
      <c r="I16" s="889"/>
      <c r="J16" s="893"/>
      <c r="K16" s="893"/>
      <c r="L16" s="893"/>
      <c r="M16" s="893"/>
      <c r="N16" s="484" t="s">
        <v>248</v>
      </c>
      <c r="O16" s="950" t="s">
        <v>412</v>
      </c>
      <c r="P16" s="952"/>
      <c r="Q16" s="893"/>
    </row>
    <row r="17" spans="2:20" ht="30" customHeight="1" x14ac:dyDescent="0.25">
      <c r="B17" s="406">
        <v>1</v>
      </c>
      <c r="C17" s="902" t="s">
        <v>37</v>
      </c>
      <c r="D17" s="903"/>
      <c r="E17" s="407" t="s">
        <v>418</v>
      </c>
      <c r="F17" s="959">
        <v>280282</v>
      </c>
      <c r="G17" s="960"/>
      <c r="H17" s="960"/>
      <c r="I17" s="961"/>
      <c r="J17" s="400" t="s">
        <v>414</v>
      </c>
      <c r="K17" s="400" t="s">
        <v>415</v>
      </c>
      <c r="L17" s="975" t="s">
        <v>556</v>
      </c>
      <c r="M17" s="975"/>
      <c r="N17" s="492" t="s">
        <v>589</v>
      </c>
      <c r="O17" s="953" t="s">
        <v>589</v>
      </c>
      <c r="P17" s="954"/>
      <c r="Q17" s="400" t="s">
        <v>590</v>
      </c>
      <c r="S17" s="442" t="s">
        <v>359</v>
      </c>
      <c r="T17" s="442" t="s">
        <v>100</v>
      </c>
    </row>
    <row r="18" spans="2:20" ht="38.25" customHeight="1" x14ac:dyDescent="0.25">
      <c r="B18" s="406">
        <v>2</v>
      </c>
      <c r="C18" s="902" t="s">
        <v>499</v>
      </c>
      <c r="D18" s="903"/>
      <c r="E18" s="407" t="s">
        <v>418</v>
      </c>
      <c r="F18" s="904" t="str">
        <f>IF(S18="",CONCATENATE("Max=",IF('نمونه اولیه'!AH19="",'نمونه اولیه'!AE19*0.75,'نمونه اولیه'!AH19*0.75)," mm"),CONCATENATE("Max=",S18,"mm"))</f>
        <v>Max=9.75 mm</v>
      </c>
      <c r="G18" s="905"/>
      <c r="H18" s="905"/>
      <c r="I18" s="906"/>
      <c r="J18" s="400" t="s">
        <v>500</v>
      </c>
      <c r="K18" s="400" t="s">
        <v>501</v>
      </c>
      <c r="L18" s="975" t="s">
        <v>416</v>
      </c>
      <c r="M18" s="975"/>
      <c r="N18" s="492" t="s">
        <v>589</v>
      </c>
      <c r="O18" s="953" t="s">
        <v>589</v>
      </c>
      <c r="P18" s="954"/>
      <c r="Q18" s="400" t="s">
        <v>590</v>
      </c>
      <c r="R18" s="151" t="s">
        <v>10</v>
      </c>
      <c r="S18" s="440"/>
      <c r="T18" s="441" t="s">
        <v>499</v>
      </c>
    </row>
    <row r="19" spans="2:20" ht="30" customHeight="1" x14ac:dyDescent="0.25">
      <c r="B19" s="406">
        <v>3</v>
      </c>
      <c r="C19" s="902" t="s">
        <v>502</v>
      </c>
      <c r="D19" s="903"/>
      <c r="E19" s="407" t="s">
        <v>418</v>
      </c>
      <c r="F19" s="904" t="str">
        <f>IF(S19="",CONCATENATE("Max=",ROUNDUP(IF('نمونه اولیه'!AH20="",'نمونه اولیه'!AE20*0.75,'نمونه اولیه'!AH20*0.75),1)," mm"),CONCATENATE("Max=",S19,"mm"))</f>
        <v>Max=4.4 mm</v>
      </c>
      <c r="G19" s="905"/>
      <c r="H19" s="905"/>
      <c r="I19" s="906"/>
      <c r="J19" s="400" t="s">
        <v>414</v>
      </c>
      <c r="K19" s="400" t="s">
        <v>415</v>
      </c>
      <c r="L19" s="975" t="s">
        <v>416</v>
      </c>
      <c r="M19" s="975"/>
      <c r="N19" s="492" t="s">
        <v>589</v>
      </c>
      <c r="O19" s="953" t="s">
        <v>589</v>
      </c>
      <c r="P19" s="954"/>
      <c r="Q19" s="400" t="s">
        <v>590</v>
      </c>
      <c r="R19" s="151" t="s">
        <v>10</v>
      </c>
      <c r="S19" s="440"/>
      <c r="T19" s="441" t="s">
        <v>502</v>
      </c>
    </row>
    <row r="20" spans="2:20" ht="30" customHeight="1" x14ac:dyDescent="0.25">
      <c r="B20" s="447">
        <v>4</v>
      </c>
      <c r="C20" s="922" t="s">
        <v>64</v>
      </c>
      <c r="D20" s="924"/>
      <c r="E20" s="445" t="s">
        <v>418</v>
      </c>
      <c r="F20" s="978" t="str">
        <f>IF(S20="",CONCATENATE('نمونه اولیه'!I38, " mm"),CONCATENATE("Max=",S20,"mm"))</f>
        <v>Max=1.75 mm</v>
      </c>
      <c r="G20" s="979"/>
      <c r="H20" s="979"/>
      <c r="I20" s="980"/>
      <c r="J20" s="501" t="s">
        <v>414</v>
      </c>
      <c r="K20" s="501" t="s">
        <v>415</v>
      </c>
      <c r="L20" s="976" t="s">
        <v>416</v>
      </c>
      <c r="M20" s="976"/>
      <c r="N20" s="502" t="s">
        <v>589</v>
      </c>
      <c r="O20" s="957" t="s">
        <v>589</v>
      </c>
      <c r="P20" s="958"/>
      <c r="Q20" s="501" t="s">
        <v>590</v>
      </c>
      <c r="R20" s="151" t="s">
        <v>10</v>
      </c>
      <c r="S20" s="440"/>
      <c r="T20" s="441" t="s">
        <v>64</v>
      </c>
    </row>
    <row r="21" spans="2:20" ht="19.5" customHeight="1" x14ac:dyDescent="0.25">
      <c r="B21" s="932" t="s">
        <v>564</v>
      </c>
      <c r="C21" s="933"/>
      <c r="D21" s="933"/>
      <c r="E21" s="933"/>
      <c r="F21" s="933"/>
      <c r="G21" s="933"/>
      <c r="H21" s="933"/>
      <c r="I21" s="933"/>
      <c r="J21" s="933"/>
      <c r="K21" s="933"/>
      <c r="L21" s="933"/>
      <c r="M21" s="933"/>
      <c r="N21" s="933"/>
      <c r="O21" s="933"/>
      <c r="P21" s="933"/>
      <c r="Q21" s="934"/>
      <c r="R21" s="151"/>
      <c r="S21" s="438"/>
      <c r="T21" s="446"/>
    </row>
    <row r="22" spans="2:20" ht="30" customHeight="1" x14ac:dyDescent="0.25">
      <c r="B22" s="409">
        <v>1</v>
      </c>
      <c r="C22" s="926" t="s">
        <v>503</v>
      </c>
      <c r="D22" s="927"/>
      <c r="E22" s="410" t="s">
        <v>418</v>
      </c>
      <c r="F22" s="971" t="str">
        <f>F23</f>
        <v xml:space="preserve"> 25-45  bar</v>
      </c>
      <c r="G22" s="972"/>
      <c r="H22" s="972"/>
      <c r="I22" s="973"/>
      <c r="J22" s="402" t="s">
        <v>483</v>
      </c>
      <c r="K22" s="402" t="s">
        <v>479</v>
      </c>
      <c r="L22" s="977" t="s">
        <v>557</v>
      </c>
      <c r="M22" s="977"/>
      <c r="N22" s="403">
        <v>1</v>
      </c>
      <c r="O22" s="955" t="s">
        <v>425</v>
      </c>
      <c r="P22" s="956"/>
      <c r="Q22" s="402" t="s">
        <v>481</v>
      </c>
      <c r="S22" s="151"/>
      <c r="T22" s="151"/>
    </row>
    <row r="23" spans="2:20" ht="30" customHeight="1" x14ac:dyDescent="0.25">
      <c r="B23" s="406">
        <v>2</v>
      </c>
      <c r="C23" s="902" t="s">
        <v>504</v>
      </c>
      <c r="D23" s="903"/>
      <c r="E23" s="407" t="s">
        <v>418</v>
      </c>
      <c r="F23" s="904" t="s">
        <v>505</v>
      </c>
      <c r="G23" s="905"/>
      <c r="H23" s="905"/>
      <c r="I23" s="906"/>
      <c r="J23" s="400" t="s">
        <v>483</v>
      </c>
      <c r="K23" s="400" t="s">
        <v>479</v>
      </c>
      <c r="L23" s="975" t="s">
        <v>557</v>
      </c>
      <c r="M23" s="975"/>
      <c r="N23" s="492">
        <v>1</v>
      </c>
      <c r="O23" s="953" t="s">
        <v>425</v>
      </c>
      <c r="P23" s="954"/>
      <c r="Q23" s="400" t="s">
        <v>481</v>
      </c>
      <c r="S23" s="151"/>
      <c r="T23" s="151"/>
    </row>
    <row r="24" spans="2:20" ht="21" customHeight="1" x14ac:dyDescent="0.25">
      <c r="B24" s="430"/>
      <c r="C24" s="431"/>
      <c r="D24" s="431"/>
      <c r="E24" s="432"/>
      <c r="F24" s="433"/>
      <c r="G24" s="433"/>
      <c r="H24" s="433"/>
      <c r="I24" s="433"/>
      <c r="J24" s="434"/>
      <c r="K24" s="434"/>
      <c r="L24" s="435"/>
      <c r="M24" s="435"/>
      <c r="N24" s="435"/>
      <c r="O24" s="435"/>
      <c r="P24" s="435"/>
      <c r="Q24" s="436"/>
    </row>
    <row r="25" spans="2:20" s="429" customFormat="1" ht="27" customHeight="1" x14ac:dyDescent="0.25">
      <c r="B25" s="503"/>
      <c r="C25" s="994" t="s">
        <v>506</v>
      </c>
      <c r="D25" s="994"/>
      <c r="E25" s="981" t="str">
        <f>'Fanar pichi_Garm'!F17</f>
        <v>7 ± 0.15</v>
      </c>
      <c r="F25" s="981"/>
      <c r="G25" s="981"/>
      <c r="H25" s="489"/>
      <c r="I25" s="489"/>
      <c r="J25" s="437"/>
      <c r="K25" s="504"/>
      <c r="L25" s="504"/>
      <c r="M25" s="504"/>
      <c r="N25" s="504"/>
      <c r="O25" s="504"/>
      <c r="P25" s="504"/>
      <c r="Q25" s="505"/>
    </row>
    <row r="26" spans="2:20" s="151" customFormat="1" ht="27" customHeight="1" x14ac:dyDescent="0.25">
      <c r="B26" s="388"/>
      <c r="C26" s="994" t="s">
        <v>507</v>
      </c>
      <c r="D26" s="994"/>
      <c r="E26" s="982" t="str">
        <f>'Fanar pichi_Garm'!F21</f>
        <v>5.7 ± 0</v>
      </c>
      <c r="F26" s="982"/>
      <c r="G26" s="982"/>
      <c r="H26" s="490"/>
      <c r="I26" s="490"/>
      <c r="J26" s="490"/>
      <c r="K26" s="202"/>
      <c r="L26" s="202"/>
      <c r="M26" s="202"/>
      <c r="N26" s="202"/>
      <c r="O26" s="202"/>
      <c r="P26" s="202"/>
      <c r="Q26" s="506"/>
    </row>
    <row r="27" spans="2:20" s="151" customFormat="1" ht="27" customHeight="1" x14ac:dyDescent="0.25">
      <c r="B27" s="388"/>
      <c r="C27" s="994" t="s">
        <v>508</v>
      </c>
      <c r="D27" s="994"/>
      <c r="E27" s="983" t="str">
        <f>'Fanar pichi_Garm'!F19</f>
        <v>L.H</v>
      </c>
      <c r="F27" s="983"/>
      <c r="G27" s="983"/>
      <c r="H27" s="490"/>
      <c r="I27" s="490"/>
      <c r="J27" s="490"/>
      <c r="K27" s="202"/>
      <c r="L27" s="202"/>
      <c r="M27" s="202"/>
      <c r="N27" s="202"/>
      <c r="O27" s="202"/>
      <c r="P27" s="202"/>
      <c r="Q27" s="506"/>
    </row>
    <row r="28" spans="2:20" s="151" customFormat="1" ht="27" customHeight="1" x14ac:dyDescent="0.25">
      <c r="B28" s="507"/>
      <c r="C28" s="995" t="s">
        <v>563</v>
      </c>
      <c r="D28" s="995"/>
      <c r="E28" s="996" t="str">
        <f>فنرپیچی!AL16</f>
        <v>پرس کوچک</v>
      </c>
      <c r="F28" s="996"/>
      <c r="G28" s="996"/>
      <c r="H28" s="996"/>
      <c r="I28" s="996"/>
      <c r="J28" s="508" t="str">
        <f>CONCATENATE(فنرپیچی!AL17," مرتبه ")</f>
        <v xml:space="preserve">1 مرتبه </v>
      </c>
      <c r="K28" s="509"/>
      <c r="L28" s="509"/>
      <c r="M28" s="509"/>
      <c r="N28" s="509"/>
      <c r="O28" s="509"/>
      <c r="P28" s="509"/>
      <c r="Q28" s="510"/>
    </row>
    <row r="29" spans="2:20" ht="19.5" customHeight="1" x14ac:dyDescent="0.25">
      <c r="B29" s="984" t="s">
        <v>509</v>
      </c>
      <c r="C29" s="985"/>
      <c r="D29" s="986"/>
      <c r="E29" s="986"/>
      <c r="F29" s="986"/>
      <c r="G29" s="986"/>
      <c r="H29" s="986"/>
      <c r="I29" s="986"/>
      <c r="J29" s="986"/>
      <c r="K29" s="986"/>
      <c r="L29" s="986"/>
      <c r="M29" s="986"/>
      <c r="N29" s="986"/>
      <c r="O29" s="986"/>
      <c r="P29" s="986"/>
      <c r="Q29" s="987"/>
    </row>
    <row r="30" spans="2:20" ht="33" customHeight="1" x14ac:dyDescent="0.25">
      <c r="B30" s="988"/>
      <c r="C30" s="989"/>
      <c r="D30" s="989"/>
      <c r="E30" s="989"/>
      <c r="F30" s="989"/>
      <c r="G30" s="989"/>
      <c r="H30" s="989"/>
      <c r="I30" s="989"/>
      <c r="J30" s="989"/>
      <c r="K30" s="989"/>
      <c r="L30" s="989"/>
      <c r="M30" s="989"/>
      <c r="N30" s="989"/>
      <c r="O30" s="989"/>
      <c r="P30" s="989"/>
      <c r="Q30" s="990"/>
    </row>
    <row r="31" spans="2:20" x14ac:dyDescent="0.25">
      <c r="B31" s="988"/>
      <c r="C31" s="989"/>
      <c r="D31" s="989"/>
      <c r="E31" s="989"/>
      <c r="F31" s="989"/>
      <c r="G31" s="989"/>
      <c r="H31" s="989"/>
      <c r="I31" s="989"/>
      <c r="J31" s="989"/>
      <c r="K31" s="989"/>
      <c r="L31" s="989"/>
      <c r="M31" s="989"/>
      <c r="N31" s="989"/>
      <c r="O31" s="989"/>
      <c r="P31" s="989"/>
      <c r="Q31" s="990"/>
    </row>
    <row r="32" spans="2:20" x14ac:dyDescent="0.25">
      <c r="B32" s="988"/>
      <c r="C32" s="989"/>
      <c r="D32" s="989"/>
      <c r="E32" s="989"/>
      <c r="F32" s="989"/>
      <c r="G32" s="989"/>
      <c r="H32" s="989"/>
      <c r="I32" s="989"/>
      <c r="J32" s="989"/>
      <c r="K32" s="989"/>
      <c r="L32" s="989"/>
      <c r="M32" s="989"/>
      <c r="N32" s="989"/>
      <c r="O32" s="989"/>
      <c r="P32" s="989"/>
      <c r="Q32" s="990"/>
    </row>
    <row r="33" spans="2:17" x14ac:dyDescent="0.25">
      <c r="B33" s="988"/>
      <c r="C33" s="989"/>
      <c r="D33" s="989"/>
      <c r="E33" s="989"/>
      <c r="F33" s="989"/>
      <c r="G33" s="989"/>
      <c r="H33" s="989"/>
      <c r="I33" s="989"/>
      <c r="J33" s="989"/>
      <c r="K33" s="989"/>
      <c r="L33" s="989"/>
      <c r="M33" s="989"/>
      <c r="N33" s="989"/>
      <c r="O33" s="989"/>
      <c r="P33" s="989"/>
      <c r="Q33" s="990"/>
    </row>
    <row r="34" spans="2:17" ht="25.5" customHeight="1" x14ac:dyDescent="0.25">
      <c r="B34" s="991"/>
      <c r="C34" s="992"/>
      <c r="D34" s="992"/>
      <c r="E34" s="992"/>
      <c r="F34" s="992"/>
      <c r="G34" s="992"/>
      <c r="H34" s="992"/>
      <c r="I34" s="992"/>
      <c r="J34" s="992"/>
      <c r="K34" s="992"/>
      <c r="L34" s="992"/>
      <c r="M34" s="992"/>
      <c r="N34" s="992"/>
      <c r="O34" s="992"/>
      <c r="P34" s="992"/>
      <c r="Q34" s="993"/>
    </row>
  </sheetData>
  <mergeCells count="68">
    <mergeCell ref="E25:G25"/>
    <mergeCell ref="E26:G26"/>
    <mergeCell ref="E27:G27"/>
    <mergeCell ref="B29:Q34"/>
    <mergeCell ref="C25:D25"/>
    <mergeCell ref="C26:D26"/>
    <mergeCell ref="C27:D27"/>
    <mergeCell ref="C28:D28"/>
    <mergeCell ref="E28:I28"/>
    <mergeCell ref="L23:M23"/>
    <mergeCell ref="B11:Q14"/>
    <mergeCell ref="B15:B16"/>
    <mergeCell ref="E15:E16"/>
    <mergeCell ref="J15:J16"/>
    <mergeCell ref="K15:K16"/>
    <mergeCell ref="L15:M16"/>
    <mergeCell ref="Q15:Q16"/>
    <mergeCell ref="L17:M17"/>
    <mergeCell ref="L18:M18"/>
    <mergeCell ref="L19:M19"/>
    <mergeCell ref="L20:M20"/>
    <mergeCell ref="L22:M22"/>
    <mergeCell ref="F20:I20"/>
    <mergeCell ref="C17:D17"/>
    <mergeCell ref="C23:D23"/>
    <mergeCell ref="B1:D2"/>
    <mergeCell ref="E1:N2"/>
    <mergeCell ref="O2:Q2"/>
    <mergeCell ref="O3:Q3"/>
    <mergeCell ref="J3:M3"/>
    <mergeCell ref="H3:I3"/>
    <mergeCell ref="B3:C3"/>
    <mergeCell ref="D3:G3"/>
    <mergeCell ref="C22:D22"/>
    <mergeCell ref="C20:D20"/>
    <mergeCell ref="C19:D19"/>
    <mergeCell ref="C18:D18"/>
    <mergeCell ref="C15:D16"/>
    <mergeCell ref="B21:Q21"/>
    <mergeCell ref="F22:I22"/>
    <mergeCell ref="B6:G6"/>
    <mergeCell ref="N6:Q6"/>
    <mergeCell ref="B7:Q7"/>
    <mergeCell ref="B8:Q9"/>
    <mergeCell ref="H4:I4"/>
    <mergeCell ref="H5:I5"/>
    <mergeCell ref="O5:Q5"/>
    <mergeCell ref="B4:G4"/>
    <mergeCell ref="J4:M4"/>
    <mergeCell ref="N4:Q4"/>
    <mergeCell ref="B5:G5"/>
    <mergeCell ref="J5:M5"/>
    <mergeCell ref="F23:I23"/>
    <mergeCell ref="O1:P1"/>
    <mergeCell ref="N15:P15"/>
    <mergeCell ref="O16:P16"/>
    <mergeCell ref="O23:P23"/>
    <mergeCell ref="O22:P22"/>
    <mergeCell ref="O20:P20"/>
    <mergeCell ref="O19:P19"/>
    <mergeCell ref="O18:P18"/>
    <mergeCell ref="O17:P17"/>
    <mergeCell ref="H6:M6"/>
    <mergeCell ref="F15:I16"/>
    <mergeCell ref="F17:I17"/>
    <mergeCell ref="F18:I18"/>
    <mergeCell ref="F19:I19"/>
    <mergeCell ref="B10:Q10"/>
  </mergeCells>
  <printOptions horizontalCentered="1"/>
  <pageMargins left="0" right="0" top="0.19685039370078741" bottom="0" header="0" footer="0"/>
  <pageSetup paperSize="9" scale="85"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AJ35"/>
  <sheetViews>
    <sheetView rightToLeft="1" view="pageBreakPreview" zoomScaleNormal="100" zoomScaleSheetLayoutView="100" workbookViewId="0">
      <selection activeCell="X7" sqref="X7:AB7"/>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1.85546875" customWidth="1"/>
    <col min="8" max="8" width="8.7109375" customWidth="1"/>
    <col min="9" max="9" width="14.140625" customWidth="1"/>
    <col min="10" max="10" width="9.28515625" customWidth="1"/>
    <col min="11" max="11" width="2" customWidth="1"/>
    <col min="12" max="12" width="8.5703125" customWidth="1"/>
    <col min="13" max="13" width="9.7109375" customWidth="1"/>
    <col min="15" max="15" width="17.140625" customWidth="1"/>
    <col min="16" max="16" width="11.140625" style="4" customWidth="1"/>
    <col min="17" max="17" width="12" style="4" customWidth="1"/>
    <col min="18" max="18" width="3.5703125" style="4" customWidth="1"/>
    <col min="19" max="19" width="11.85546875" style="4" customWidth="1"/>
    <col min="20" max="20" width="13.28515625" style="4" customWidth="1"/>
    <col min="21" max="36" width="9.140625" style="118"/>
  </cols>
  <sheetData>
    <row r="1" spans="2:30" ht="29.25" customHeight="1" x14ac:dyDescent="0.25">
      <c r="B1" s="875" t="s">
        <v>199</v>
      </c>
      <c r="C1" s="875"/>
      <c r="D1" s="875"/>
      <c r="E1" s="876" t="s">
        <v>390</v>
      </c>
      <c r="F1" s="876"/>
      <c r="G1" s="876"/>
      <c r="H1" s="876"/>
      <c r="I1" s="876"/>
      <c r="J1" s="876"/>
      <c r="K1" s="876"/>
      <c r="L1" s="876"/>
      <c r="M1" s="876"/>
      <c r="N1" s="415" t="s">
        <v>391</v>
      </c>
      <c r="O1" s="419" t="s">
        <v>526</v>
      </c>
      <c r="P1" s="416"/>
    </row>
    <row r="2" spans="2:30" ht="29.25" customHeight="1" x14ac:dyDescent="0.25">
      <c r="B2" s="875"/>
      <c r="C2" s="875"/>
      <c r="D2" s="875"/>
      <c r="E2" s="876"/>
      <c r="F2" s="876"/>
      <c r="G2" s="876"/>
      <c r="H2" s="876"/>
      <c r="I2" s="876"/>
      <c r="J2" s="876"/>
      <c r="K2" s="876"/>
      <c r="L2" s="876"/>
      <c r="M2" s="876"/>
      <c r="N2" s="877" t="s">
        <v>525</v>
      </c>
      <c r="O2" s="877"/>
      <c r="P2" s="417"/>
    </row>
    <row r="3" spans="2:30" s="421" customFormat="1" ht="25.5" customHeight="1" x14ac:dyDescent="0.2">
      <c r="B3" s="1000" t="s">
        <v>393</v>
      </c>
      <c r="C3" s="1001"/>
      <c r="D3" s="884" t="str">
        <f>'نمونه اولیه'!D6:J6</f>
        <v>Y25-LSD1</v>
      </c>
      <c r="E3" s="884"/>
      <c r="F3" s="884"/>
      <c r="G3" s="974"/>
      <c r="H3" s="455" t="s">
        <v>529</v>
      </c>
      <c r="I3" s="882" t="str">
        <f>'نمونه اولیه'!D7</f>
        <v>0318.000000.0008</v>
      </c>
      <c r="J3" s="882"/>
      <c r="K3" s="882"/>
      <c r="L3" s="883"/>
      <c r="M3" s="491" t="s">
        <v>394</v>
      </c>
      <c r="N3" s="878" t="str">
        <f>فنرپیچی!J9</f>
        <v>54SiCr6</v>
      </c>
      <c r="O3" s="879"/>
      <c r="P3" s="420"/>
      <c r="Q3" s="420"/>
      <c r="R3" s="420"/>
      <c r="S3" s="420"/>
      <c r="T3" s="420"/>
    </row>
    <row r="4" spans="2:30" s="421" customFormat="1" ht="25.5" customHeight="1" x14ac:dyDescent="0.2">
      <c r="B4" s="997" t="s">
        <v>527</v>
      </c>
      <c r="C4" s="998"/>
      <c r="D4" s="998"/>
      <c r="E4" s="998"/>
      <c r="F4" s="998"/>
      <c r="G4" s="999"/>
      <c r="H4" s="872" t="s">
        <v>566</v>
      </c>
      <c r="I4" s="873"/>
      <c r="J4" s="873"/>
      <c r="K4" s="873"/>
      <c r="L4" s="874"/>
      <c r="M4" s="491" t="s">
        <v>395</v>
      </c>
      <c r="N4" s="482" t="s">
        <v>120</v>
      </c>
      <c r="O4" s="483" t="s">
        <v>400</v>
      </c>
      <c r="P4" s="422"/>
      <c r="Q4" s="426" t="s">
        <v>397</v>
      </c>
      <c r="R4" s="426" t="s">
        <v>153</v>
      </c>
      <c r="S4" s="426"/>
      <c r="T4" s="420"/>
    </row>
    <row r="5" spans="2:30" s="421" customFormat="1" ht="25.5" customHeight="1" x14ac:dyDescent="0.2">
      <c r="B5" s="1000" t="s">
        <v>565</v>
      </c>
      <c r="C5" s="1001"/>
      <c r="D5" s="1001"/>
      <c r="E5" s="1001"/>
      <c r="F5" s="1001"/>
      <c r="G5" s="1002"/>
      <c r="H5" s="872" t="s">
        <v>398</v>
      </c>
      <c r="I5" s="873"/>
      <c r="J5" s="873"/>
      <c r="K5" s="873"/>
      <c r="L5" s="874"/>
      <c r="M5" s="491" t="s">
        <v>399</v>
      </c>
      <c r="N5" s="880" t="str">
        <f>'نمونه اولیه'!N8:AD8</f>
        <v xml:space="preserve"> شرکت آروین تبریز</v>
      </c>
      <c r="O5" s="881"/>
      <c r="P5" s="420"/>
      <c r="Q5" s="426" t="s">
        <v>396</v>
      </c>
      <c r="R5" s="426" t="s">
        <v>400</v>
      </c>
      <c r="S5" s="426"/>
      <c r="T5" s="420"/>
    </row>
    <row r="6" spans="2:30" s="421" customFormat="1" ht="25.5" customHeight="1" x14ac:dyDescent="0.2">
      <c r="B6" s="1000" t="s">
        <v>530</v>
      </c>
      <c r="C6" s="1001"/>
      <c r="D6" s="1001"/>
      <c r="E6" s="1001"/>
      <c r="F6" s="1001"/>
      <c r="G6" s="1002"/>
      <c r="H6" s="872" t="s">
        <v>531</v>
      </c>
      <c r="I6" s="873"/>
      <c r="J6" s="873"/>
      <c r="K6" s="873"/>
      <c r="L6" s="874"/>
      <c r="M6" s="872" t="s">
        <v>528</v>
      </c>
      <c r="N6" s="873"/>
      <c r="O6" s="874"/>
      <c r="P6" s="420"/>
      <c r="Q6" s="420"/>
      <c r="R6" s="420"/>
      <c r="S6" s="420"/>
      <c r="T6" s="420"/>
    </row>
    <row r="7" spans="2:30" ht="21" customHeight="1" x14ac:dyDescent="0.25">
      <c r="B7" s="894" t="s">
        <v>401</v>
      </c>
      <c r="C7" s="894"/>
      <c r="D7" s="894"/>
      <c r="E7" s="894"/>
      <c r="F7" s="894"/>
      <c r="G7" s="894"/>
      <c r="H7" s="894"/>
      <c r="I7" s="894"/>
      <c r="J7" s="894"/>
      <c r="K7" s="894"/>
      <c r="L7" s="894"/>
      <c r="M7" s="894"/>
      <c r="N7" s="894"/>
      <c r="O7" s="894"/>
    </row>
    <row r="8" spans="2:30" ht="21" customHeight="1" x14ac:dyDescent="0.25">
      <c r="B8" s="895" t="s">
        <v>543</v>
      </c>
      <c r="C8" s="896"/>
      <c r="D8" s="896"/>
      <c r="E8" s="896"/>
      <c r="F8" s="896"/>
      <c r="G8" s="896"/>
      <c r="H8" s="896"/>
      <c r="I8" s="896"/>
      <c r="J8" s="896"/>
      <c r="K8" s="896"/>
      <c r="L8" s="896"/>
      <c r="M8" s="896"/>
      <c r="N8" s="896"/>
      <c r="O8" s="897"/>
    </row>
    <row r="9" spans="2:30" ht="27" customHeight="1" x14ac:dyDescent="0.25">
      <c r="B9" s="898"/>
      <c r="C9" s="899"/>
      <c r="D9" s="899"/>
      <c r="E9" s="899"/>
      <c r="F9" s="899"/>
      <c r="G9" s="899"/>
      <c r="H9" s="899"/>
      <c r="I9" s="899"/>
      <c r="J9" s="899"/>
      <c r="K9" s="899"/>
      <c r="L9" s="899"/>
      <c r="M9" s="899"/>
      <c r="N9" s="899"/>
      <c r="O9" s="900"/>
      <c r="P9" s="202"/>
      <c r="Q9" s="202"/>
      <c r="R9" s="202"/>
      <c r="S9" s="202"/>
      <c r="T9" s="202"/>
      <c r="U9" s="200"/>
      <c r="V9" s="200"/>
      <c r="W9" s="200"/>
      <c r="X9" s="200"/>
      <c r="Y9" s="200"/>
      <c r="Z9" s="200"/>
      <c r="AA9" s="200"/>
      <c r="AB9" s="200"/>
      <c r="AC9" s="200"/>
      <c r="AD9" s="200"/>
    </row>
    <row r="10" spans="2:30" ht="18.75" customHeight="1" x14ac:dyDescent="0.25">
      <c r="B10" s="894" t="s">
        <v>470</v>
      </c>
      <c r="C10" s="894"/>
      <c r="D10" s="894"/>
      <c r="E10" s="894"/>
      <c r="F10" s="894"/>
      <c r="G10" s="894"/>
      <c r="H10" s="894"/>
      <c r="I10" s="894"/>
      <c r="J10" s="894"/>
      <c r="K10" s="894"/>
      <c r="L10" s="894"/>
      <c r="M10" s="894"/>
      <c r="N10" s="894"/>
      <c r="O10" s="894"/>
      <c r="P10" s="202"/>
      <c r="Q10" s="202"/>
      <c r="R10" s="202"/>
      <c r="S10" s="202"/>
      <c r="T10" s="202"/>
      <c r="U10" s="200"/>
      <c r="V10" s="200"/>
      <c r="W10" s="200"/>
      <c r="X10" s="200"/>
      <c r="Y10" s="200"/>
      <c r="Z10" s="200"/>
      <c r="AA10" s="200"/>
      <c r="AB10" s="200"/>
      <c r="AC10" s="200"/>
      <c r="AD10" s="200"/>
    </row>
    <row r="11" spans="2:30" ht="18.75" customHeight="1" x14ac:dyDescent="0.25">
      <c r="B11" s="895" t="s">
        <v>545</v>
      </c>
      <c r="C11" s="896"/>
      <c r="D11" s="896"/>
      <c r="E11" s="896"/>
      <c r="F11" s="896"/>
      <c r="G11" s="896"/>
      <c r="H11" s="896"/>
      <c r="I11" s="896"/>
      <c r="J11" s="896"/>
      <c r="K11" s="896"/>
      <c r="L11" s="896"/>
      <c r="M11" s="896"/>
      <c r="N11" s="896"/>
      <c r="O11" s="897"/>
      <c r="P11" s="390"/>
      <c r="Q11" s="390"/>
      <c r="R11" s="391"/>
      <c r="S11" s="391"/>
      <c r="T11" s="391"/>
      <c r="U11" s="392"/>
      <c r="V11" s="392"/>
      <c r="W11" s="392"/>
      <c r="X11" s="392"/>
      <c r="Y11" s="392"/>
      <c r="Z11" s="392"/>
      <c r="AA11" s="200"/>
      <c r="AB11" s="200"/>
      <c r="AC11" s="200"/>
      <c r="AD11" s="200"/>
    </row>
    <row r="12" spans="2:30" ht="18.75" customHeight="1" x14ac:dyDescent="0.25">
      <c r="B12" s="895"/>
      <c r="C12" s="896"/>
      <c r="D12" s="896"/>
      <c r="E12" s="896"/>
      <c r="F12" s="896"/>
      <c r="G12" s="896"/>
      <c r="H12" s="896"/>
      <c r="I12" s="896"/>
      <c r="J12" s="896"/>
      <c r="K12" s="896"/>
      <c r="L12" s="896"/>
      <c r="M12" s="896"/>
      <c r="N12" s="896"/>
      <c r="O12" s="897"/>
      <c r="P12" s="390"/>
      <c r="Q12" s="390"/>
      <c r="R12" s="391"/>
      <c r="S12" s="391"/>
      <c r="T12" s="391"/>
      <c r="U12" s="392"/>
      <c r="V12" s="392"/>
      <c r="W12" s="392"/>
      <c r="X12" s="392"/>
      <c r="Y12" s="392"/>
      <c r="Z12" s="392"/>
      <c r="AA12" s="200"/>
      <c r="AB12" s="200"/>
      <c r="AC12" s="200"/>
      <c r="AD12" s="200"/>
    </row>
    <row r="13" spans="2:30" ht="22.5" customHeight="1" x14ac:dyDescent="0.25">
      <c r="B13" s="895"/>
      <c r="C13" s="896"/>
      <c r="D13" s="896"/>
      <c r="E13" s="896"/>
      <c r="F13" s="896"/>
      <c r="G13" s="896"/>
      <c r="H13" s="896"/>
      <c r="I13" s="896"/>
      <c r="J13" s="896"/>
      <c r="K13" s="896"/>
      <c r="L13" s="896"/>
      <c r="M13" s="896"/>
      <c r="N13" s="896"/>
      <c r="O13" s="897"/>
      <c r="P13" s="391"/>
      <c r="Q13" s="391"/>
      <c r="R13" s="391"/>
      <c r="S13" s="391"/>
      <c r="T13" s="391"/>
      <c r="U13" s="392"/>
      <c r="V13" s="392"/>
      <c r="W13" s="392"/>
      <c r="X13" s="392"/>
      <c r="Y13" s="392"/>
      <c r="Z13" s="392"/>
      <c r="AA13" s="200"/>
      <c r="AB13" s="200"/>
      <c r="AC13" s="200"/>
      <c r="AD13" s="200"/>
    </row>
    <row r="14" spans="2:30" ht="6.75" customHeight="1" x14ac:dyDescent="0.25">
      <c r="B14" s="901"/>
      <c r="C14" s="901"/>
      <c r="D14" s="901"/>
      <c r="E14" s="901"/>
      <c r="F14" s="901"/>
      <c r="G14" s="901"/>
      <c r="H14" s="901"/>
      <c r="I14" s="901"/>
      <c r="J14" s="901"/>
      <c r="K14" s="901"/>
      <c r="L14" s="901"/>
      <c r="M14" s="901"/>
      <c r="N14" s="901"/>
      <c r="O14" s="901"/>
      <c r="P14" s="202"/>
      <c r="Q14" s="202"/>
      <c r="R14" s="202"/>
      <c r="S14" s="202"/>
      <c r="T14" s="202"/>
      <c r="U14" s="200"/>
      <c r="V14" s="200"/>
      <c r="W14" s="200"/>
      <c r="X14" s="200"/>
      <c r="Y14" s="200"/>
      <c r="Z14" s="200"/>
      <c r="AA14" s="200"/>
      <c r="AB14" s="200"/>
      <c r="AC14" s="200"/>
      <c r="AD14" s="200"/>
    </row>
    <row r="15" spans="2:30" ht="25.5" customHeight="1" x14ac:dyDescent="0.25">
      <c r="B15" s="885" t="s">
        <v>404</v>
      </c>
      <c r="C15" s="886" t="s">
        <v>106</v>
      </c>
      <c r="D15" s="887"/>
      <c r="E15" s="890" t="s">
        <v>405</v>
      </c>
      <c r="F15" s="886" t="s">
        <v>406</v>
      </c>
      <c r="G15" s="891"/>
      <c r="H15" s="887"/>
      <c r="I15" s="893" t="s">
        <v>407</v>
      </c>
      <c r="J15" s="893" t="s">
        <v>408</v>
      </c>
      <c r="K15" s="893" t="s">
        <v>409</v>
      </c>
      <c r="L15" s="893"/>
      <c r="M15" s="893" t="s">
        <v>410</v>
      </c>
      <c r="N15" s="893"/>
      <c r="O15" s="893" t="s">
        <v>411</v>
      </c>
      <c r="P15" s="202"/>
      <c r="Q15" s="202"/>
      <c r="R15" s="202"/>
      <c r="S15" s="202"/>
      <c r="T15" s="202"/>
      <c r="U15" s="200"/>
      <c r="V15" s="200"/>
      <c r="W15" s="200"/>
      <c r="X15" s="200"/>
      <c r="Y15" s="200"/>
      <c r="Z15" s="200"/>
      <c r="AA15" s="200"/>
      <c r="AB15" s="200"/>
      <c r="AC15" s="200"/>
      <c r="AD15" s="200"/>
    </row>
    <row r="16" spans="2:30" ht="25.5" customHeight="1" x14ac:dyDescent="0.25">
      <c r="B16" s="885"/>
      <c r="C16" s="888"/>
      <c r="D16" s="889"/>
      <c r="E16" s="890"/>
      <c r="F16" s="888"/>
      <c r="G16" s="892"/>
      <c r="H16" s="889"/>
      <c r="I16" s="893"/>
      <c r="J16" s="893"/>
      <c r="K16" s="893"/>
      <c r="L16" s="893"/>
      <c r="M16" s="484" t="s">
        <v>248</v>
      </c>
      <c r="N16" s="484" t="s">
        <v>412</v>
      </c>
      <c r="O16" s="893"/>
      <c r="Q16" s="3" t="s">
        <v>97</v>
      </c>
      <c r="R16" s="425" t="s">
        <v>374</v>
      </c>
      <c r="S16" s="3" t="s">
        <v>254</v>
      </c>
    </row>
    <row r="17" spans="2:36" ht="31.5" customHeight="1" x14ac:dyDescent="0.25">
      <c r="B17" s="393">
        <v>1</v>
      </c>
      <c r="C17" s="902" t="s">
        <v>36</v>
      </c>
      <c r="D17" s="903"/>
      <c r="E17" s="495" t="s">
        <v>413</v>
      </c>
      <c r="F17" s="904" t="str">
        <f>IF(Q17="",'نمونه اولیه'!I11,CONCATENATE(Q17,R17,S17))</f>
        <v>7 ± 0.15</v>
      </c>
      <c r="G17" s="905"/>
      <c r="H17" s="906"/>
      <c r="I17" s="400" t="s">
        <v>414</v>
      </c>
      <c r="J17" s="486" t="s">
        <v>415</v>
      </c>
      <c r="K17" s="907" t="s">
        <v>416</v>
      </c>
      <c r="L17" s="907"/>
      <c r="M17" s="485">
        <v>1</v>
      </c>
      <c r="N17" s="485" t="s">
        <v>425</v>
      </c>
      <c r="O17" s="486" t="s">
        <v>417</v>
      </c>
      <c r="Q17" s="3"/>
      <c r="R17" s="423" t="s">
        <v>532</v>
      </c>
      <c r="S17" s="3"/>
      <c r="T17" s="3" t="s">
        <v>36</v>
      </c>
    </row>
    <row r="18" spans="2:36" ht="31.5" customHeight="1" x14ac:dyDescent="0.25">
      <c r="B18" s="393">
        <v>3</v>
      </c>
      <c r="C18" s="902" t="s">
        <v>421</v>
      </c>
      <c r="D18" s="903"/>
      <c r="E18" s="495" t="s">
        <v>413</v>
      </c>
      <c r="F18" s="908" t="str">
        <f>'نمونه اولیه'!I21</f>
        <v>L.H</v>
      </c>
      <c r="G18" s="909"/>
      <c r="H18" s="910"/>
      <c r="I18" s="400" t="s">
        <v>591</v>
      </c>
      <c r="J18" s="486" t="s">
        <v>423</v>
      </c>
      <c r="K18" s="911" t="s">
        <v>124</v>
      </c>
      <c r="L18" s="911"/>
      <c r="M18" s="485">
        <v>1</v>
      </c>
      <c r="N18" s="485" t="s">
        <v>425</v>
      </c>
      <c r="O18" s="486" t="s">
        <v>546</v>
      </c>
      <c r="Q18" s="3" t="s">
        <v>97</v>
      </c>
      <c r="R18" s="425" t="s">
        <v>374</v>
      </c>
      <c r="S18" s="3" t="s">
        <v>254</v>
      </c>
    </row>
    <row r="19" spans="2:36" ht="31.5" customHeight="1" x14ac:dyDescent="0.25">
      <c r="B19" s="393">
        <v>4</v>
      </c>
      <c r="C19" s="902" t="s">
        <v>427</v>
      </c>
      <c r="D19" s="903"/>
      <c r="E19" s="495" t="s">
        <v>418</v>
      </c>
      <c r="F19" s="912" t="str">
        <f>CONCATENATE(Q19,R19,S19)</f>
        <v>±</v>
      </c>
      <c r="G19" s="913" t="str">
        <f>[3]HyperLink!I5</f>
        <v>±</v>
      </c>
      <c r="H19" s="914">
        <v>570</v>
      </c>
      <c r="I19" s="400" t="s">
        <v>414</v>
      </c>
      <c r="J19" s="486" t="s">
        <v>428</v>
      </c>
      <c r="K19" s="907" t="s">
        <v>420</v>
      </c>
      <c r="L19" s="907"/>
      <c r="M19" s="485">
        <v>1</v>
      </c>
      <c r="N19" s="485">
        <v>3</v>
      </c>
      <c r="O19" s="485" t="s">
        <v>592</v>
      </c>
      <c r="Q19" s="3"/>
      <c r="R19" s="423" t="s">
        <v>532</v>
      </c>
      <c r="S19" s="3"/>
      <c r="T19" s="3" t="s">
        <v>427</v>
      </c>
    </row>
    <row r="20" spans="2:36" ht="31.5" customHeight="1" x14ac:dyDescent="0.25">
      <c r="B20" s="393">
        <v>5</v>
      </c>
      <c r="C20" s="902" t="s">
        <v>70</v>
      </c>
      <c r="D20" s="903"/>
      <c r="E20" s="495" t="s">
        <v>418</v>
      </c>
      <c r="F20" s="904" t="str">
        <f>IF(Q20="",'نمونه اولیه'!I15,CONCATENATE(Q20,R20,S20))</f>
        <v>5.7 ± 0</v>
      </c>
      <c r="G20" s="905"/>
      <c r="H20" s="906"/>
      <c r="I20" s="400" t="s">
        <v>414</v>
      </c>
      <c r="J20" s="486" t="s">
        <v>548</v>
      </c>
      <c r="K20" s="907" t="s">
        <v>420</v>
      </c>
      <c r="L20" s="907"/>
      <c r="M20" s="485">
        <v>1</v>
      </c>
      <c r="N20" s="485">
        <v>3</v>
      </c>
      <c r="O20" s="485" t="s">
        <v>592</v>
      </c>
      <c r="Q20" s="3"/>
      <c r="R20" s="423" t="s">
        <v>532</v>
      </c>
      <c r="S20" s="3"/>
      <c r="T20" s="3" t="s">
        <v>70</v>
      </c>
    </row>
    <row r="21" spans="2:36" ht="31.5" customHeight="1" x14ac:dyDescent="0.25">
      <c r="B21" s="393">
        <v>6</v>
      </c>
      <c r="C21" s="902" t="s">
        <v>432</v>
      </c>
      <c r="D21" s="903"/>
      <c r="E21" s="495" t="s">
        <v>418</v>
      </c>
      <c r="F21" s="904" t="str">
        <f>IF(Q21="",'نمونه اولیه'!I13,CONCATENATE(Q21,R21,S21))</f>
        <v>194 ± 3.3</v>
      </c>
      <c r="G21" s="905"/>
      <c r="H21" s="906"/>
      <c r="I21" s="400" t="s">
        <v>414</v>
      </c>
      <c r="J21" s="486" t="s">
        <v>548</v>
      </c>
      <c r="K21" s="907" t="s">
        <v>416</v>
      </c>
      <c r="L21" s="907"/>
      <c r="M21" s="485">
        <v>1</v>
      </c>
      <c r="N21" s="485">
        <v>10</v>
      </c>
      <c r="O21" s="485" t="s">
        <v>592</v>
      </c>
      <c r="P21" s="418"/>
      <c r="Q21" s="3"/>
      <c r="R21" s="423" t="s">
        <v>532</v>
      </c>
      <c r="S21" s="3"/>
      <c r="T21" s="3" t="s">
        <v>533</v>
      </c>
    </row>
    <row r="22" spans="2:36" s="151" customFormat="1" ht="31.5" customHeight="1" x14ac:dyDescent="0.25">
      <c r="B22" s="393">
        <v>7</v>
      </c>
      <c r="C22" s="902" t="s">
        <v>472</v>
      </c>
      <c r="D22" s="903"/>
      <c r="E22" s="495" t="s">
        <v>413</v>
      </c>
      <c r="F22" s="902" t="s">
        <v>473</v>
      </c>
      <c r="G22" s="915"/>
      <c r="H22" s="903"/>
      <c r="I22" s="400" t="s">
        <v>593</v>
      </c>
      <c r="J22" s="486" t="s">
        <v>549</v>
      </c>
      <c r="K22" s="907" t="s">
        <v>124</v>
      </c>
      <c r="L22" s="907"/>
      <c r="M22" s="485">
        <v>1</v>
      </c>
      <c r="N22" s="485">
        <v>10</v>
      </c>
      <c r="O22" s="485" t="s">
        <v>592</v>
      </c>
      <c r="P22" s="4"/>
      <c r="Q22" s="202"/>
      <c r="R22" s="424"/>
      <c r="S22" s="202"/>
      <c r="T22" s="4"/>
      <c r="U22" s="118"/>
      <c r="V22" s="118"/>
      <c r="W22" s="118"/>
      <c r="X22" s="118"/>
      <c r="Y22" s="118"/>
      <c r="Z22" s="118"/>
      <c r="AA22" s="118"/>
      <c r="AB22" s="118"/>
      <c r="AC22" s="118"/>
      <c r="AD22" s="118"/>
      <c r="AE22" s="118"/>
      <c r="AF22" s="118"/>
      <c r="AG22" s="118"/>
      <c r="AH22" s="118"/>
      <c r="AI22" s="118"/>
      <c r="AJ22" s="118"/>
    </row>
    <row r="23" spans="2:36" s="151" customFormat="1" ht="31.5" customHeight="1" x14ac:dyDescent="0.25">
      <c r="B23" s="394">
        <v>8</v>
      </c>
      <c r="C23" s="902" t="s">
        <v>594</v>
      </c>
      <c r="D23" s="903"/>
      <c r="E23" s="497" t="s">
        <v>413</v>
      </c>
      <c r="F23" s="902" t="str">
        <f>'نمونه اولیه'!I17</f>
        <v>بسته و سنگ خورده</v>
      </c>
      <c r="G23" s="915"/>
      <c r="H23" s="903"/>
      <c r="I23" s="501" t="s">
        <v>422</v>
      </c>
      <c r="J23" s="395" t="s">
        <v>423</v>
      </c>
      <c r="K23" s="907" t="s">
        <v>124</v>
      </c>
      <c r="L23" s="907"/>
      <c r="M23" s="487">
        <v>1</v>
      </c>
      <c r="N23" s="487">
        <v>20</v>
      </c>
      <c r="O23" s="485" t="s">
        <v>592</v>
      </c>
      <c r="P23" s="4"/>
      <c r="Q23" s="202"/>
      <c r="R23" s="424"/>
      <c r="S23" s="202"/>
      <c r="T23" s="4"/>
      <c r="U23" s="118"/>
      <c r="V23" s="118"/>
      <c r="W23" s="118"/>
      <c r="X23" s="118"/>
      <c r="Y23" s="118"/>
      <c r="Z23" s="118"/>
      <c r="AA23" s="118"/>
      <c r="AB23" s="118"/>
      <c r="AC23" s="118"/>
      <c r="AD23" s="118"/>
      <c r="AE23" s="118"/>
      <c r="AF23" s="118"/>
      <c r="AG23" s="118"/>
      <c r="AH23" s="118"/>
      <c r="AI23" s="118"/>
      <c r="AJ23" s="118"/>
    </row>
    <row r="24" spans="2:36" s="151" customFormat="1" ht="30" customHeight="1" x14ac:dyDescent="0.25">
      <c r="B24" s="394">
        <v>9</v>
      </c>
      <c r="C24" s="920" t="s">
        <v>595</v>
      </c>
      <c r="D24" s="921"/>
      <c r="E24" s="497" t="s">
        <v>413</v>
      </c>
      <c r="F24" s="922" t="str">
        <f>'نمونه اولیه'!I18</f>
        <v>بسته و سنگ خورده</v>
      </c>
      <c r="G24" s="923"/>
      <c r="H24" s="924"/>
      <c r="I24" s="501" t="s">
        <v>422</v>
      </c>
      <c r="J24" s="395" t="s">
        <v>423</v>
      </c>
      <c r="K24" s="925" t="s">
        <v>124</v>
      </c>
      <c r="L24" s="925"/>
      <c r="M24" s="487">
        <v>1</v>
      </c>
      <c r="N24" s="487">
        <v>20</v>
      </c>
      <c r="O24" s="487" t="s">
        <v>592</v>
      </c>
      <c r="P24" s="4"/>
      <c r="Q24" s="4"/>
      <c r="R24" s="4"/>
      <c r="S24" s="4"/>
      <c r="T24" s="4"/>
      <c r="U24" s="118"/>
      <c r="V24" s="118"/>
      <c r="W24" s="118"/>
      <c r="X24" s="118"/>
      <c r="Y24" s="118"/>
      <c r="Z24" s="118"/>
      <c r="AA24" s="118"/>
      <c r="AB24" s="118"/>
      <c r="AC24" s="118"/>
      <c r="AD24" s="118"/>
      <c r="AE24" s="118"/>
      <c r="AF24" s="118"/>
      <c r="AG24" s="118"/>
      <c r="AH24" s="118"/>
      <c r="AI24" s="118"/>
      <c r="AJ24" s="118"/>
    </row>
    <row r="25" spans="2:36" s="151" customFormat="1" ht="19.5" customHeight="1" x14ac:dyDescent="0.25">
      <c r="B25" s="932" t="s">
        <v>564</v>
      </c>
      <c r="C25" s="933"/>
      <c r="D25" s="933"/>
      <c r="E25" s="933"/>
      <c r="F25" s="933"/>
      <c r="G25" s="933"/>
      <c r="H25" s="933"/>
      <c r="I25" s="933"/>
      <c r="J25" s="933"/>
      <c r="K25" s="933"/>
      <c r="L25" s="933"/>
      <c r="M25" s="933"/>
      <c r="N25" s="933"/>
      <c r="O25" s="934"/>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30" customHeight="1" x14ac:dyDescent="0.25">
      <c r="B26" s="401">
        <v>1</v>
      </c>
      <c r="C26" s="926" t="s">
        <v>474</v>
      </c>
      <c r="D26" s="927"/>
      <c r="E26" s="496" t="s">
        <v>413</v>
      </c>
      <c r="F26" s="1003" t="s">
        <v>475</v>
      </c>
      <c r="G26" s="1004"/>
      <c r="H26" s="1005"/>
      <c r="I26" s="402" t="s">
        <v>476</v>
      </c>
      <c r="J26" s="444" t="s">
        <v>423</v>
      </c>
      <c r="K26" s="1006" t="s">
        <v>124</v>
      </c>
      <c r="L26" s="1007"/>
      <c r="M26" s="488">
        <v>1</v>
      </c>
      <c r="N26" s="488" t="s">
        <v>471</v>
      </c>
      <c r="O26" s="444" t="s">
        <v>445</v>
      </c>
      <c r="P26" s="4"/>
      <c r="Q26" s="3" t="s">
        <v>551</v>
      </c>
      <c r="R26" s="425"/>
      <c r="S26" s="3" t="s">
        <v>550</v>
      </c>
      <c r="T26" s="4"/>
      <c r="U26" s="118"/>
      <c r="V26" s="118"/>
      <c r="W26" s="118"/>
      <c r="X26" s="118"/>
      <c r="Y26" s="118"/>
      <c r="Z26" s="118"/>
      <c r="AA26" s="118"/>
      <c r="AB26" s="118"/>
      <c r="AC26" s="118"/>
      <c r="AD26" s="118"/>
      <c r="AE26" s="118"/>
      <c r="AF26" s="118"/>
      <c r="AG26" s="118"/>
      <c r="AH26" s="118"/>
      <c r="AI26" s="118"/>
      <c r="AJ26" s="118"/>
    </row>
    <row r="27" spans="2:36" s="151" customFormat="1" ht="30" customHeight="1" x14ac:dyDescent="0.25">
      <c r="B27" s="393">
        <v>2</v>
      </c>
      <c r="C27" s="902" t="s">
        <v>477</v>
      </c>
      <c r="D27" s="903"/>
      <c r="E27" s="495" t="s">
        <v>418</v>
      </c>
      <c r="F27" s="1008" t="str">
        <f>CONCATENATE(S27,R27,Q27," psi")</f>
        <v>30-40 psi</v>
      </c>
      <c r="G27" s="1009"/>
      <c r="H27" s="1010"/>
      <c r="I27" s="400" t="s">
        <v>478</v>
      </c>
      <c r="J27" s="486" t="s">
        <v>479</v>
      </c>
      <c r="K27" s="1011" t="s">
        <v>480</v>
      </c>
      <c r="L27" s="1012"/>
      <c r="M27" s="485">
        <v>1</v>
      </c>
      <c r="N27" s="485" t="s">
        <v>471</v>
      </c>
      <c r="O27" s="486" t="s">
        <v>481</v>
      </c>
      <c r="P27" s="4"/>
      <c r="Q27" s="3">
        <v>40</v>
      </c>
      <c r="R27" s="423" t="s">
        <v>124</v>
      </c>
      <c r="S27" s="3">
        <v>30</v>
      </c>
      <c r="T27" s="3" t="str">
        <f>C27</f>
        <v>فشار فیدر رولرها</v>
      </c>
      <c r="U27" s="118"/>
      <c r="V27" s="118"/>
      <c r="W27" s="118"/>
      <c r="X27" s="118"/>
      <c r="Y27" s="118"/>
      <c r="Z27" s="118"/>
      <c r="AA27" s="118"/>
      <c r="AB27" s="118"/>
      <c r="AC27" s="118"/>
      <c r="AD27" s="118"/>
      <c r="AE27" s="118"/>
      <c r="AF27" s="118"/>
      <c r="AG27" s="118"/>
      <c r="AH27" s="118"/>
      <c r="AI27" s="118"/>
      <c r="AJ27" s="118"/>
    </row>
    <row r="28" spans="2:36" s="151" customFormat="1" ht="30" customHeight="1" x14ac:dyDescent="0.25">
      <c r="B28" s="393">
        <v>3</v>
      </c>
      <c r="C28" s="902" t="s">
        <v>482</v>
      </c>
      <c r="D28" s="903"/>
      <c r="E28" s="495" t="s">
        <v>418</v>
      </c>
      <c r="F28" s="1008" t="str">
        <f>CONCATENATE(S28,R28,Q28," psi")</f>
        <v>45-55 psi</v>
      </c>
      <c r="G28" s="1009"/>
      <c r="H28" s="1010"/>
      <c r="I28" s="400" t="s">
        <v>483</v>
      </c>
      <c r="J28" s="486" t="s">
        <v>479</v>
      </c>
      <c r="K28" s="1011" t="s">
        <v>484</v>
      </c>
      <c r="L28" s="1012"/>
      <c r="M28" s="485">
        <v>1</v>
      </c>
      <c r="N28" s="485" t="s">
        <v>471</v>
      </c>
      <c r="O28" s="486" t="s">
        <v>481</v>
      </c>
      <c r="P28" s="4"/>
      <c r="Q28" s="3">
        <v>55</v>
      </c>
      <c r="R28" s="423" t="s">
        <v>124</v>
      </c>
      <c r="S28" s="3">
        <v>45</v>
      </c>
      <c r="T28" s="3" t="str">
        <f>C28</f>
        <v>فشار هیدرولیک</v>
      </c>
      <c r="U28" s="118"/>
      <c r="V28" s="118"/>
      <c r="W28" s="118"/>
      <c r="X28" s="118"/>
      <c r="Y28" s="118"/>
      <c r="Z28" s="118"/>
      <c r="AA28" s="118"/>
      <c r="AB28" s="118"/>
      <c r="AC28" s="118"/>
      <c r="AD28" s="118"/>
      <c r="AE28" s="118"/>
      <c r="AF28" s="118"/>
      <c r="AG28" s="118"/>
      <c r="AH28" s="118"/>
      <c r="AI28" s="118"/>
      <c r="AJ28" s="118"/>
    </row>
    <row r="29" spans="2:36" s="151" customFormat="1" ht="30" customHeight="1" x14ac:dyDescent="0.25">
      <c r="B29" s="393">
        <v>4</v>
      </c>
      <c r="C29" s="946" t="s">
        <v>485</v>
      </c>
      <c r="D29" s="947"/>
      <c r="E29" s="495" t="s">
        <v>413</v>
      </c>
      <c r="F29" s="939" t="s">
        <v>547</v>
      </c>
      <c r="G29" s="940"/>
      <c r="H29" s="941"/>
      <c r="I29" s="400" t="s">
        <v>422</v>
      </c>
      <c r="J29" s="486" t="s">
        <v>423</v>
      </c>
      <c r="K29" s="1011" t="s">
        <v>124</v>
      </c>
      <c r="L29" s="1012"/>
      <c r="M29" s="485">
        <v>1</v>
      </c>
      <c r="N29" s="485" t="s">
        <v>471</v>
      </c>
      <c r="O29" s="486" t="s">
        <v>486</v>
      </c>
      <c r="P29" s="4"/>
      <c r="U29" s="118"/>
      <c r="V29" s="118"/>
      <c r="W29" s="118"/>
      <c r="X29" s="118"/>
      <c r="Y29" s="118"/>
      <c r="Z29" s="118"/>
      <c r="AA29" s="118"/>
      <c r="AB29" s="118"/>
      <c r="AC29" s="118"/>
      <c r="AD29" s="118"/>
      <c r="AE29" s="118"/>
      <c r="AF29" s="118"/>
      <c r="AG29" s="118"/>
      <c r="AH29" s="118"/>
      <c r="AI29" s="118"/>
      <c r="AJ29" s="118"/>
    </row>
    <row r="30" spans="2:36" s="151" customFormat="1" ht="30" customHeight="1" x14ac:dyDescent="0.25">
      <c r="B30" s="393">
        <v>5</v>
      </c>
      <c r="C30" s="902" t="s">
        <v>487</v>
      </c>
      <c r="D30" s="903"/>
      <c r="E30" s="495" t="s">
        <v>418</v>
      </c>
      <c r="F30" s="939" t="s">
        <v>447</v>
      </c>
      <c r="G30" s="940"/>
      <c r="H30" s="941"/>
      <c r="I30" s="400" t="s">
        <v>488</v>
      </c>
      <c r="J30" s="486" t="s">
        <v>489</v>
      </c>
      <c r="K30" s="1011">
        <v>1</v>
      </c>
      <c r="L30" s="1012"/>
      <c r="M30" s="485">
        <v>100</v>
      </c>
      <c r="N30" s="485">
        <v>100</v>
      </c>
      <c r="O30" s="486" t="s">
        <v>490</v>
      </c>
      <c r="P30" s="4"/>
      <c r="U30" s="118"/>
      <c r="V30" s="118"/>
      <c r="W30" s="118"/>
      <c r="X30" s="118"/>
      <c r="Y30" s="118"/>
      <c r="Z30" s="118"/>
      <c r="AA30" s="118"/>
      <c r="AB30" s="118"/>
      <c r="AC30" s="118"/>
      <c r="AD30" s="118"/>
      <c r="AE30" s="118"/>
      <c r="AF30" s="118"/>
      <c r="AG30" s="118"/>
      <c r="AH30" s="118"/>
      <c r="AI30" s="118"/>
      <c r="AJ30" s="118"/>
    </row>
    <row r="31" spans="2:36" s="151" customFormat="1" ht="30" customHeight="1" x14ac:dyDescent="0.25">
      <c r="B31" s="393">
        <v>6</v>
      </c>
      <c r="C31" s="902" t="s">
        <v>491</v>
      </c>
      <c r="D31" s="903"/>
      <c r="E31" s="495" t="s">
        <v>418</v>
      </c>
      <c r="F31" s="939" t="s">
        <v>447</v>
      </c>
      <c r="G31" s="940"/>
      <c r="H31" s="941"/>
      <c r="I31" s="400" t="s">
        <v>492</v>
      </c>
      <c r="J31" s="486" t="s">
        <v>423</v>
      </c>
      <c r="K31" s="1011" t="s">
        <v>124</v>
      </c>
      <c r="L31" s="1012"/>
      <c r="M31" s="485">
        <v>100</v>
      </c>
      <c r="N31" s="485">
        <v>100</v>
      </c>
      <c r="O31" s="486" t="s">
        <v>493</v>
      </c>
      <c r="P31" s="4"/>
      <c r="U31" s="118"/>
      <c r="V31" s="118"/>
      <c r="W31" s="118"/>
      <c r="X31" s="118"/>
      <c r="Y31" s="118"/>
      <c r="Z31" s="118"/>
      <c r="AA31" s="118"/>
      <c r="AB31" s="118"/>
      <c r="AC31" s="118"/>
      <c r="AD31" s="118"/>
      <c r="AE31" s="118"/>
      <c r="AF31" s="118"/>
      <c r="AG31" s="118"/>
      <c r="AH31" s="118"/>
      <c r="AI31" s="118"/>
      <c r="AJ31" s="118"/>
    </row>
    <row r="32" spans="2:36" s="151" customFormat="1" ht="30" customHeight="1" x14ac:dyDescent="0.25">
      <c r="B32" s="393">
        <v>7</v>
      </c>
      <c r="C32" s="902" t="s">
        <v>494</v>
      </c>
      <c r="D32" s="903"/>
      <c r="E32" s="495" t="s">
        <v>418</v>
      </c>
      <c r="F32" s="1013" t="s">
        <v>495</v>
      </c>
      <c r="G32" s="1014"/>
      <c r="H32" s="1015"/>
      <c r="I32" s="400" t="s">
        <v>422</v>
      </c>
      <c r="J32" s="486" t="s">
        <v>423</v>
      </c>
      <c r="K32" s="1011" t="s">
        <v>124</v>
      </c>
      <c r="L32" s="1012"/>
      <c r="M32" s="485">
        <v>100</v>
      </c>
      <c r="N32" s="485">
        <v>100</v>
      </c>
      <c r="O32" s="486" t="s">
        <v>493</v>
      </c>
      <c r="P32" s="4"/>
      <c r="U32" s="118"/>
      <c r="V32" s="118"/>
      <c r="W32" s="118"/>
      <c r="X32" s="118"/>
      <c r="Y32" s="118"/>
      <c r="Z32" s="118"/>
      <c r="AA32" s="118"/>
      <c r="AB32" s="118"/>
      <c r="AC32" s="118"/>
      <c r="AD32" s="118"/>
      <c r="AE32" s="118"/>
      <c r="AF32" s="118"/>
      <c r="AG32" s="118"/>
      <c r="AH32" s="118"/>
      <c r="AI32" s="118"/>
      <c r="AJ32" s="118"/>
    </row>
    <row r="33" spans="2:36" s="151" customFormat="1" ht="20.25" customHeight="1" x14ac:dyDescent="0.25">
      <c r="B33" s="936" t="s">
        <v>584</v>
      </c>
      <c r="C33" s="937"/>
      <c r="D33" s="937"/>
      <c r="E33" s="937"/>
      <c r="F33" s="937"/>
      <c r="G33" s="937"/>
      <c r="H33" s="937"/>
      <c r="I33" s="937"/>
      <c r="J33" s="937"/>
      <c r="K33" s="396"/>
      <c r="L33" s="118"/>
      <c r="M33" s="396"/>
      <c r="N33" s="396"/>
      <c r="O33" s="396"/>
      <c r="P33" s="4"/>
      <c r="Q33" s="4"/>
      <c r="R33" s="4"/>
      <c r="S33" s="4"/>
      <c r="T33" s="4"/>
      <c r="U33" s="118"/>
      <c r="V33" s="118"/>
      <c r="W33" s="118"/>
      <c r="X33" s="118"/>
      <c r="Y33" s="118"/>
      <c r="Z33" s="118"/>
      <c r="AA33" s="118"/>
      <c r="AB33" s="118"/>
      <c r="AC33" s="118"/>
      <c r="AD33" s="118"/>
      <c r="AE33" s="118"/>
      <c r="AF33" s="118"/>
      <c r="AG33" s="118"/>
      <c r="AH33" s="118"/>
      <c r="AI33" s="118"/>
      <c r="AJ33" s="118"/>
    </row>
    <row r="34" spans="2:36" s="151" customFormat="1" ht="28.5" customHeight="1" x14ac:dyDescent="0.25">
      <c r="B34" s="938"/>
      <c r="C34" s="938"/>
      <c r="D34" s="938"/>
      <c r="E34" s="498"/>
      <c r="F34" s="397"/>
      <c r="G34" s="397"/>
      <c r="H34" s="397"/>
      <c r="I34" s="935"/>
      <c r="J34" s="935"/>
      <c r="K34" s="935"/>
      <c r="L34" s="935"/>
      <c r="M34" s="935"/>
      <c r="N34" s="499" t="s">
        <v>468</v>
      </c>
      <c r="O34" s="397"/>
      <c r="P34" s="4"/>
      <c r="Q34" s="4"/>
      <c r="R34" s="4"/>
      <c r="S34" s="4"/>
      <c r="T34" s="4"/>
      <c r="U34" s="118"/>
      <c r="V34" s="118"/>
      <c r="W34" s="118"/>
      <c r="X34" s="118"/>
      <c r="Y34" s="118"/>
      <c r="Z34" s="118"/>
      <c r="AA34" s="118"/>
      <c r="AB34" s="118"/>
      <c r="AC34" s="118"/>
      <c r="AD34" s="118"/>
      <c r="AE34" s="118"/>
      <c r="AF34" s="118"/>
      <c r="AG34" s="118"/>
      <c r="AH34" s="118"/>
      <c r="AI34" s="118"/>
      <c r="AJ34" s="118"/>
    </row>
    <row r="35" spans="2:36" s="151" customFormat="1" ht="25.5" customHeight="1" x14ac:dyDescent="0.25">
      <c r="B35" s="938"/>
      <c r="C35" s="938"/>
      <c r="D35" s="938"/>
      <c r="E35" s="938"/>
      <c r="F35" s="938"/>
      <c r="G35" s="938"/>
      <c r="H35" s="938"/>
      <c r="I35" s="500" t="s">
        <v>585</v>
      </c>
      <c r="J35" s="500"/>
      <c r="K35" s="500"/>
      <c r="L35" s="500"/>
      <c r="M35" s="500"/>
      <c r="N35" s="499" t="s">
        <v>469</v>
      </c>
      <c r="O35" s="397"/>
      <c r="P35" s="4"/>
      <c r="Q35" s="4"/>
      <c r="R35" s="4"/>
      <c r="S35" s="4"/>
      <c r="T35" s="4"/>
      <c r="U35" s="118"/>
      <c r="V35" s="118"/>
      <c r="W35" s="118"/>
      <c r="X35" s="118"/>
      <c r="Y35" s="118"/>
      <c r="Z35" s="118"/>
      <c r="AA35" s="118"/>
      <c r="AB35" s="118"/>
      <c r="AC35" s="118"/>
      <c r="AD35" s="118"/>
      <c r="AE35" s="118"/>
      <c r="AF35" s="118"/>
      <c r="AG35" s="118"/>
      <c r="AH35" s="118"/>
      <c r="AI35" s="118"/>
      <c r="AJ35" s="118"/>
    </row>
  </sheetData>
  <mergeCells count="79">
    <mergeCell ref="B33:J33"/>
    <mergeCell ref="B34:D34"/>
    <mergeCell ref="I34:M34"/>
    <mergeCell ref="B35:H35"/>
    <mergeCell ref="C32:D32"/>
    <mergeCell ref="F32:H32"/>
    <mergeCell ref="K32:L32"/>
    <mergeCell ref="C30:D30"/>
    <mergeCell ref="F30:H30"/>
    <mergeCell ref="K30:L30"/>
    <mergeCell ref="C31:D31"/>
    <mergeCell ref="F31:H31"/>
    <mergeCell ref="K31:L31"/>
    <mergeCell ref="C28:D28"/>
    <mergeCell ref="F28:H28"/>
    <mergeCell ref="K28:L28"/>
    <mergeCell ref="C29:D29"/>
    <mergeCell ref="F29:H29"/>
    <mergeCell ref="K29:L29"/>
    <mergeCell ref="C26:D26"/>
    <mergeCell ref="F26:H26"/>
    <mergeCell ref="K26:L26"/>
    <mergeCell ref="C27:D27"/>
    <mergeCell ref="F27:H27"/>
    <mergeCell ref="K27:L27"/>
    <mergeCell ref="C23:D23"/>
    <mergeCell ref="F23:H23"/>
    <mergeCell ref="K23:L23"/>
    <mergeCell ref="C24:D24"/>
    <mergeCell ref="F24:H24"/>
    <mergeCell ref="K24:L24"/>
    <mergeCell ref="C21:D21"/>
    <mergeCell ref="F21:H21"/>
    <mergeCell ref="K21:L21"/>
    <mergeCell ref="C22:D22"/>
    <mergeCell ref="F22:H22"/>
    <mergeCell ref="K22:L22"/>
    <mergeCell ref="C19:D19"/>
    <mergeCell ref="F19:H19"/>
    <mergeCell ref="K19:L19"/>
    <mergeCell ref="C20:D20"/>
    <mergeCell ref="F20:H20"/>
    <mergeCell ref="K20:L20"/>
    <mergeCell ref="C17:D17"/>
    <mergeCell ref="F17:H17"/>
    <mergeCell ref="K17:L17"/>
    <mergeCell ref="C18:D18"/>
    <mergeCell ref="F18:H18"/>
    <mergeCell ref="K18:L18"/>
    <mergeCell ref="B10:O10"/>
    <mergeCell ref="B11:O13"/>
    <mergeCell ref="B14:O14"/>
    <mergeCell ref="M15:N15"/>
    <mergeCell ref="O15:O16"/>
    <mergeCell ref="J15:J16"/>
    <mergeCell ref="K15:L16"/>
    <mergeCell ref="B1:D2"/>
    <mergeCell ref="E1:M2"/>
    <mergeCell ref="N2:O2"/>
    <mergeCell ref="B3:C3"/>
    <mergeCell ref="N3:O3"/>
    <mergeCell ref="I3:L3"/>
    <mergeCell ref="D3:G3"/>
    <mergeCell ref="B4:G4"/>
    <mergeCell ref="B5:G5"/>
    <mergeCell ref="B6:G6"/>
    <mergeCell ref="B25:O25"/>
    <mergeCell ref="H4:L4"/>
    <mergeCell ref="H5:L5"/>
    <mergeCell ref="H6:L6"/>
    <mergeCell ref="M6:O6"/>
    <mergeCell ref="N5:O5"/>
    <mergeCell ref="B15:B16"/>
    <mergeCell ref="C15:D16"/>
    <mergeCell ref="E15:E16"/>
    <mergeCell ref="F15:H16"/>
    <mergeCell ref="I15:I16"/>
    <mergeCell ref="B7:O7"/>
    <mergeCell ref="B8:O9"/>
  </mergeCells>
  <printOptions horizontalCentered="1"/>
  <pageMargins left="0" right="0" top="0.19685039370078741" bottom="0" header="0" footer="0"/>
  <pageSetup paperSize="9" scale="85"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B1:V29"/>
  <sheetViews>
    <sheetView rightToLeft="1" view="pageBreakPreview" zoomScaleNormal="100" zoomScaleSheetLayoutView="100" workbookViewId="0">
      <selection activeCell="X7" sqref="X7:AB7"/>
    </sheetView>
  </sheetViews>
  <sheetFormatPr defaultRowHeight="15" x14ac:dyDescent="0.25"/>
  <cols>
    <col min="1" max="1" width="1.28515625" customWidth="1"/>
    <col min="2" max="2" width="4" customWidth="1"/>
    <col min="3" max="3" width="2.5703125" customWidth="1"/>
    <col min="4" max="4" width="4" customWidth="1"/>
    <col min="5" max="5" width="4.85546875" customWidth="1"/>
    <col min="6" max="6" width="3.28515625" customWidth="1"/>
    <col min="7" max="7" width="6.140625" customWidth="1"/>
    <col min="8" max="8" width="15.7109375" customWidth="1"/>
    <col min="9" max="9" width="6" customWidth="1"/>
    <col min="10" max="10" width="3.7109375" customWidth="1"/>
    <col min="11" max="11" width="10.7109375" customWidth="1"/>
    <col min="12" max="12" width="6.7109375" customWidth="1"/>
    <col min="13" max="13" width="2.28515625" customWidth="1"/>
    <col min="14" max="14" width="6.28515625" customWidth="1"/>
    <col min="17" max="17" width="20" customWidth="1"/>
    <col min="18" max="18" width="11.140625" customWidth="1"/>
    <col min="20" max="20" width="2.85546875" customWidth="1"/>
    <col min="22" max="22" width="12.85546875" customWidth="1"/>
  </cols>
  <sheetData>
    <row r="1" spans="2:18" ht="35.25" customHeight="1" x14ac:dyDescent="0.25">
      <c r="B1" s="1030" t="s">
        <v>199</v>
      </c>
      <c r="C1" s="1030"/>
      <c r="D1" s="1030"/>
      <c r="E1" s="1030"/>
      <c r="F1" s="1030"/>
      <c r="G1" s="876" t="s">
        <v>496</v>
      </c>
      <c r="H1" s="876"/>
      <c r="I1" s="876"/>
      <c r="J1" s="876"/>
      <c r="K1" s="876"/>
      <c r="L1" s="876"/>
      <c r="M1" s="876"/>
      <c r="N1" s="876"/>
      <c r="O1" s="876"/>
      <c r="P1" s="439" t="s">
        <v>391</v>
      </c>
      <c r="Q1" s="389" t="s">
        <v>559</v>
      </c>
      <c r="R1" s="398" t="s">
        <v>392</v>
      </c>
    </row>
    <row r="2" spans="2:18" ht="31.5" customHeight="1" x14ac:dyDescent="0.3">
      <c r="B2" s="1030"/>
      <c r="C2" s="1030"/>
      <c r="D2" s="1030"/>
      <c r="E2" s="1030"/>
      <c r="F2" s="1030"/>
      <c r="G2" s="876"/>
      <c r="H2" s="876"/>
      <c r="I2" s="876"/>
      <c r="J2" s="876"/>
      <c r="K2" s="876"/>
      <c r="L2" s="876"/>
      <c r="M2" s="876"/>
      <c r="N2" s="876"/>
      <c r="O2" s="876"/>
      <c r="P2" s="634" t="s">
        <v>558</v>
      </c>
      <c r="Q2" s="634"/>
      <c r="R2" s="404"/>
    </row>
    <row r="3" spans="2:18" ht="29.25" customHeight="1" x14ac:dyDescent="0.25">
      <c r="B3" s="872" t="s">
        <v>393</v>
      </c>
      <c r="C3" s="873"/>
      <c r="D3" s="873"/>
      <c r="E3" s="1031" t="str">
        <f>'Sang zani'!D3</f>
        <v>Y25-LSD1</v>
      </c>
      <c r="F3" s="1031"/>
      <c r="G3" s="1031"/>
      <c r="H3" s="1032"/>
      <c r="I3" s="872" t="s">
        <v>560</v>
      </c>
      <c r="J3" s="873"/>
      <c r="K3" s="882" t="str">
        <f>'Sang zani'!J3</f>
        <v>0318.000000.0008</v>
      </c>
      <c r="L3" s="882"/>
      <c r="M3" s="882"/>
      <c r="N3" s="883"/>
      <c r="O3" s="491" t="s">
        <v>510</v>
      </c>
      <c r="P3" s="873" t="s">
        <v>596</v>
      </c>
      <c r="Q3" s="874"/>
      <c r="R3" s="1"/>
    </row>
    <row r="4" spans="2:18" ht="29.25" customHeight="1" x14ac:dyDescent="0.25">
      <c r="B4" s="962" t="s">
        <v>597</v>
      </c>
      <c r="C4" s="962"/>
      <c r="D4" s="962"/>
      <c r="E4" s="962"/>
      <c r="F4" s="962"/>
      <c r="G4" s="962"/>
      <c r="H4" s="962"/>
      <c r="I4" s="872" t="s">
        <v>568</v>
      </c>
      <c r="J4" s="873"/>
      <c r="K4" s="873"/>
      <c r="L4" s="873"/>
      <c r="M4" s="873"/>
      <c r="N4" s="874"/>
      <c r="O4" s="872" t="s">
        <v>598</v>
      </c>
      <c r="P4" s="873"/>
      <c r="Q4" s="874"/>
    </row>
    <row r="5" spans="2:18" ht="29.25" customHeight="1" x14ac:dyDescent="0.3">
      <c r="B5" s="962" t="s">
        <v>599</v>
      </c>
      <c r="C5" s="962"/>
      <c r="D5" s="962"/>
      <c r="E5" s="962"/>
      <c r="F5" s="962"/>
      <c r="G5" s="962"/>
      <c r="H5" s="962"/>
      <c r="I5" s="872" t="s">
        <v>398</v>
      </c>
      <c r="J5" s="873"/>
      <c r="K5" s="873"/>
      <c r="L5" s="873"/>
      <c r="M5" s="873"/>
      <c r="N5" s="874"/>
      <c r="O5" s="491" t="s">
        <v>399</v>
      </c>
      <c r="P5" s="880" t="str">
        <f>'Sang zani'!O5</f>
        <v xml:space="preserve"> شرکت آروین تبریز</v>
      </c>
      <c r="Q5" s="881"/>
      <c r="R5" s="405"/>
    </row>
    <row r="6" spans="2:18" ht="29.25" customHeight="1" x14ac:dyDescent="0.25">
      <c r="B6" s="962" t="s">
        <v>530</v>
      </c>
      <c r="C6" s="962"/>
      <c r="D6" s="962"/>
      <c r="E6" s="962"/>
      <c r="F6" s="962"/>
      <c r="G6" s="962"/>
      <c r="H6" s="962"/>
      <c r="I6" s="872" t="s">
        <v>600</v>
      </c>
      <c r="J6" s="873"/>
      <c r="K6" s="873"/>
      <c r="L6" s="873"/>
      <c r="M6" s="873"/>
      <c r="N6" s="874"/>
      <c r="O6" s="872" t="s">
        <v>562</v>
      </c>
      <c r="P6" s="873"/>
      <c r="Q6" s="874"/>
    </row>
    <row r="7" spans="2:18" ht="17.25" customHeight="1" x14ac:dyDescent="0.25">
      <c r="B7" s="894" t="s">
        <v>401</v>
      </c>
      <c r="C7" s="894"/>
      <c r="D7" s="894"/>
      <c r="E7" s="894"/>
      <c r="F7" s="894"/>
      <c r="G7" s="894"/>
      <c r="H7" s="894"/>
      <c r="I7" s="894"/>
      <c r="J7" s="894"/>
      <c r="K7" s="894"/>
      <c r="L7" s="894"/>
      <c r="M7" s="894"/>
      <c r="N7" s="894"/>
      <c r="O7" s="894"/>
      <c r="P7" s="894"/>
      <c r="Q7" s="894"/>
    </row>
    <row r="8" spans="2:18" ht="17.25" customHeight="1" x14ac:dyDescent="0.25">
      <c r="B8" s="963" t="s">
        <v>561</v>
      </c>
      <c r="C8" s="964"/>
      <c r="D8" s="964"/>
      <c r="E8" s="964"/>
      <c r="F8" s="964"/>
      <c r="G8" s="964"/>
      <c r="H8" s="964"/>
      <c r="I8" s="964"/>
      <c r="J8" s="964"/>
      <c r="K8" s="964"/>
      <c r="L8" s="964"/>
      <c r="M8" s="964"/>
      <c r="N8" s="964"/>
      <c r="O8" s="964"/>
      <c r="P8" s="964"/>
      <c r="Q8" s="965"/>
    </row>
    <row r="9" spans="2:18" ht="29.25" customHeight="1" x14ac:dyDescent="0.25">
      <c r="B9" s="966"/>
      <c r="C9" s="967"/>
      <c r="D9" s="967"/>
      <c r="E9" s="967"/>
      <c r="F9" s="967"/>
      <c r="G9" s="967"/>
      <c r="H9" s="967"/>
      <c r="I9" s="967"/>
      <c r="J9" s="967"/>
      <c r="K9" s="967"/>
      <c r="L9" s="967"/>
      <c r="M9" s="967"/>
      <c r="N9" s="967"/>
      <c r="O9" s="967"/>
      <c r="P9" s="967"/>
      <c r="Q9" s="968"/>
    </row>
    <row r="10" spans="2:18" ht="17.25" customHeight="1" x14ac:dyDescent="0.25">
      <c r="B10" s="894" t="s">
        <v>470</v>
      </c>
      <c r="C10" s="894"/>
      <c r="D10" s="894"/>
      <c r="E10" s="894"/>
      <c r="F10" s="894"/>
      <c r="G10" s="894"/>
      <c r="H10" s="894"/>
      <c r="I10" s="894"/>
      <c r="J10" s="894"/>
      <c r="K10" s="894"/>
      <c r="L10" s="894"/>
      <c r="M10" s="894"/>
      <c r="N10" s="894"/>
      <c r="O10" s="894"/>
      <c r="P10" s="894"/>
      <c r="Q10" s="894"/>
    </row>
    <row r="11" spans="2:18" ht="17.25" customHeight="1" x14ac:dyDescent="0.25">
      <c r="B11" s="1033" t="s">
        <v>511</v>
      </c>
      <c r="C11" s="1033"/>
      <c r="D11" s="1033"/>
      <c r="E11" s="1033"/>
      <c r="F11" s="1033"/>
      <c r="G11" s="1033"/>
      <c r="H11" s="1033"/>
      <c r="I11" s="1033"/>
      <c r="J11" s="1033"/>
      <c r="K11" s="1033"/>
      <c r="L11" s="1033"/>
      <c r="M11" s="1033"/>
      <c r="N11" s="1033"/>
      <c r="O11" s="1033"/>
      <c r="P11" s="1033"/>
      <c r="Q11" s="1033"/>
    </row>
    <row r="12" spans="2:18" ht="17.25" customHeight="1" x14ac:dyDescent="0.25">
      <c r="B12" s="1033" t="s">
        <v>512</v>
      </c>
      <c r="C12" s="1033"/>
      <c r="D12" s="1033"/>
      <c r="E12" s="1033"/>
      <c r="F12" s="1033"/>
      <c r="G12" s="1033"/>
      <c r="H12" s="1033"/>
      <c r="I12" s="1033"/>
      <c r="J12" s="1033"/>
      <c r="K12" s="1033"/>
      <c r="L12" s="1033"/>
      <c r="M12" s="1033"/>
      <c r="N12" s="1033"/>
      <c r="O12" s="1033"/>
      <c r="P12" s="1033"/>
      <c r="Q12" s="1033"/>
    </row>
    <row r="13" spans="2:18" ht="22.5" customHeight="1" x14ac:dyDescent="0.25">
      <c r="B13" s="901"/>
      <c r="C13" s="901"/>
      <c r="D13" s="901"/>
      <c r="E13" s="901"/>
      <c r="F13" s="901"/>
      <c r="G13" s="901"/>
      <c r="H13" s="901"/>
      <c r="I13" s="901"/>
      <c r="J13" s="901"/>
      <c r="K13" s="901"/>
      <c r="L13" s="901"/>
      <c r="M13" s="901"/>
      <c r="N13" s="901"/>
      <c r="O13" s="901"/>
      <c r="P13" s="901"/>
      <c r="Q13" s="901"/>
    </row>
    <row r="14" spans="2:18" ht="21.75" customHeight="1" x14ac:dyDescent="0.25">
      <c r="B14" s="885" t="s">
        <v>404</v>
      </c>
      <c r="C14" s="886" t="s">
        <v>106</v>
      </c>
      <c r="D14" s="891"/>
      <c r="E14" s="891"/>
      <c r="F14" s="887"/>
      <c r="G14" s="893" t="s">
        <v>405</v>
      </c>
      <c r="H14" s="893" t="s">
        <v>406</v>
      </c>
      <c r="I14" s="886" t="s">
        <v>407</v>
      </c>
      <c r="J14" s="891"/>
      <c r="K14" s="887"/>
      <c r="L14" s="893" t="s">
        <v>408</v>
      </c>
      <c r="M14" s="893" t="s">
        <v>409</v>
      </c>
      <c r="N14" s="893"/>
      <c r="O14" s="893" t="s">
        <v>410</v>
      </c>
      <c r="P14" s="893"/>
      <c r="Q14" s="893" t="s">
        <v>411</v>
      </c>
    </row>
    <row r="15" spans="2:18" ht="21.75" customHeight="1" x14ac:dyDescent="0.25">
      <c r="B15" s="885"/>
      <c r="C15" s="888"/>
      <c r="D15" s="892"/>
      <c r="E15" s="892"/>
      <c r="F15" s="889"/>
      <c r="G15" s="893"/>
      <c r="H15" s="893"/>
      <c r="I15" s="888"/>
      <c r="J15" s="892"/>
      <c r="K15" s="889"/>
      <c r="L15" s="1034"/>
      <c r="M15" s="1034"/>
      <c r="N15" s="1034"/>
      <c r="O15" s="484" t="s">
        <v>248</v>
      </c>
      <c r="P15" s="484" t="s">
        <v>412</v>
      </c>
      <c r="Q15" s="893"/>
    </row>
    <row r="16" spans="2:18" ht="38.25" customHeight="1" x14ac:dyDescent="0.25">
      <c r="B16" s="393">
        <v>1</v>
      </c>
      <c r="C16" s="902" t="s">
        <v>37</v>
      </c>
      <c r="D16" s="915"/>
      <c r="E16" s="915"/>
      <c r="F16" s="903"/>
      <c r="G16" s="407" t="s">
        <v>418</v>
      </c>
      <c r="H16" s="511">
        <v>123129</v>
      </c>
      <c r="I16" s="1021" t="s">
        <v>513</v>
      </c>
      <c r="J16" s="1022"/>
      <c r="K16" s="1023"/>
      <c r="L16" s="400" t="s">
        <v>428</v>
      </c>
      <c r="M16" s="975" t="s">
        <v>420</v>
      </c>
      <c r="N16" s="975"/>
      <c r="O16" s="492" t="s">
        <v>589</v>
      </c>
      <c r="P16" s="492" t="s">
        <v>589</v>
      </c>
      <c r="Q16" s="400" t="s">
        <v>590</v>
      </c>
    </row>
    <row r="17" spans="2:22" ht="38.25" customHeight="1" x14ac:dyDescent="0.25">
      <c r="B17" s="393">
        <v>2</v>
      </c>
      <c r="C17" s="902" t="s">
        <v>36</v>
      </c>
      <c r="D17" s="915"/>
      <c r="E17" s="915"/>
      <c r="F17" s="903"/>
      <c r="G17" s="407" t="s">
        <v>418</v>
      </c>
      <c r="H17" s="512" t="str">
        <f>'Fanar pichi_Garm'!F17</f>
        <v>7 ± 0.15</v>
      </c>
      <c r="I17" s="1021" t="s">
        <v>514</v>
      </c>
      <c r="J17" s="1022"/>
      <c r="K17" s="1023"/>
      <c r="L17" s="400" t="s">
        <v>515</v>
      </c>
      <c r="M17" s="1037" t="s">
        <v>516</v>
      </c>
      <c r="N17" s="1038"/>
      <c r="O17" s="492" t="s">
        <v>601</v>
      </c>
      <c r="P17" s="492" t="s">
        <v>589</v>
      </c>
      <c r="Q17" s="400" t="s">
        <v>590</v>
      </c>
    </row>
    <row r="18" spans="2:22" ht="38.25" customHeight="1" x14ac:dyDescent="0.25">
      <c r="B18" s="393">
        <v>3</v>
      </c>
      <c r="C18" s="902" t="s">
        <v>70</v>
      </c>
      <c r="D18" s="915"/>
      <c r="E18" s="915"/>
      <c r="F18" s="903"/>
      <c r="G18" s="407" t="s">
        <v>418</v>
      </c>
      <c r="H18" s="512" t="str">
        <f>'Fanar pichi_Garm'!F21</f>
        <v>5.7 ± 0</v>
      </c>
      <c r="I18" s="1021" t="s">
        <v>517</v>
      </c>
      <c r="J18" s="1022"/>
      <c r="K18" s="1023"/>
      <c r="L18" s="400" t="s">
        <v>428</v>
      </c>
      <c r="M18" s="1021" t="s">
        <v>602</v>
      </c>
      <c r="N18" s="1023"/>
      <c r="O18" s="492" t="s">
        <v>589</v>
      </c>
      <c r="P18" s="492" t="s">
        <v>589</v>
      </c>
      <c r="Q18" s="400" t="s">
        <v>590</v>
      </c>
    </row>
    <row r="19" spans="2:22" ht="46.5" customHeight="1" x14ac:dyDescent="0.25">
      <c r="B19" s="394">
        <v>4</v>
      </c>
      <c r="C19" s="922" t="s">
        <v>472</v>
      </c>
      <c r="D19" s="923"/>
      <c r="E19" s="923"/>
      <c r="F19" s="924"/>
      <c r="G19" s="445" t="s">
        <v>413</v>
      </c>
      <c r="H19" s="513" t="s">
        <v>518</v>
      </c>
      <c r="I19" s="1027" t="s">
        <v>519</v>
      </c>
      <c r="J19" s="1028"/>
      <c r="K19" s="1029"/>
      <c r="L19" s="501" t="s">
        <v>423</v>
      </c>
      <c r="M19" s="1039" t="s">
        <v>124</v>
      </c>
      <c r="N19" s="976"/>
      <c r="O19" s="502" t="s">
        <v>589</v>
      </c>
      <c r="P19" s="502" t="s">
        <v>589</v>
      </c>
      <c r="Q19" s="501" t="s">
        <v>590</v>
      </c>
      <c r="S19" s="202"/>
      <c r="T19" s="448"/>
      <c r="U19" s="202"/>
      <c r="V19" s="4"/>
    </row>
    <row r="20" spans="2:22" ht="22.5" customHeight="1" x14ac:dyDescent="0.25">
      <c r="B20" s="932" t="s">
        <v>564</v>
      </c>
      <c r="C20" s="933"/>
      <c r="D20" s="933"/>
      <c r="E20" s="933"/>
      <c r="F20" s="933"/>
      <c r="G20" s="933"/>
      <c r="H20" s="933"/>
      <c r="I20" s="933"/>
      <c r="J20" s="933"/>
      <c r="K20" s="933"/>
      <c r="L20" s="933"/>
      <c r="M20" s="933"/>
      <c r="N20" s="933"/>
      <c r="O20" s="933"/>
      <c r="P20" s="933"/>
      <c r="Q20" s="934"/>
      <c r="S20" s="202" t="s">
        <v>551</v>
      </c>
      <c r="T20" s="448"/>
      <c r="U20" s="202" t="s">
        <v>550</v>
      </c>
      <c r="V20" s="4"/>
    </row>
    <row r="21" spans="2:22" ht="34.5" customHeight="1" x14ac:dyDescent="0.25">
      <c r="B21" s="401">
        <v>1</v>
      </c>
      <c r="C21" s="926" t="s">
        <v>520</v>
      </c>
      <c r="D21" s="1040"/>
      <c r="E21" s="1040"/>
      <c r="F21" s="927"/>
      <c r="G21" s="410" t="s">
        <v>418</v>
      </c>
      <c r="H21" s="408" t="str">
        <f>CONCATENATE(U21,T21,S21," bar")</f>
        <v>90-100 bar</v>
      </c>
      <c r="I21" s="1024" t="s">
        <v>483</v>
      </c>
      <c r="J21" s="1025"/>
      <c r="K21" s="1026"/>
      <c r="L21" s="402" t="s">
        <v>423</v>
      </c>
      <c r="M21" s="1035" t="s">
        <v>484</v>
      </c>
      <c r="N21" s="1035"/>
      <c r="O21" s="403">
        <v>1</v>
      </c>
      <c r="P21" s="403" t="s">
        <v>425</v>
      </c>
      <c r="Q21" s="402" t="s">
        <v>481</v>
      </c>
      <c r="S21" s="3">
        <v>100</v>
      </c>
      <c r="T21" s="423" t="s">
        <v>124</v>
      </c>
      <c r="U21" s="3">
        <v>90</v>
      </c>
      <c r="V21" s="3" t="str">
        <f>C21</f>
        <v>فشار هيدروليك</v>
      </c>
    </row>
    <row r="22" spans="2:22" ht="34.5" customHeight="1" x14ac:dyDescent="0.25">
      <c r="B22" s="393">
        <v>2</v>
      </c>
      <c r="C22" s="902" t="s">
        <v>521</v>
      </c>
      <c r="D22" s="915"/>
      <c r="E22" s="915"/>
      <c r="F22" s="903"/>
      <c r="G22" s="407" t="s">
        <v>418</v>
      </c>
      <c r="H22" s="399" t="s">
        <v>522</v>
      </c>
      <c r="I22" s="1021" t="s">
        <v>523</v>
      </c>
      <c r="J22" s="1022"/>
      <c r="K22" s="1023"/>
      <c r="L22" s="400" t="s">
        <v>423</v>
      </c>
      <c r="M22" s="1036" t="s">
        <v>124</v>
      </c>
      <c r="N22" s="975"/>
      <c r="O22" s="492">
        <v>1</v>
      </c>
      <c r="P22" s="492" t="s">
        <v>425</v>
      </c>
      <c r="Q22" s="400" t="s">
        <v>524</v>
      </c>
      <c r="S22" s="202"/>
      <c r="T22" s="424"/>
      <c r="U22" s="202"/>
      <c r="V22" s="202"/>
    </row>
    <row r="23" spans="2:22" ht="30.75" customHeight="1" x14ac:dyDescent="0.25">
      <c r="B23" s="1019" t="s">
        <v>67</v>
      </c>
      <c r="C23" s="1020"/>
      <c r="D23" s="1020"/>
      <c r="E23" s="1020"/>
      <c r="F23" s="1020"/>
      <c r="G23" s="1020"/>
      <c r="H23" s="1020"/>
      <c r="I23" s="1020"/>
      <c r="J23" s="443"/>
      <c r="K23" s="443"/>
      <c r="L23" s="411"/>
      <c r="M23" s="412"/>
      <c r="N23" s="413"/>
      <c r="O23" s="413"/>
      <c r="P23" s="413"/>
      <c r="Q23" s="414"/>
    </row>
    <row r="24" spans="2:22" ht="21.75" customHeight="1" x14ac:dyDescent="0.25">
      <c r="B24" s="1016" t="str">
        <f>IF('نمونه اولیه'!I17="بسته و سنگ خورده","ضخامت لبه سنگ خورده","")</f>
        <v>ضخامت لبه سنگ خورده</v>
      </c>
      <c r="C24" s="1017"/>
      <c r="D24" s="1017"/>
      <c r="E24" s="1017"/>
      <c r="F24" s="1017"/>
      <c r="G24" s="1017"/>
      <c r="H24" s="1018" t="str">
        <f>IF('نمونه اولیه'!I17="بسته و سنگ خورده",'Sang zani'!F20,"")</f>
        <v>Max=1.75 mm</v>
      </c>
      <c r="I24" s="1018"/>
      <c r="J24" s="449"/>
      <c r="K24" s="449"/>
      <c r="L24" s="449"/>
      <c r="M24" s="449"/>
      <c r="N24" s="449"/>
      <c r="O24" s="449"/>
      <c r="P24" s="449"/>
      <c r="Q24" s="450"/>
    </row>
    <row r="25" spans="2:22" ht="21.75" customHeight="1" x14ac:dyDescent="0.25">
      <c r="B25" s="1016" t="str">
        <f>IF('نمونه اولیه'!I17="بسته و سنگ خورده","انحراف طولی","")</f>
        <v>انحراف طولی</v>
      </c>
      <c r="C25" s="1017"/>
      <c r="D25" s="1017"/>
      <c r="E25" s="1017"/>
      <c r="F25" s="1017"/>
      <c r="G25" s="1017"/>
      <c r="H25" s="1018" t="str">
        <f>IF('نمونه اولیه'!I17="بسته و سنگ خورده",'Sang zani'!F18,"")</f>
        <v>Max=9.75 mm</v>
      </c>
      <c r="I25" s="1018"/>
      <c r="J25" s="449"/>
      <c r="K25" s="449"/>
      <c r="L25" s="449"/>
      <c r="M25" s="449"/>
      <c r="N25" s="449"/>
      <c r="O25" s="449"/>
      <c r="P25" s="449"/>
      <c r="Q25" s="450"/>
    </row>
    <row r="26" spans="2:22" ht="21.75" customHeight="1" x14ac:dyDescent="0.25">
      <c r="B26" s="1016" t="str">
        <f>IF('نمونه اولیه'!I17="بسته و سنگ خورده","انحراف قطری","")</f>
        <v>انحراف قطری</v>
      </c>
      <c r="C26" s="1017"/>
      <c r="D26" s="1017"/>
      <c r="E26" s="1017"/>
      <c r="F26" s="1017"/>
      <c r="G26" s="1017"/>
      <c r="H26" s="1018" t="str">
        <f>IF('نمونه اولیه'!I17="بسته و سنگ خورده",'Sang zani'!F19,"")</f>
        <v>Max=4.4 mm</v>
      </c>
      <c r="I26" s="1018"/>
      <c r="J26" s="449"/>
      <c r="K26" s="449"/>
      <c r="L26" s="449"/>
      <c r="M26" s="449"/>
      <c r="N26" s="449"/>
      <c r="O26" s="449"/>
      <c r="P26" s="449"/>
      <c r="Q26" s="450"/>
    </row>
    <row r="27" spans="2:22" ht="21.75" customHeight="1" x14ac:dyDescent="0.25">
      <c r="B27" s="451"/>
      <c r="C27" s="449"/>
      <c r="D27" s="449"/>
      <c r="E27" s="449"/>
      <c r="F27" s="449"/>
      <c r="G27" s="449"/>
      <c r="H27" s="449"/>
      <c r="I27" s="449"/>
      <c r="J27" s="449"/>
      <c r="K27" s="449"/>
      <c r="L27" s="449"/>
      <c r="M27" s="449"/>
      <c r="N27" s="449"/>
      <c r="O27" s="449"/>
      <c r="P27" s="449"/>
      <c r="Q27" s="450"/>
    </row>
    <row r="28" spans="2:22" ht="15" customHeight="1" x14ac:dyDescent="0.25">
      <c r="B28" s="451"/>
      <c r="C28" s="449"/>
      <c r="D28" s="449"/>
      <c r="E28" s="449"/>
      <c r="F28" s="449"/>
      <c r="G28" s="449"/>
      <c r="H28" s="449"/>
      <c r="I28" s="449"/>
      <c r="J28" s="449"/>
      <c r="K28" s="449"/>
      <c r="L28" s="449"/>
      <c r="M28" s="449"/>
      <c r="N28" s="449"/>
      <c r="O28" s="449"/>
      <c r="P28" s="449"/>
      <c r="Q28" s="450"/>
    </row>
    <row r="29" spans="2:22" ht="15" customHeight="1" x14ac:dyDescent="0.25">
      <c r="B29" s="452"/>
      <c r="C29" s="453"/>
      <c r="D29" s="453"/>
      <c r="E29" s="453"/>
      <c r="F29" s="453"/>
      <c r="G29" s="453"/>
      <c r="H29" s="453"/>
      <c r="I29" s="453"/>
      <c r="J29" s="453"/>
      <c r="K29" s="453"/>
      <c r="L29" s="453"/>
      <c r="M29" s="453"/>
      <c r="N29" s="453"/>
      <c r="O29" s="453"/>
      <c r="P29" s="453"/>
      <c r="Q29" s="454"/>
    </row>
  </sheetData>
  <mergeCells count="58">
    <mergeCell ref="C22:F22"/>
    <mergeCell ref="C16:F16"/>
    <mergeCell ref="C17:F17"/>
    <mergeCell ref="C18:F18"/>
    <mergeCell ref="C19:F19"/>
    <mergeCell ref="C21:F21"/>
    <mergeCell ref="M21:N21"/>
    <mergeCell ref="M22:N22"/>
    <mergeCell ref="O14:P14"/>
    <mergeCell ref="Q14:Q15"/>
    <mergeCell ref="M16:N16"/>
    <mergeCell ref="M17:N17"/>
    <mergeCell ref="M18:N18"/>
    <mergeCell ref="M19:N19"/>
    <mergeCell ref="B12:Q12"/>
    <mergeCell ref="B13:Q13"/>
    <mergeCell ref="B14:B15"/>
    <mergeCell ref="G14:G15"/>
    <mergeCell ref="H14:H15"/>
    <mergeCell ref="L14:L15"/>
    <mergeCell ref="M14:N15"/>
    <mergeCell ref="C14:F15"/>
    <mergeCell ref="B6:H6"/>
    <mergeCell ref="O6:Q6"/>
    <mergeCell ref="B7:Q7"/>
    <mergeCell ref="B8:Q9"/>
    <mergeCell ref="B11:Q11"/>
    <mergeCell ref="B1:F2"/>
    <mergeCell ref="G1:O2"/>
    <mergeCell ref="P2:Q2"/>
    <mergeCell ref="I3:J3"/>
    <mergeCell ref="P3:Q3"/>
    <mergeCell ref="B3:D3"/>
    <mergeCell ref="E3:H3"/>
    <mergeCell ref="K3:N3"/>
    <mergeCell ref="I22:K22"/>
    <mergeCell ref="I14:K15"/>
    <mergeCell ref="I6:N6"/>
    <mergeCell ref="I5:N5"/>
    <mergeCell ref="I4:N4"/>
    <mergeCell ref="B20:Q20"/>
    <mergeCell ref="I16:K16"/>
    <mergeCell ref="I21:K21"/>
    <mergeCell ref="I19:K19"/>
    <mergeCell ref="I18:K18"/>
    <mergeCell ref="I17:K17"/>
    <mergeCell ref="B10:Q10"/>
    <mergeCell ref="B4:H4"/>
    <mergeCell ref="O4:Q4"/>
    <mergeCell ref="B5:H5"/>
    <mergeCell ref="P5:Q5"/>
    <mergeCell ref="B25:G25"/>
    <mergeCell ref="B26:G26"/>
    <mergeCell ref="H25:I25"/>
    <mergeCell ref="H26:I26"/>
    <mergeCell ref="B23:I23"/>
    <mergeCell ref="B24:G24"/>
    <mergeCell ref="H24:I24"/>
  </mergeCells>
  <printOptions horizontalCentered="1"/>
  <pageMargins left="0" right="0" top="0.19685039370078741" bottom="0" header="0" footer="0"/>
  <pageSetup paperSize="9" scale="85"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103</vt:i4>
      </vt:variant>
    </vt:vector>
  </HeadingPairs>
  <TitlesOfParts>
    <vt:vector size="112" baseType="lpstr">
      <vt:lpstr>ورود اطلاعات</vt:lpstr>
      <vt:lpstr>IST</vt:lpstr>
      <vt:lpstr>امکانسنجی  </vt:lpstr>
      <vt:lpstr>نمونه اولیه</vt:lpstr>
      <vt:lpstr>فنرپیچی</vt:lpstr>
      <vt:lpstr>Fanar pichi_Garm</vt:lpstr>
      <vt:lpstr>Sang zani</vt:lpstr>
      <vt:lpstr>Fanar pichi_sard</vt:lpstr>
      <vt:lpstr>Set</vt:lpstr>
      <vt:lpstr>buyMandrel</vt:lpstr>
      <vt:lpstr>buyMandrelCost</vt:lpstr>
      <vt:lpstr>buyMandrelDiameter</vt:lpstr>
      <vt:lpstr>buyMandrelLength</vt:lpstr>
      <vt:lpstr>buyMandrelPrice</vt:lpstr>
      <vt:lpstr>buyWire</vt:lpstr>
      <vt:lpstr>capacity</vt:lpstr>
      <vt:lpstr>cCD</vt:lpstr>
      <vt:lpstr>cDi</vt:lpstr>
      <vt:lpstr>cDiTol</vt:lpstr>
      <vt:lpstr>cEbteda</vt:lpstr>
      <vt:lpstr>cEnteha</vt:lpstr>
      <vt:lpstr>cF_1</vt:lpstr>
      <vt:lpstr>cF_2</vt:lpstr>
      <vt:lpstr>cF_3</vt:lpstr>
      <vt:lpstr>cF1_Tol</vt:lpstr>
      <vt:lpstr>cF2_Tol</vt:lpstr>
      <vt:lpstr>cF3_Tol</vt:lpstr>
      <vt:lpstr>cFUnit</vt:lpstr>
      <vt:lpstr>cGhotri</vt:lpstr>
      <vt:lpstr>cHardness</vt:lpstr>
      <vt:lpstr>cL_1</vt:lpstr>
      <vt:lpstr>cL_2</vt:lpstr>
      <vt:lpstr>cL_3</vt:lpstr>
      <vt:lpstr>cL0</vt:lpstr>
      <vt:lpstr>cL0Tol</vt:lpstr>
      <vt:lpstr>cMaterial</vt:lpstr>
      <vt:lpstr>cNa</vt:lpstr>
      <vt:lpstr>cNt</vt:lpstr>
      <vt:lpstr>cNtTol</vt:lpstr>
      <vt:lpstr>cOD</vt:lpstr>
      <vt:lpstr>cODTol</vt:lpstr>
      <vt:lpstr>coilingDirection</vt:lpstr>
      <vt:lpstr>comment</vt:lpstr>
      <vt:lpstr>cRate</vt:lpstr>
      <vt:lpstr>cRateTol</vt:lpstr>
      <vt:lpstr>cTooli</vt:lpstr>
      <vt:lpstr>customerName</vt:lpstr>
      <vt:lpstr>customerProductCode</vt:lpstr>
      <vt:lpstr>cWired</vt:lpstr>
      <vt:lpstr>cWiredTol</vt:lpstr>
      <vt:lpstr>dueDate</vt:lpstr>
      <vt:lpstr>dwgNo</vt:lpstr>
      <vt:lpstr>empty</vt:lpstr>
      <vt:lpstr>ESpName</vt:lpstr>
      <vt:lpstr>ESProductCode</vt:lpstr>
      <vt:lpstr>firstCoil</vt:lpstr>
      <vt:lpstr>Force1</vt:lpstr>
      <vt:lpstr>Force2</vt:lpstr>
      <vt:lpstr>Force3</vt:lpstr>
      <vt:lpstr>forceUnit</vt:lpstr>
      <vt:lpstr>ganjianSig</vt:lpstr>
      <vt:lpstr>grade</vt:lpstr>
      <vt:lpstr>hamedSig</vt:lpstr>
      <vt:lpstr>inspectionProcess</vt:lpstr>
      <vt:lpstr>inventoryWireD</vt:lpstr>
      <vt:lpstr>inventoryWireLength</vt:lpstr>
      <vt:lpstr>L0</vt:lpstr>
      <vt:lpstr>lastCoil</vt:lpstr>
      <vt:lpstr>Length1</vt:lpstr>
      <vt:lpstr>Length2</vt:lpstr>
      <vt:lpstr>Length3</vt:lpstr>
      <vt:lpstr>letterDate</vt:lpstr>
      <vt:lpstr>letterNo</vt:lpstr>
      <vt:lpstr>mandrel</vt:lpstr>
      <vt:lpstr>mandrelCode</vt:lpstr>
      <vt:lpstr>material</vt:lpstr>
      <vt:lpstr>mohtashamiSig</vt:lpstr>
      <vt:lpstr>Na</vt:lpstr>
      <vt:lpstr>nimsakht</vt:lpstr>
      <vt:lpstr>notProducable</vt:lpstr>
      <vt:lpstr>Nt</vt:lpstr>
      <vt:lpstr>OD</vt:lpstr>
      <vt:lpstr>orderTypeCode</vt:lpstr>
      <vt:lpstr>otherInspection</vt:lpstr>
      <vt:lpstr>packageCostForEach</vt:lpstr>
      <vt:lpstr>packageType</vt:lpstr>
      <vt:lpstr>pDate</vt:lpstr>
      <vt:lpstr>pillingCost</vt:lpstr>
      <vt:lpstr>pillWire</vt:lpstr>
      <vt:lpstr>pName</vt:lpstr>
      <vt:lpstr>'Fanar pichi_Garm'!Print_Area</vt:lpstr>
      <vt:lpstr>'Fanar pichi_sard'!Print_Area</vt:lpstr>
      <vt:lpstr>'Sang zani'!Print_Area</vt:lpstr>
      <vt:lpstr>Set!Print_Area</vt:lpstr>
      <vt:lpstr>'امکانسنجی  '!Print_Area</vt:lpstr>
      <vt:lpstr>فنرپیچی!Print_Area</vt:lpstr>
      <vt:lpstr>'نمونه اولیه'!Print_Area</vt:lpstr>
      <vt:lpstr>producable</vt:lpstr>
      <vt:lpstr>productionLoss</vt:lpstr>
      <vt:lpstr>productionProcess</vt:lpstr>
      <vt:lpstr>quantity</vt:lpstr>
      <vt:lpstr>range13</vt:lpstr>
      <vt:lpstr>rangShode</vt:lpstr>
      <vt:lpstr>sampleQuantity</vt:lpstr>
      <vt:lpstr>springIneachPackage</vt:lpstr>
      <vt:lpstr>springRate</vt:lpstr>
      <vt:lpstr>springType</vt:lpstr>
      <vt:lpstr>standard</vt:lpstr>
      <vt:lpstr>whyNot</vt:lpstr>
      <vt:lpstr>wireAvailable</vt:lpstr>
      <vt:lpstr>wireD</vt:lpstr>
      <vt:lpstr>wireLength</vt:lpstr>
    </vt:vector>
  </TitlesOfParts>
  <Company>parchami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ganjian</dc:creator>
  <cp:lastModifiedBy>Yousefi</cp:lastModifiedBy>
  <cp:lastPrinted>2020-03-11T10:10:13Z</cp:lastPrinted>
  <dcterms:created xsi:type="dcterms:W3CDTF">2016-07-03T19:30:08Z</dcterms:created>
  <dcterms:modified xsi:type="dcterms:W3CDTF">2020-04-14T08:44:02Z</dcterms:modified>
  <cp:contentStatus/>
</cp:coreProperties>
</file>