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uni\ترم 7\برنامه ریزی تولید\Project\Phase II\"/>
    </mc:Choice>
  </mc:AlternateContent>
  <xr:revisionPtr revIDLastSave="0" documentId="13_ncr:1_{225CB5C9-9ABC-4584-852F-38C907CDAC2E}" xr6:coauthVersionLast="47" xr6:coauthVersionMax="47" xr10:uidLastSave="{00000000-0000-0000-0000-000000000000}"/>
  <bookViews>
    <workbookView xWindow="-110" yWindow="-110" windowWidth="19420" windowHeight="10420" activeTab="4" xr2:uid="{00000000-000D-0000-FFFF-FFFF00000000}"/>
  </bookViews>
  <sheets>
    <sheet name="Forecast" sheetId="1" r:id="rId1"/>
    <sheet name="Lot Size" sheetId="2" r:id="rId2"/>
    <sheet name="MS" sheetId="3" r:id="rId3"/>
    <sheet name="MRP" sheetId="4" r:id="rId4"/>
    <sheet name="Capacity Bills" sheetId="5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5" l="1"/>
  <c r="F3" i="5"/>
  <c r="G9" i="5"/>
  <c r="G8" i="5"/>
  <c r="G4" i="5"/>
  <c r="G5" i="5"/>
  <c r="G6" i="5"/>
  <c r="G7" i="5"/>
  <c r="F9" i="5"/>
  <c r="H9" i="5" s="1"/>
  <c r="C16" i="5" s="1"/>
  <c r="F8" i="5"/>
  <c r="B5" i="5"/>
  <c r="F5" i="5" s="1"/>
  <c r="B6" i="5"/>
  <c r="F6" i="5" s="1"/>
  <c r="B7" i="5"/>
  <c r="F7" i="5" s="1"/>
  <c r="B4" i="5"/>
  <c r="F4" i="5" s="1"/>
  <c r="H4" i="5" s="1"/>
  <c r="C14" i="5" s="1"/>
  <c r="B3" i="5"/>
  <c r="C48" i="4"/>
  <c r="C36" i="4"/>
  <c r="C25" i="4"/>
  <c r="C14" i="4"/>
  <c r="W59" i="3"/>
  <c r="X59" i="3"/>
  <c r="Y59" i="3"/>
  <c r="V59" i="3"/>
  <c r="S59" i="3"/>
  <c r="T59" i="3"/>
  <c r="U59" i="3"/>
  <c r="R59" i="3"/>
  <c r="O59" i="3"/>
  <c r="P59" i="3"/>
  <c r="Q59" i="3"/>
  <c r="N59" i="3"/>
  <c r="K59" i="3"/>
  <c r="L59" i="3"/>
  <c r="M59" i="3"/>
  <c r="J59" i="3"/>
  <c r="G59" i="3"/>
  <c r="H59" i="3"/>
  <c r="I59" i="3"/>
  <c r="F59" i="3"/>
  <c r="C59" i="3"/>
  <c r="D59" i="3"/>
  <c r="E59" i="3"/>
  <c r="B59" i="3"/>
  <c r="W46" i="3"/>
  <c r="X46" i="3"/>
  <c r="Y46" i="3"/>
  <c r="V46" i="3"/>
  <c r="S46" i="3"/>
  <c r="T46" i="3"/>
  <c r="U46" i="3"/>
  <c r="R46" i="3"/>
  <c r="O46" i="3"/>
  <c r="P46" i="3"/>
  <c r="Q46" i="3"/>
  <c r="N46" i="3"/>
  <c r="K46" i="3"/>
  <c r="L46" i="3"/>
  <c r="M46" i="3"/>
  <c r="J46" i="3"/>
  <c r="G46" i="3"/>
  <c r="H46" i="3"/>
  <c r="I46" i="3"/>
  <c r="F46" i="3"/>
  <c r="C46" i="3"/>
  <c r="D46" i="3"/>
  <c r="E46" i="3"/>
  <c r="B46" i="3"/>
  <c r="W33" i="3"/>
  <c r="X33" i="3"/>
  <c r="Y33" i="3"/>
  <c r="V33" i="3"/>
  <c r="S33" i="3"/>
  <c r="T33" i="3"/>
  <c r="U33" i="3"/>
  <c r="R33" i="3"/>
  <c r="O33" i="3"/>
  <c r="P33" i="3"/>
  <c r="Q33" i="3"/>
  <c r="N33" i="3"/>
  <c r="K33" i="3"/>
  <c r="L33" i="3"/>
  <c r="M33" i="3"/>
  <c r="J33" i="3"/>
  <c r="G33" i="3"/>
  <c r="H33" i="3"/>
  <c r="I33" i="3"/>
  <c r="F33" i="3"/>
  <c r="C33" i="3"/>
  <c r="D33" i="3"/>
  <c r="E33" i="3"/>
  <c r="B33" i="3"/>
  <c r="W19" i="3"/>
  <c r="X19" i="3"/>
  <c r="Y19" i="3"/>
  <c r="V19" i="3"/>
  <c r="S19" i="3"/>
  <c r="T19" i="3"/>
  <c r="U19" i="3"/>
  <c r="R19" i="3"/>
  <c r="O19" i="3"/>
  <c r="P19" i="3"/>
  <c r="Q19" i="3"/>
  <c r="N19" i="3"/>
  <c r="K19" i="3"/>
  <c r="L19" i="3"/>
  <c r="M19" i="3"/>
  <c r="J19" i="3"/>
  <c r="G19" i="3"/>
  <c r="H19" i="3"/>
  <c r="I19" i="3"/>
  <c r="F19" i="3"/>
  <c r="C19" i="3"/>
  <c r="D19" i="3"/>
  <c r="E19" i="3"/>
  <c r="B19" i="3"/>
  <c r="W5" i="3"/>
  <c r="X5" i="3"/>
  <c r="Y5" i="3"/>
  <c r="V5" i="3"/>
  <c r="S5" i="3"/>
  <c r="T5" i="3"/>
  <c r="U5" i="3"/>
  <c r="R5" i="3"/>
  <c r="O5" i="3"/>
  <c r="P5" i="3"/>
  <c r="Q5" i="3"/>
  <c r="N5" i="3"/>
  <c r="K5" i="3"/>
  <c r="L5" i="3"/>
  <c r="M5" i="3"/>
  <c r="J5" i="3"/>
  <c r="G5" i="3"/>
  <c r="H5" i="3"/>
  <c r="I5" i="3"/>
  <c r="F5" i="3"/>
  <c r="C5" i="3"/>
  <c r="D5" i="3"/>
  <c r="E5" i="3"/>
  <c r="B5" i="3"/>
  <c r="B11" i="2"/>
  <c r="G7" i="2"/>
  <c r="G3" i="2"/>
  <c r="G4" i="2"/>
  <c r="G5" i="2"/>
  <c r="G6" i="2"/>
  <c r="G2" i="2"/>
  <c r="C56" i="3"/>
  <c r="C43" i="3"/>
  <c r="C30" i="3"/>
  <c r="C16" i="3"/>
  <c r="C2" i="3"/>
  <c r="S34" i="3" a="1"/>
  <c r="B6" i="4" a="1"/>
  <c r="B16" i="4" a="1"/>
  <c r="N6" i="3" a="1"/>
  <c r="H34" i="3" a="1"/>
  <c r="B47" i="3" a="1"/>
  <c r="L20" i="3" a="1"/>
  <c r="V47" i="3" a="1"/>
  <c r="K6" i="3" a="1"/>
  <c r="E20" i="3" a="1"/>
  <c r="S60" i="3" a="1"/>
  <c r="D20" i="3" a="1"/>
  <c r="F47" i="3" a="1"/>
  <c r="X34" i="3" a="1"/>
  <c r="W6" i="3" a="1"/>
  <c r="T20" i="3" a="1"/>
  <c r="R47" i="3" a="1"/>
  <c r="E47" i="3" a="1"/>
  <c r="L60" i="3" a="1"/>
  <c r="R20" i="3" a="1"/>
  <c r="C47" i="3" a="1"/>
  <c r="J60" i="3" a="1"/>
  <c r="Q34" i="3" a="1"/>
  <c r="B38" i="4" a="1"/>
  <c r="F20" i="3" a="1"/>
  <c r="I60" i="3" a="1"/>
  <c r="B34" i="3" a="1"/>
  <c r="G47" i="3" a="1"/>
  <c r="C6" i="3" a="1"/>
  <c r="H60" i="3" a="1"/>
  <c r="T6" i="3" a="1"/>
  <c r="O60" i="3" a="1"/>
  <c r="M20" i="3" a="1"/>
  <c r="N34" i="3" a="1"/>
  <c r="C34" i="3" a="1"/>
  <c r="M60" i="3" a="1"/>
  <c r="M6" i="3" a="1"/>
  <c r="X60" i="3" a="1"/>
  <c r="B60" i="3" a="1"/>
  <c r="I20" i="3" a="1"/>
  <c r="R60" i="3" a="1"/>
  <c r="S6" i="3" a="1"/>
  <c r="U34" i="3" a="1"/>
  <c r="W34" i="3" a="1"/>
  <c r="M47" i="3" a="1"/>
  <c r="E6" i="3" a="1"/>
  <c r="Y47" i="3" a="1"/>
  <c r="O47" i="3" a="1"/>
  <c r="T60" i="3" a="1"/>
  <c r="S47" i="3" a="1"/>
  <c r="Q60" i="3" a="1"/>
  <c r="X6" i="3" a="1"/>
  <c r="I47" i="3" a="1"/>
  <c r="E34" i="3" a="1"/>
  <c r="I6" i="3" a="1"/>
  <c r="X20" i="3" a="1"/>
  <c r="F34" i="3" a="1"/>
  <c r="C20" i="3" a="1"/>
  <c r="C60" i="3" a="1"/>
  <c r="D6" i="3" a="1"/>
  <c r="B50" i="4" a="1"/>
  <c r="W20" i="3" a="1"/>
  <c r="F6" i="3" a="1"/>
  <c r="U20" i="3" a="1"/>
  <c r="P34" i="3" a="1"/>
  <c r="V60" i="3" a="1"/>
  <c r="K20" i="3" a="1"/>
  <c r="N20" i="3" a="1"/>
  <c r="P20" i="3" a="1"/>
  <c r="G6" i="3" a="1"/>
  <c r="Q20" i="3" a="1"/>
  <c r="U6" i="3" a="1"/>
  <c r="L47" i="3" a="1"/>
  <c r="J47" i="3" a="1"/>
  <c r="L6" i="3" a="1"/>
  <c r="H20" i="3" a="1"/>
  <c r="B6" i="3" a="1"/>
  <c r="Y34" i="3" a="1"/>
  <c r="Y20" i="3" a="1"/>
  <c r="R6" i="3" a="1"/>
  <c r="Y60" i="3" a="1"/>
  <c r="F60" i="3" a="1"/>
  <c r="I34" i="3" a="1"/>
  <c r="O20" i="3" a="1"/>
  <c r="V20" i="3" a="1"/>
  <c r="P60" i="3" a="1"/>
  <c r="J34" i="3" a="1"/>
  <c r="H47" i="3" a="1"/>
  <c r="J6" i="3" a="1"/>
  <c r="P47" i="3" a="1"/>
  <c r="R34" i="3" a="1"/>
  <c r="L34" i="3" a="1"/>
  <c r="D47" i="3" a="1"/>
  <c r="Y6" i="3" a="1"/>
  <c r="U60" i="3" a="1"/>
  <c r="M34" i="3" a="1"/>
  <c r="E60" i="3" a="1"/>
  <c r="N47" i="3" a="1"/>
  <c r="K47" i="3" a="1"/>
  <c r="K60" i="3" a="1"/>
  <c r="V6" i="3" a="1"/>
  <c r="P6" i="3" a="1"/>
  <c r="W60" i="3" a="1"/>
  <c r="Q6" i="3" a="1"/>
  <c r="G34" i="3" a="1"/>
  <c r="H6" i="3" a="1"/>
  <c r="K34" i="3" a="1"/>
  <c r="G60" i="3" a="1"/>
  <c r="U47" i="3" a="1"/>
  <c r="N60" i="3" a="1"/>
  <c r="T34" i="3" a="1"/>
  <c r="S20" i="3" a="1"/>
  <c r="G20" i="3" a="1"/>
  <c r="T47" i="3" a="1"/>
  <c r="O34" i="3" a="1"/>
  <c r="J20" i="3" a="1"/>
  <c r="W47" i="3" a="1"/>
  <c r="D34" i="3" a="1"/>
  <c r="X47" i="3" a="1"/>
  <c r="O6" i="3" a="1"/>
  <c r="B27" i="4" a="1"/>
  <c r="D60" i="3" a="1"/>
  <c r="V34" i="3" a="1"/>
  <c r="B20" i="3" a="1"/>
  <c r="Q47" i="3" a="1"/>
  <c r="B16" i="5" l="1"/>
  <c r="F16" i="5"/>
  <c r="E16" i="5"/>
  <c r="D16" i="5"/>
  <c r="H7" i="5"/>
  <c r="F14" i="5" s="1"/>
  <c r="H6" i="5"/>
  <c r="E14" i="5" s="1"/>
  <c r="H5" i="5"/>
  <c r="D14" i="5" s="1"/>
  <c r="H3" i="5"/>
  <c r="B14" i="5" s="1"/>
  <c r="H8" i="5"/>
  <c r="B50" i="4"/>
  <c r="B38" i="4"/>
  <c r="B27" i="4"/>
  <c r="B16" i="4"/>
  <c r="B6" i="4"/>
  <c r="U60" i="3"/>
  <c r="D60" i="3"/>
  <c r="H60" i="3"/>
  <c r="L60" i="3"/>
  <c r="P60" i="3"/>
  <c r="T60" i="3"/>
  <c r="X60" i="3"/>
  <c r="E60" i="3"/>
  <c r="Y60" i="3"/>
  <c r="B60" i="3"/>
  <c r="B63" i="3" s="1"/>
  <c r="B26" i="5" s="1"/>
  <c r="F60" i="3"/>
  <c r="J60" i="3"/>
  <c r="N60" i="3"/>
  <c r="R60" i="3"/>
  <c r="V60" i="3"/>
  <c r="M60" i="3"/>
  <c r="I60" i="3"/>
  <c r="C60" i="3"/>
  <c r="G60" i="3"/>
  <c r="K60" i="3"/>
  <c r="O60" i="3"/>
  <c r="S60" i="3"/>
  <c r="W60" i="3"/>
  <c r="Q60" i="3"/>
  <c r="P47" i="3"/>
  <c r="T47" i="3"/>
  <c r="E47" i="3"/>
  <c r="I47" i="3"/>
  <c r="M47" i="3"/>
  <c r="Q47" i="3"/>
  <c r="U47" i="3"/>
  <c r="Y47" i="3"/>
  <c r="H47" i="3"/>
  <c r="R47" i="3"/>
  <c r="D47" i="3"/>
  <c r="X47" i="3"/>
  <c r="B47" i="3"/>
  <c r="B50" i="3" s="1"/>
  <c r="B25" i="5" s="1"/>
  <c r="F47" i="3"/>
  <c r="J47" i="3"/>
  <c r="V47" i="3"/>
  <c r="C47" i="3"/>
  <c r="G47" i="3"/>
  <c r="K47" i="3"/>
  <c r="O47" i="3"/>
  <c r="S47" i="3"/>
  <c r="W47" i="3"/>
  <c r="L47" i="3"/>
  <c r="N47" i="3"/>
  <c r="E34" i="3"/>
  <c r="U34" i="3"/>
  <c r="D34" i="3"/>
  <c r="H34" i="3"/>
  <c r="L34" i="3"/>
  <c r="P34" i="3"/>
  <c r="T34" i="3"/>
  <c r="X34" i="3"/>
  <c r="Q34" i="3"/>
  <c r="I34" i="3"/>
  <c r="B34" i="3"/>
  <c r="B37" i="3" s="1"/>
  <c r="B24" i="5" s="1"/>
  <c r="F34" i="3"/>
  <c r="J34" i="3"/>
  <c r="N34" i="3"/>
  <c r="R34" i="3"/>
  <c r="V34" i="3"/>
  <c r="M34" i="3"/>
  <c r="C34" i="3"/>
  <c r="G34" i="3"/>
  <c r="K34" i="3"/>
  <c r="O34" i="3"/>
  <c r="S34" i="3"/>
  <c r="W34" i="3"/>
  <c r="Y34" i="3"/>
  <c r="C20" i="3"/>
  <c r="B20" i="3"/>
  <c r="B23" i="3" s="1"/>
  <c r="B23" i="5" s="1"/>
  <c r="H20" i="3"/>
  <c r="X20" i="3"/>
  <c r="D20" i="3"/>
  <c r="L20" i="3"/>
  <c r="P20" i="3"/>
  <c r="T20" i="3"/>
  <c r="E20" i="3"/>
  <c r="I20" i="3"/>
  <c r="M20" i="3"/>
  <c r="Q20" i="3"/>
  <c r="U20" i="3"/>
  <c r="Y20" i="3"/>
  <c r="R20" i="3"/>
  <c r="F20" i="3"/>
  <c r="N20" i="3"/>
  <c r="V20" i="3"/>
  <c r="G20" i="3"/>
  <c r="K20" i="3"/>
  <c r="O20" i="3"/>
  <c r="S20" i="3"/>
  <c r="W20" i="3"/>
  <c r="J20" i="3"/>
  <c r="I6" i="3"/>
  <c r="P6" i="3"/>
  <c r="W6" i="3"/>
  <c r="S6" i="3"/>
  <c r="K6" i="3"/>
  <c r="T6" i="3"/>
  <c r="O6" i="3"/>
  <c r="J6" i="3"/>
  <c r="R6" i="3"/>
  <c r="N6" i="3"/>
  <c r="X6" i="3"/>
  <c r="Y6" i="3"/>
  <c r="Q6" i="3"/>
  <c r="V6" i="3"/>
  <c r="U6" i="3"/>
  <c r="M6" i="3"/>
  <c r="L6" i="3"/>
  <c r="H6" i="3"/>
  <c r="F6" i="3"/>
  <c r="E6" i="3"/>
  <c r="D6" i="3"/>
  <c r="G6" i="3"/>
  <c r="C6" i="3"/>
  <c r="B6" i="3"/>
  <c r="B9" i="3" s="1"/>
  <c r="B7" i="2"/>
  <c r="C6" i="2"/>
  <c r="C5" i="2"/>
  <c r="H5" i="2" s="1"/>
  <c r="C4" i="2"/>
  <c r="H4" i="2" s="1"/>
  <c r="C3" i="2"/>
  <c r="H3" i="2" s="1"/>
  <c r="C2" i="2"/>
  <c r="H2" i="2" s="1"/>
  <c r="F6" i="2"/>
  <c r="F5" i="2"/>
  <c r="F4" i="2"/>
  <c r="F3" i="2"/>
  <c r="F2" i="2"/>
  <c r="B9" i="1"/>
  <c r="B34" i="5" l="1" a="1"/>
  <c r="B34" i="5" s="1"/>
  <c r="B8" i="3"/>
  <c r="B22" i="5"/>
  <c r="B32" i="5" s="1" a="1"/>
  <c r="B32" i="5" s="1"/>
  <c r="F15" i="5"/>
  <c r="B15" i="5"/>
  <c r="D15" i="5"/>
  <c r="E15" i="5"/>
  <c r="C15" i="5"/>
  <c r="B7" i="3"/>
  <c r="C9" i="3" s="1"/>
  <c r="C7" i="4"/>
  <c r="C8" i="4" s="1"/>
  <c r="C6" i="4" s="1"/>
  <c r="D6" i="4" s="1"/>
  <c r="E6" i="4" s="1"/>
  <c r="F6" i="4" s="1"/>
  <c r="G6" i="4" s="1"/>
  <c r="H6" i="4" s="1"/>
  <c r="I6" i="4" s="1"/>
  <c r="J6" i="4" s="1"/>
  <c r="C51" i="4"/>
  <c r="C52" i="4" s="1"/>
  <c r="C50" i="4" s="1"/>
  <c r="D50" i="4" s="1"/>
  <c r="E50" i="4" s="1"/>
  <c r="F50" i="4" s="1"/>
  <c r="G50" i="4" s="1"/>
  <c r="H50" i="4" s="1"/>
  <c r="I50" i="4" s="1"/>
  <c r="J50" i="4" s="1"/>
  <c r="C39" i="4"/>
  <c r="C40" i="4" s="1"/>
  <c r="C38" i="4" s="1"/>
  <c r="D38" i="4" s="1"/>
  <c r="E38" i="4" s="1"/>
  <c r="F38" i="4" s="1"/>
  <c r="G38" i="4" s="1"/>
  <c r="H38" i="4" s="1"/>
  <c r="I38" i="4" s="1"/>
  <c r="J38" i="4" s="1"/>
  <c r="C28" i="4"/>
  <c r="C29" i="4" s="1"/>
  <c r="C27" i="4" s="1"/>
  <c r="D27" i="4" s="1"/>
  <c r="E27" i="4" s="1"/>
  <c r="F27" i="4" s="1"/>
  <c r="G27" i="4" s="1"/>
  <c r="H27" i="4" s="1"/>
  <c r="I27" i="4" s="1"/>
  <c r="J27" i="4" s="1"/>
  <c r="C17" i="4"/>
  <c r="C18" i="4" s="1"/>
  <c r="C16" i="4" s="1"/>
  <c r="D16" i="4" s="1"/>
  <c r="E16" i="4" s="1"/>
  <c r="F16" i="4" s="1"/>
  <c r="G16" i="4" s="1"/>
  <c r="H16" i="4" s="1"/>
  <c r="I16" i="4" s="1"/>
  <c r="J16" i="4" s="1"/>
  <c r="B62" i="3"/>
  <c r="B61" i="3"/>
  <c r="B48" i="3"/>
  <c r="B49" i="3"/>
  <c r="B36" i="3"/>
  <c r="B35" i="3"/>
  <c r="B22" i="3"/>
  <c r="B21" i="3"/>
  <c r="I2" i="2"/>
  <c r="I3" i="2"/>
  <c r="I6" i="2"/>
  <c r="I4" i="2"/>
  <c r="I5" i="2"/>
  <c r="H6" i="2"/>
  <c r="H7" i="2" s="1"/>
  <c r="H8" i="2" s="1"/>
  <c r="B33" i="5" l="1" a="1"/>
  <c r="B33" i="5" s="1"/>
  <c r="C7" i="3"/>
  <c r="C22" i="5"/>
  <c r="C84" i="4"/>
  <c r="C87" i="4" s="1"/>
  <c r="D84" i="4" s="1"/>
  <c r="E84" i="4" s="1"/>
  <c r="C73" i="4"/>
  <c r="C76" i="4" s="1"/>
  <c r="C75" i="4" s="1"/>
  <c r="D75" i="4" s="1"/>
  <c r="E75" i="4" s="1"/>
  <c r="F75" i="4" s="1"/>
  <c r="G75" i="4" s="1"/>
  <c r="H75" i="4" s="1"/>
  <c r="I75" i="4" s="1"/>
  <c r="J75" i="4" s="1"/>
  <c r="C95" i="4"/>
  <c r="C60" i="4"/>
  <c r="C63" i="4" s="1"/>
  <c r="C64" i="4" s="1"/>
  <c r="C62" i="4" s="1"/>
  <c r="D62" i="4" s="1"/>
  <c r="E62" i="4" s="1"/>
  <c r="F62" i="4" s="1"/>
  <c r="G62" i="4" s="1"/>
  <c r="H62" i="4" s="1"/>
  <c r="I62" i="4" s="1"/>
  <c r="J62" i="4" s="1"/>
  <c r="C106" i="4"/>
  <c r="C63" i="3"/>
  <c r="C50" i="3"/>
  <c r="C37" i="3"/>
  <c r="C23" i="3"/>
  <c r="I7" i="2"/>
  <c r="B10" i="2" s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C21" i="3" l="1"/>
  <c r="C23" i="5"/>
  <c r="C61" i="3"/>
  <c r="C26" i="5"/>
  <c r="C35" i="3"/>
  <c r="D37" i="3" s="1"/>
  <c r="C24" i="5"/>
  <c r="C34" i="5" s="1" a="1"/>
  <c r="C34" i="5" s="1"/>
  <c r="C48" i="3"/>
  <c r="C25" i="5"/>
  <c r="D9" i="3"/>
  <c r="D22" i="5" s="1"/>
  <c r="D7" i="3"/>
  <c r="E9" i="3" s="1"/>
  <c r="C109" i="4"/>
  <c r="D106" i="4"/>
  <c r="C108" i="4"/>
  <c r="C98" i="4"/>
  <c r="C97" i="4"/>
  <c r="D97" i="4" s="1"/>
  <c r="E97" i="4" s="1"/>
  <c r="F97" i="4" s="1"/>
  <c r="G97" i="4" s="1"/>
  <c r="H97" i="4" s="1"/>
  <c r="I97" i="4" s="1"/>
  <c r="J97" i="4" s="1"/>
  <c r="D63" i="3"/>
  <c r="D50" i="3"/>
  <c r="D23" i="3"/>
  <c r="J2" i="2"/>
  <c r="J3" i="2"/>
  <c r="J6" i="2"/>
  <c r="J4" i="2"/>
  <c r="J5" i="2"/>
  <c r="E9" i="1"/>
  <c r="F9" i="1"/>
  <c r="D9" i="1"/>
  <c r="G9" i="1"/>
  <c r="C9" i="1"/>
  <c r="C33" i="5" l="1" a="1"/>
  <c r="C33" i="5" s="1"/>
  <c r="D35" i="3"/>
  <c r="D24" i="5"/>
  <c r="D61" i="3"/>
  <c r="E63" i="3" s="1"/>
  <c r="E26" i="5" s="1"/>
  <c r="D26" i="5"/>
  <c r="D21" i="3"/>
  <c r="E23" i="3" s="1"/>
  <c r="D23" i="5"/>
  <c r="D34" i="5" s="1" a="1"/>
  <c r="D34" i="5" s="1"/>
  <c r="E7" i="3"/>
  <c r="F9" i="3" s="1"/>
  <c r="E22" i="5"/>
  <c r="D48" i="3"/>
  <c r="D25" i="5"/>
  <c r="E106" i="4"/>
  <c r="D108" i="4"/>
  <c r="D109" i="4"/>
  <c r="E61" i="3"/>
  <c r="E50" i="3"/>
  <c r="E37" i="3"/>
  <c r="B43" i="3"/>
  <c r="B34" i="4"/>
  <c r="B23" i="4"/>
  <c r="B30" i="3"/>
  <c r="B46" i="4"/>
  <c r="B56" i="3"/>
  <c r="B16" i="3"/>
  <c r="B12" i="4"/>
  <c r="B2" i="3"/>
  <c r="B2" i="4"/>
  <c r="D33" i="5" l="1" a="1"/>
  <c r="D33" i="5" s="1"/>
  <c r="E33" i="5" a="1"/>
  <c r="E33" i="5" s="1"/>
  <c r="E21" i="3"/>
  <c r="E23" i="5"/>
  <c r="E32" i="5" s="1" a="1"/>
  <c r="E32" i="5" s="1"/>
  <c r="F7" i="3"/>
  <c r="G9" i="3" s="1"/>
  <c r="F22" i="5"/>
  <c r="E48" i="3"/>
  <c r="E25" i="5"/>
  <c r="E35" i="3"/>
  <c r="E24" i="5"/>
  <c r="E109" i="4"/>
  <c r="F106" i="4"/>
  <c r="E108" i="4"/>
  <c r="F108" i="4" s="1"/>
  <c r="G108" i="4" s="1"/>
  <c r="H108" i="4" s="1"/>
  <c r="I108" i="4" s="1"/>
  <c r="J108" i="4" s="1"/>
  <c r="F63" i="3"/>
  <c r="F50" i="3"/>
  <c r="F37" i="3"/>
  <c r="F23" i="3"/>
  <c r="E34" i="5" l="1" a="1"/>
  <c r="E34" i="5" s="1"/>
  <c r="F21" i="3"/>
  <c r="F23" i="5"/>
  <c r="F34" i="5" s="1" a="1"/>
  <c r="F34" i="5" s="1"/>
  <c r="F35" i="3"/>
  <c r="F24" i="5"/>
  <c r="F48" i="3"/>
  <c r="F25" i="5"/>
  <c r="G7" i="3"/>
  <c r="H9" i="3" s="1"/>
  <c r="G22" i="5"/>
  <c r="F61" i="3"/>
  <c r="F26" i="5"/>
  <c r="F109" i="4"/>
  <c r="G63" i="3"/>
  <c r="G50" i="3"/>
  <c r="G37" i="3"/>
  <c r="G23" i="3"/>
  <c r="F33" i="5" l="1" a="1"/>
  <c r="F33" i="5" s="1"/>
  <c r="F32" i="5" a="1"/>
  <c r="F32" i="5" s="1"/>
  <c r="H7" i="3"/>
  <c r="I9" i="3" s="1"/>
  <c r="H22" i="5"/>
  <c r="G35" i="3"/>
  <c r="G24" i="5"/>
  <c r="G21" i="3"/>
  <c r="G23" i="5"/>
  <c r="G32" i="5" s="1" a="1"/>
  <c r="G32" i="5" s="1"/>
  <c r="G61" i="3"/>
  <c r="H63" i="3" s="1"/>
  <c r="G26" i="5"/>
  <c r="G48" i="3"/>
  <c r="H50" i="3" s="1"/>
  <c r="G25" i="5"/>
  <c r="H37" i="3"/>
  <c r="H23" i="3"/>
  <c r="G33" i="5" l="1" a="1"/>
  <c r="G33" i="5" s="1"/>
  <c r="G34" i="5" a="1"/>
  <c r="G34" i="5" s="1"/>
  <c r="H48" i="3"/>
  <c r="I50" i="3" s="1"/>
  <c r="H25" i="5"/>
  <c r="H61" i="3"/>
  <c r="H26" i="5"/>
  <c r="H21" i="3"/>
  <c r="I23" i="3" s="1"/>
  <c r="H23" i="5"/>
  <c r="H32" i="5" s="1" a="1"/>
  <c r="H32" i="5" s="1"/>
  <c r="H35" i="3"/>
  <c r="I37" i="3" s="1"/>
  <c r="H24" i="5"/>
  <c r="I7" i="3"/>
  <c r="J9" i="3" s="1"/>
  <c r="I22" i="5"/>
  <c r="I63" i="3"/>
  <c r="H33" i="5" l="1" a="1"/>
  <c r="H33" i="5" s="1"/>
  <c r="H34" i="5" a="1"/>
  <c r="H34" i="5" s="1"/>
  <c r="I48" i="3"/>
  <c r="I25" i="5"/>
  <c r="I35" i="3"/>
  <c r="I24" i="5"/>
  <c r="I21" i="3"/>
  <c r="J23" i="3" s="1"/>
  <c r="I23" i="5"/>
  <c r="I34" i="5" s="1" a="1"/>
  <c r="I34" i="5" s="1"/>
  <c r="J8" i="3"/>
  <c r="J22" i="5"/>
  <c r="I61" i="3"/>
  <c r="I26" i="5"/>
  <c r="J63" i="3"/>
  <c r="J50" i="3"/>
  <c r="J37" i="3"/>
  <c r="I33" i="5" l="1" a="1"/>
  <c r="I33" i="5" s="1"/>
  <c r="I32" i="5" a="1"/>
  <c r="I32" i="5" s="1"/>
  <c r="J22" i="3"/>
  <c r="J23" i="5"/>
  <c r="J32" i="5" s="1" a="1"/>
  <c r="J32" i="5" s="1"/>
  <c r="J49" i="3"/>
  <c r="J25" i="5"/>
  <c r="J36" i="3"/>
  <c r="J24" i="5"/>
  <c r="J62" i="3"/>
  <c r="J26" i="5"/>
  <c r="J61" i="3"/>
  <c r="J48" i="3"/>
  <c r="J35" i="3"/>
  <c r="J21" i="3"/>
  <c r="J33" i="5" l="1" a="1"/>
  <c r="J33" i="5" s="1"/>
  <c r="J34" i="5" a="1"/>
  <c r="J34" i="5" s="1"/>
  <c r="K63" i="3"/>
  <c r="K50" i="3"/>
  <c r="K37" i="3"/>
  <c r="K23" i="3"/>
  <c r="J7" i="3"/>
  <c r="K9" i="3" s="1"/>
  <c r="K22" i="5" s="1"/>
  <c r="K35" i="3" l="1"/>
  <c r="K24" i="5"/>
  <c r="K48" i="3"/>
  <c r="L50" i="3" s="1"/>
  <c r="K25" i="5"/>
  <c r="K21" i="3"/>
  <c r="L23" i="3" s="1"/>
  <c r="K23" i="5"/>
  <c r="K32" i="5" s="1" a="1"/>
  <c r="K32" i="5" s="1"/>
  <c r="K61" i="3"/>
  <c r="L63" i="3" s="1"/>
  <c r="K26" i="5"/>
  <c r="L37" i="3"/>
  <c r="K33" i="5" l="1" a="1"/>
  <c r="K33" i="5" s="1"/>
  <c r="K34" i="5" a="1"/>
  <c r="K34" i="5" s="1"/>
  <c r="L21" i="3"/>
  <c r="L23" i="5"/>
  <c r="L61" i="3"/>
  <c r="M63" i="3" s="1"/>
  <c r="L26" i="5"/>
  <c r="L48" i="3"/>
  <c r="M50" i="3" s="1"/>
  <c r="L25" i="5"/>
  <c r="L35" i="3"/>
  <c r="M37" i="3" s="1"/>
  <c r="L24" i="5"/>
  <c r="M23" i="3"/>
  <c r="K7" i="3"/>
  <c r="M35" i="3" l="1"/>
  <c r="M24" i="5"/>
  <c r="M48" i="3"/>
  <c r="N50" i="3" s="1"/>
  <c r="M25" i="5"/>
  <c r="M61" i="3"/>
  <c r="N63" i="3" s="1"/>
  <c r="M26" i="5"/>
  <c r="M21" i="3"/>
  <c r="N23" i="3" s="1"/>
  <c r="M23" i="5"/>
  <c r="N37" i="3"/>
  <c r="L9" i="3"/>
  <c r="N21" i="3" l="1"/>
  <c r="N23" i="5"/>
  <c r="N61" i="3"/>
  <c r="N26" i="5"/>
  <c r="N48" i="3"/>
  <c r="N25" i="5"/>
  <c r="L7" i="3"/>
  <c r="M9" i="3" s="1"/>
  <c r="L22" i="5"/>
  <c r="N35" i="3"/>
  <c r="N24" i="5"/>
  <c r="O63" i="3"/>
  <c r="O50" i="3"/>
  <c r="O37" i="3"/>
  <c r="O23" i="3"/>
  <c r="L34" i="5" l="1" a="1"/>
  <c r="L34" i="5" s="1"/>
  <c r="L32" i="5" a="1"/>
  <c r="L32" i="5" s="1"/>
  <c r="L33" i="5" a="1"/>
  <c r="L33" i="5" s="1"/>
  <c r="M7" i="3"/>
  <c r="N9" i="3" s="1"/>
  <c r="M22" i="5"/>
  <c r="O48" i="3"/>
  <c r="P50" i="3" s="1"/>
  <c r="O25" i="5"/>
  <c r="O35" i="3"/>
  <c r="P37" i="3" s="1"/>
  <c r="O24" i="5"/>
  <c r="O21" i="3"/>
  <c r="O23" i="5"/>
  <c r="O61" i="3"/>
  <c r="P63" i="3" s="1"/>
  <c r="O26" i="5"/>
  <c r="P23" i="3"/>
  <c r="M32" i="5" l="1" a="1"/>
  <c r="M32" i="5" s="1"/>
  <c r="M34" i="5" a="1"/>
  <c r="M34" i="5" s="1"/>
  <c r="M33" i="5" a="1"/>
  <c r="M33" i="5" s="1"/>
  <c r="P62" i="3"/>
  <c r="P26" i="5"/>
  <c r="P36" i="3"/>
  <c r="P24" i="5"/>
  <c r="N7" i="3"/>
  <c r="N22" i="5"/>
  <c r="P49" i="3"/>
  <c r="P25" i="5"/>
  <c r="P22" i="3"/>
  <c r="P23" i="5"/>
  <c r="P61" i="3"/>
  <c r="Q63" i="3" s="1"/>
  <c r="Q26" i="5" s="1"/>
  <c r="P48" i="3"/>
  <c r="Q50" i="3" s="1"/>
  <c r="P35" i="3"/>
  <c r="P21" i="3"/>
  <c r="O9" i="3"/>
  <c r="N34" i="5" l="1" a="1"/>
  <c r="N34" i="5" s="1"/>
  <c r="N32" i="5" a="1"/>
  <c r="N32" i="5" s="1"/>
  <c r="N33" i="5" a="1"/>
  <c r="N33" i="5" s="1"/>
  <c r="O7" i="3"/>
  <c r="P9" i="3" s="1"/>
  <c r="P22" i="5" s="1"/>
  <c r="O22" i="5"/>
  <c r="Q48" i="3"/>
  <c r="R50" i="3" s="1"/>
  <c r="Q25" i="5"/>
  <c r="Q61" i="3"/>
  <c r="R63" i="3" s="1"/>
  <c r="Q37" i="3"/>
  <c r="Q23" i="3"/>
  <c r="O34" i="5" l="1" a="1"/>
  <c r="O34" i="5" s="1"/>
  <c r="O32" i="5" a="1"/>
  <c r="O32" i="5" s="1"/>
  <c r="O33" i="5" a="1"/>
  <c r="O33" i="5" s="1"/>
  <c r="P32" i="5" a="1"/>
  <c r="P32" i="5" s="1"/>
  <c r="P34" i="5" a="1"/>
  <c r="P34" i="5" s="1"/>
  <c r="P33" i="5" a="1"/>
  <c r="P33" i="5" s="1"/>
  <c r="R48" i="3"/>
  <c r="S50" i="3" s="1"/>
  <c r="R25" i="5"/>
  <c r="Q35" i="3"/>
  <c r="Q24" i="5"/>
  <c r="Q21" i="3"/>
  <c r="Q23" i="5"/>
  <c r="R61" i="3"/>
  <c r="R26" i="5"/>
  <c r="S63" i="3"/>
  <c r="R37" i="3"/>
  <c r="R23" i="3"/>
  <c r="P7" i="3"/>
  <c r="Q9" i="3" s="1"/>
  <c r="P8" i="3"/>
  <c r="S48" i="3" l="1"/>
  <c r="T50" i="3" s="1"/>
  <c r="S25" i="5"/>
  <c r="S61" i="3"/>
  <c r="S26" i="5"/>
  <c r="R21" i="3"/>
  <c r="S23" i="3" s="1"/>
  <c r="R23" i="5"/>
  <c r="R35" i="3"/>
  <c r="R24" i="5"/>
  <c r="Q7" i="3"/>
  <c r="R9" i="3" s="1"/>
  <c r="Q22" i="5"/>
  <c r="T63" i="3"/>
  <c r="S37" i="3"/>
  <c r="Q32" i="5" l="1" a="1"/>
  <c r="Q32" i="5" s="1"/>
  <c r="Q34" i="5" a="1"/>
  <c r="Q34" i="5" s="1"/>
  <c r="Q33" i="5" a="1"/>
  <c r="Q33" i="5" s="1"/>
  <c r="R7" i="3"/>
  <c r="R22" i="5"/>
  <c r="T48" i="3"/>
  <c r="T25" i="5"/>
  <c r="S21" i="3"/>
  <c r="T23" i="3" s="1"/>
  <c r="S23" i="5"/>
  <c r="S35" i="3"/>
  <c r="T37" i="3" s="1"/>
  <c r="S24" i="5"/>
  <c r="T61" i="3"/>
  <c r="T26" i="5"/>
  <c r="U63" i="3"/>
  <c r="U50" i="3"/>
  <c r="S9" i="3"/>
  <c r="R32" i="5" l="1" a="1"/>
  <c r="R32" i="5" s="1"/>
  <c r="R34" i="5" a="1"/>
  <c r="R34" i="5" s="1"/>
  <c r="R33" i="5" a="1"/>
  <c r="R33" i="5" s="1"/>
  <c r="T35" i="3"/>
  <c r="T24" i="5"/>
  <c r="T21" i="3"/>
  <c r="T23" i="5"/>
  <c r="U62" i="3"/>
  <c r="U26" i="5"/>
  <c r="U49" i="3"/>
  <c r="U25" i="5"/>
  <c r="S7" i="3"/>
  <c r="S22" i="5"/>
  <c r="U61" i="3"/>
  <c r="U48" i="3"/>
  <c r="U37" i="3"/>
  <c r="U23" i="3"/>
  <c r="T9" i="3"/>
  <c r="S32" i="5" l="1" a="1"/>
  <c r="S32" i="5" s="1"/>
  <c r="S34" i="5" a="1"/>
  <c r="S34" i="5" s="1"/>
  <c r="S33" i="5" a="1"/>
  <c r="S33" i="5" s="1"/>
  <c r="U36" i="3"/>
  <c r="U24" i="5"/>
  <c r="T7" i="3"/>
  <c r="T22" i="5"/>
  <c r="U22" i="3"/>
  <c r="U23" i="5"/>
  <c r="V63" i="3"/>
  <c r="V50" i="3"/>
  <c r="U35" i="3"/>
  <c r="U21" i="3"/>
  <c r="U9" i="3"/>
  <c r="U22" i="5" s="1"/>
  <c r="U32" i="5" l="1" a="1"/>
  <c r="U32" i="5" s="1"/>
  <c r="U34" i="5" a="1"/>
  <c r="U34" i="5" s="1"/>
  <c r="U33" i="5" a="1"/>
  <c r="U33" i="5" s="1"/>
  <c r="T32" i="5" a="1"/>
  <c r="T32" i="5" s="1"/>
  <c r="T34" i="5" a="1"/>
  <c r="T34" i="5" s="1"/>
  <c r="T33" i="5" a="1"/>
  <c r="T33" i="5" s="1"/>
  <c r="V61" i="3"/>
  <c r="V26" i="5"/>
  <c r="V48" i="3"/>
  <c r="V25" i="5"/>
  <c r="W63" i="3"/>
  <c r="W50" i="3"/>
  <c r="V37" i="3"/>
  <c r="V23" i="3"/>
  <c r="U7" i="3"/>
  <c r="V9" i="3" s="1"/>
  <c r="U8" i="3"/>
  <c r="W48" i="3" l="1"/>
  <c r="W25" i="5"/>
  <c r="W61" i="3"/>
  <c r="W26" i="5"/>
  <c r="V21" i="3"/>
  <c r="V23" i="5"/>
  <c r="V35" i="3"/>
  <c r="W37" i="3" s="1"/>
  <c r="V24" i="5"/>
  <c r="V7" i="3"/>
  <c r="V22" i="5"/>
  <c r="X63" i="3"/>
  <c r="X50" i="3"/>
  <c r="W23" i="3"/>
  <c r="W9" i="3"/>
  <c r="V34" i="5" l="1" a="1"/>
  <c r="V34" i="5" s="1"/>
  <c r="V32" i="5" a="1"/>
  <c r="V32" i="5" s="1"/>
  <c r="V33" i="5" a="1"/>
  <c r="V33" i="5" s="1"/>
  <c r="W35" i="3"/>
  <c r="W24" i="5"/>
  <c r="W7" i="3"/>
  <c r="W22" i="5"/>
  <c r="W21" i="3"/>
  <c r="W23" i="5"/>
  <c r="X48" i="3"/>
  <c r="Y50" i="3" s="1"/>
  <c r="X25" i="5"/>
  <c r="X61" i="3"/>
  <c r="X26" i="5"/>
  <c r="Y63" i="3"/>
  <c r="Y26" i="5" s="1"/>
  <c r="X37" i="3"/>
  <c r="X23" i="3"/>
  <c r="X9" i="3"/>
  <c r="W32" i="5" l="1" a="1"/>
  <c r="W32" i="5" s="1"/>
  <c r="W34" i="5" a="1"/>
  <c r="W34" i="5" s="1"/>
  <c r="W33" i="5" a="1"/>
  <c r="W33" i="5" s="1"/>
  <c r="Y48" i="3"/>
  <c r="Y25" i="5"/>
  <c r="X7" i="3"/>
  <c r="X22" i="5"/>
  <c r="X21" i="3"/>
  <c r="Y23" i="3" s="1"/>
  <c r="X23" i="5"/>
  <c r="X35" i="3"/>
  <c r="Y37" i="3" s="1"/>
  <c r="X24" i="5"/>
  <c r="Y61" i="3"/>
  <c r="Y62" i="3"/>
  <c r="Y9" i="3"/>
  <c r="C86" i="4"/>
  <c r="D86" i="4" s="1"/>
  <c r="X32" i="5" l="1" a="1"/>
  <c r="X32" i="5" s="1"/>
  <c r="X34" i="5" a="1"/>
  <c r="X34" i="5" s="1"/>
  <c r="X33" i="5" a="1"/>
  <c r="X33" i="5" s="1"/>
  <c r="Y35" i="3"/>
  <c r="Y24" i="5"/>
  <c r="Y21" i="3"/>
  <c r="Y23" i="5"/>
  <c r="Y7" i="3"/>
  <c r="Y22" i="5"/>
  <c r="E87" i="4"/>
  <c r="E86" i="4"/>
  <c r="D87" i="4"/>
  <c r="Y34" i="5" l="1" a="1"/>
  <c r="Y34" i="5" s="1"/>
  <c r="Y32" i="5" a="1"/>
  <c r="Y32" i="5" s="1"/>
  <c r="Y33" i="5" a="1"/>
  <c r="Y33" i="5" s="1"/>
  <c r="F86" i="4"/>
  <c r="F87" i="4"/>
  <c r="G86" i="4" l="1"/>
  <c r="G87" i="4"/>
  <c r="H86" i="4" l="1"/>
  <c r="H87" i="4"/>
  <c r="I86" i="4" l="1"/>
  <c r="I87" i="4"/>
  <c r="J86" i="4" l="1"/>
  <c r="J8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<sst xmlns="http://schemas.openxmlformats.org/spreadsheetml/2006/main" count="255" uniqueCount="84">
  <si>
    <t>Period</t>
  </si>
  <si>
    <t>Forecast</t>
  </si>
  <si>
    <t>size 14</t>
  </si>
  <si>
    <t>size 16</t>
  </si>
  <si>
    <t>size 18</t>
  </si>
  <si>
    <t>size 20</t>
  </si>
  <si>
    <t>size 25</t>
  </si>
  <si>
    <t>AVG</t>
  </si>
  <si>
    <t>Portion</t>
  </si>
  <si>
    <t>Aggregated Forecast</t>
  </si>
  <si>
    <t>A</t>
  </si>
  <si>
    <t>D (per month)</t>
  </si>
  <si>
    <t>P (per month)</t>
  </si>
  <si>
    <t>H (per month)</t>
  </si>
  <si>
    <t>HD(1-D/P)</t>
  </si>
  <si>
    <t>D/P</t>
  </si>
  <si>
    <t>H (annual)</t>
  </si>
  <si>
    <t>SUM</t>
  </si>
  <si>
    <t>T*</t>
  </si>
  <si>
    <t>Lot Size</t>
  </si>
  <si>
    <t>Size</t>
  </si>
  <si>
    <t>Demand</t>
  </si>
  <si>
    <t>Projected Available Balance</t>
  </si>
  <si>
    <t>ATP</t>
  </si>
  <si>
    <t>MPS</t>
  </si>
  <si>
    <t>Demand Time Fence</t>
  </si>
  <si>
    <t>SIZE</t>
  </si>
  <si>
    <t>SS</t>
  </si>
  <si>
    <t>LS</t>
  </si>
  <si>
    <t>Planning Time Fence</t>
  </si>
  <si>
    <t>Gross Req.</t>
  </si>
  <si>
    <t>Scheduled Rec.</t>
  </si>
  <si>
    <t>POH</t>
  </si>
  <si>
    <t>Net Req.</t>
  </si>
  <si>
    <t>Planned Order Rec.</t>
  </si>
  <si>
    <t>LT</t>
  </si>
  <si>
    <t>Subassembly</t>
  </si>
  <si>
    <t>Ingot</t>
  </si>
  <si>
    <t>0month</t>
  </si>
  <si>
    <t>S</t>
  </si>
  <si>
    <t>T_min</t>
  </si>
  <si>
    <t>Week</t>
  </si>
  <si>
    <t>Sensitivity Analysis</t>
  </si>
  <si>
    <t>3 weeks</t>
  </si>
  <si>
    <t>Product/Part</t>
  </si>
  <si>
    <t>Work Center</t>
  </si>
  <si>
    <t>Operation</t>
  </si>
  <si>
    <t>Setup Hours</t>
  </si>
  <si>
    <t>SU hrs per unit</t>
  </si>
  <si>
    <t>Run time per unit</t>
  </si>
  <si>
    <t>Total run time</t>
  </si>
  <si>
    <t>A14</t>
  </si>
  <si>
    <t>A16</t>
  </si>
  <si>
    <t>A18</t>
  </si>
  <si>
    <t>A20</t>
  </si>
  <si>
    <t>A25</t>
  </si>
  <si>
    <t>B</t>
  </si>
  <si>
    <t>شمش</t>
  </si>
  <si>
    <t>Stant</t>
  </si>
  <si>
    <t>1 of 1</t>
  </si>
  <si>
    <t>2 of 2</t>
  </si>
  <si>
    <t>furnace</t>
  </si>
  <si>
    <t>1 of 2</t>
  </si>
  <si>
    <t>roughing</t>
  </si>
  <si>
    <t>Product A14</t>
  </si>
  <si>
    <t>Product A16</t>
  </si>
  <si>
    <t>Product A18</t>
  </si>
  <si>
    <t>Product A20</t>
  </si>
  <si>
    <t>Product A25</t>
  </si>
  <si>
    <t>Work Center 100</t>
  </si>
  <si>
    <t>Work Center 200</t>
  </si>
  <si>
    <t>Work Center 300</t>
  </si>
  <si>
    <t>میلگرد سایز 14</t>
  </si>
  <si>
    <t>میلگرد سایز 16</t>
  </si>
  <si>
    <t>میلگرد سایز 18</t>
  </si>
  <si>
    <t>میلگرد سایز 20</t>
  </si>
  <si>
    <t>میلگرد سایز 25</t>
  </si>
  <si>
    <t>نام محصول</t>
  </si>
  <si>
    <t>اختصار</t>
  </si>
  <si>
    <t>GUIDE</t>
  </si>
  <si>
    <t>بخش کاری</t>
  </si>
  <si>
    <t>Standard Hours of Production</t>
  </si>
  <si>
    <t>Capacity Requierment</t>
  </si>
  <si>
    <t>Routing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</si>
</sst>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(* #,##0_);_(* \(#,##0\);_(* &quot;-&quot;??_);_(@_)"/>
    <numFmt numFmtId="165" formatCode="_(* #,##0.0000_);_(* \(#,##0.0000\);_(* &quot;-&quot;??_);_(@_)"/>
    <numFmt numFmtId="166" formatCode="_(* #,##0.00000_);_(* \(#,##0.00000\);_(* &quot;-&quot;??_);_(@_)"/>
    <numFmt numFmtId="167" formatCode="_(* #,##0.000000_);_(* \(#,##0.000000\);_(* &quot;-&quot;??_);_(@_)"/>
    <numFmt numFmtId="168" formatCode="_(* #,##0.0000000_);_(* \(#,##0.0000000\);_(* &quot;-&quot;??_);_(@_)"/>
    <numFmt numFmtId="169" formatCode="_(* #,##0.00000000_);_(* \(#,##0.00000000\);_(* &quot;-&quot;??_);_(@_)"/>
    <numFmt numFmtId="177" formatCode="0.000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name val="Times New Roman"/>
      <family val="1"/>
    </font>
    <font>
      <b/>
      <sz val="11"/>
      <color theme="0"/>
      <name val="Times New Roman"/>
      <family val="1"/>
    </font>
    <font>
      <sz val="11"/>
      <name val="Times New Roman"/>
      <family val="1"/>
    </font>
    <font>
      <sz val="11"/>
      <color theme="0"/>
      <name val="Times New Roman"/>
      <family val="1"/>
    </font>
    <font>
      <sz val="12"/>
      <color rgb="FF000000"/>
      <name val="Times New Roman"/>
      <family val="1"/>
    </font>
    <font>
      <b/>
      <sz val="16"/>
      <color theme="1"/>
      <name val="Times New Roman"/>
      <family val="1"/>
    </font>
    <font>
      <b/>
      <sz val="12"/>
      <color rgb="FFFF0000"/>
      <name val="Times New Roman"/>
      <family val="1"/>
    </font>
    <font>
      <sz val="8"/>
      <name val="Calibri"/>
      <family val="2"/>
      <scheme val="minor"/>
    </font>
    <font>
      <sz val="11"/>
      <color theme="1"/>
      <name val="B Nazanin"/>
      <charset val="178"/>
    </font>
  </fonts>
  <fills count="1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CC2E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4" borderId="1" xfId="1" applyNumberFormat="1" applyFont="1" applyFill="1" applyBorder="1" applyAlignment="1">
      <alignment horizontal="center" vertical="center"/>
    </xf>
    <xf numFmtId="164" fontId="3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0" borderId="0" xfId="0" applyFont="1"/>
    <xf numFmtId="164" fontId="2" fillId="0" borderId="0" xfId="1" applyNumberFormat="1" applyFont="1"/>
    <xf numFmtId="165" fontId="3" fillId="5" borderId="1" xfId="1" applyNumberFormat="1" applyFont="1" applyFill="1" applyBorder="1" applyAlignment="1">
      <alignment horizontal="center" vertical="center"/>
    </xf>
    <xf numFmtId="164" fontId="4" fillId="7" borderId="1" xfId="1" applyNumberFormat="1" applyFont="1" applyFill="1" applyBorder="1"/>
    <xf numFmtId="165" fontId="4" fillId="7" borderId="1" xfId="1" applyNumberFormat="1" applyFont="1" applyFill="1" applyBorder="1"/>
    <xf numFmtId="164" fontId="2" fillId="4" borderId="1" xfId="1" applyNumberFormat="1" applyFont="1" applyFill="1" applyBorder="1"/>
    <xf numFmtId="166" fontId="2" fillId="4" borderId="1" xfId="1" applyNumberFormat="1" applyFont="1" applyFill="1" applyBorder="1"/>
    <xf numFmtId="0" fontId="5" fillId="8" borderId="1" xfId="0" applyFont="1" applyFill="1" applyBorder="1" applyAlignment="1">
      <alignment horizontal="center" vertical="center"/>
    </xf>
    <xf numFmtId="164" fontId="4" fillId="9" borderId="1" xfId="1" applyNumberFormat="1" applyFont="1" applyFill="1" applyBorder="1"/>
    <xf numFmtId="164" fontId="6" fillId="10" borderId="0" xfId="1" applyNumberFormat="1" applyFont="1" applyFill="1"/>
    <xf numFmtId="0" fontId="7" fillId="11" borderId="1" xfId="0" applyFont="1" applyFill="1" applyBorder="1" applyAlignment="1">
      <alignment horizontal="center" vertical="center"/>
    </xf>
    <xf numFmtId="0" fontId="8" fillId="12" borderId="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2" fillId="4" borderId="13" xfId="0" applyFont="1" applyFill="1" applyBorder="1"/>
    <xf numFmtId="0" fontId="2" fillId="4" borderId="14" xfId="0" applyFont="1" applyFill="1" applyBorder="1"/>
    <xf numFmtId="0" fontId="2" fillId="4" borderId="15" xfId="0" applyFont="1" applyFill="1" applyBorder="1"/>
    <xf numFmtId="164" fontId="3" fillId="4" borderId="1" xfId="1" applyNumberFormat="1" applyFont="1" applyFill="1" applyBorder="1"/>
    <xf numFmtId="164" fontId="3" fillId="4" borderId="1" xfId="0" applyNumberFormat="1" applyFont="1" applyFill="1" applyBorder="1"/>
    <xf numFmtId="0" fontId="10" fillId="13" borderId="1" xfId="0" applyFont="1" applyFill="1" applyBorder="1" applyAlignment="1">
      <alignment horizontal="center" vertical="center" readingOrder="2"/>
    </xf>
    <xf numFmtId="0" fontId="10" fillId="13" borderId="1" xfId="0" applyFont="1" applyFill="1" applyBorder="1" applyAlignment="1">
      <alignment horizontal="center" vertical="center"/>
    </xf>
    <xf numFmtId="164" fontId="8" fillId="12" borderId="2" xfId="1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4" borderId="21" xfId="0" applyFont="1" applyFill="1" applyBorder="1"/>
    <xf numFmtId="0" fontId="2" fillId="4" borderId="22" xfId="0" applyFont="1" applyFill="1" applyBorder="1"/>
    <xf numFmtId="0" fontId="2" fillId="4" borderId="23" xfId="0" applyFont="1" applyFill="1" applyBorder="1"/>
    <xf numFmtId="164" fontId="2" fillId="4" borderId="6" xfId="1" applyNumberFormat="1" applyFont="1" applyFill="1" applyBorder="1" applyAlignment="1">
      <alignment horizontal="center" vertical="center"/>
    </xf>
    <xf numFmtId="164" fontId="2" fillId="4" borderId="1" xfId="1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4" fontId="2" fillId="4" borderId="7" xfId="1" applyNumberFormat="1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164" fontId="2" fillId="4" borderId="7" xfId="0" applyNumberFormat="1" applyFont="1" applyFill="1" applyBorder="1" applyAlignment="1">
      <alignment horizontal="center" vertical="center"/>
    </xf>
    <xf numFmtId="164" fontId="2" fillId="4" borderId="8" xfId="0" applyNumberFormat="1" applyFont="1" applyFill="1" applyBorder="1" applyAlignment="1">
      <alignment horizontal="center" vertical="center"/>
    </xf>
    <xf numFmtId="164" fontId="2" fillId="4" borderId="9" xfId="0" applyNumberFormat="1" applyFont="1" applyFill="1" applyBorder="1" applyAlignment="1">
      <alignment horizontal="center" vertical="center"/>
    </xf>
    <xf numFmtId="164" fontId="2" fillId="4" borderId="10" xfId="0" applyNumberFormat="1" applyFont="1" applyFill="1" applyBorder="1" applyAlignment="1">
      <alignment horizontal="center" vertical="center"/>
    </xf>
    <xf numFmtId="164" fontId="12" fillId="4" borderId="1" xfId="1" applyNumberFormat="1" applyFont="1" applyFill="1" applyBorder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169" fontId="2" fillId="0" borderId="0" xfId="1" applyNumberFormat="1" applyFont="1"/>
    <xf numFmtId="169" fontId="3" fillId="4" borderId="1" xfId="0" applyNumberFormat="1" applyFont="1" applyFill="1" applyBorder="1"/>
    <xf numFmtId="0" fontId="5" fillId="3" borderId="0" xfId="0" applyFont="1" applyFill="1" applyAlignment="1">
      <alignment horizontal="center" vertical="center"/>
    </xf>
    <xf numFmtId="0" fontId="9" fillId="3" borderId="16" xfId="0" applyFont="1" applyFill="1" applyBorder="1" applyAlignment="1">
      <alignment horizontal="center"/>
    </xf>
    <xf numFmtId="0" fontId="9" fillId="3" borderId="24" xfId="0" applyFont="1" applyFill="1" applyBorder="1" applyAlignment="1">
      <alignment horizontal="center"/>
    </xf>
    <xf numFmtId="0" fontId="9" fillId="3" borderId="17" xfId="0" applyFont="1" applyFill="1" applyBorder="1" applyAlignment="1">
      <alignment horizontal="center"/>
    </xf>
    <xf numFmtId="0" fontId="11" fillId="14" borderId="18" xfId="0" applyFont="1" applyFill="1" applyBorder="1" applyAlignment="1">
      <alignment horizontal="center" vertical="center"/>
    </xf>
    <xf numFmtId="0" fontId="11" fillId="14" borderId="19" xfId="0" applyFont="1" applyFill="1" applyBorder="1" applyAlignment="1">
      <alignment horizontal="center" vertical="center"/>
    </xf>
    <xf numFmtId="0" fontId="11" fillId="14" borderId="2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177" fontId="0" fillId="0" borderId="0" xfId="0" applyNumberFormat="1"/>
    <xf numFmtId="0" fontId="3" fillId="4" borderId="1" xfId="0" applyNumberFormat="1" applyFont="1" applyFill="1" applyBorder="1"/>
    <xf numFmtId="0" fontId="3" fillId="4" borderId="1" xfId="0" applyNumberFormat="1" applyFont="1" applyFill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.%20Pedram\AppData\Roaming\Microsoft\AddIns\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Prime"/>
      <sheetName val="MSSD"/>
    </sheetNames>
    <definedNames>
      <definedName name="RANDO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workbookViewId="0">
      <selection activeCell="D17" sqref="D17"/>
    </sheetView>
  </sheetViews>
  <sheetFormatPr defaultRowHeight="15.5" x14ac:dyDescent="0.35"/>
  <cols>
    <col min="1" max="1" width="8.7265625" style="3"/>
    <col min="2" max="2" width="19" style="3" bestFit="1" customWidth="1"/>
    <col min="3" max="3" width="11.08984375" style="3" bestFit="1" customWidth="1"/>
    <col min="4" max="7" width="12.54296875" style="3" bestFit="1" customWidth="1"/>
    <col min="8" max="16384" width="8.7265625" style="3"/>
  </cols>
  <sheetData>
    <row r="1" spans="1:7" x14ac:dyDescent="0.35">
      <c r="A1" s="1"/>
      <c r="B1" s="2" t="s">
        <v>8</v>
      </c>
      <c r="C1" s="2">
        <v>0.03</v>
      </c>
      <c r="D1" s="2">
        <v>0.36</v>
      </c>
      <c r="E1" s="2">
        <v>0.15</v>
      </c>
      <c r="F1" s="2">
        <v>0.27</v>
      </c>
      <c r="G1" s="2">
        <v>0.19</v>
      </c>
    </row>
    <row r="2" spans="1:7" x14ac:dyDescent="0.35">
      <c r="A2" s="2" t="s">
        <v>0</v>
      </c>
      <c r="B2" s="2" t="s">
        <v>9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35">
      <c r="A3" s="2">
        <v>1</v>
      </c>
      <c r="B3" s="4">
        <v>5027296</v>
      </c>
      <c r="C3" s="4">
        <f>C$1*$B3</f>
        <v>150818.88</v>
      </c>
      <c r="D3" s="4">
        <f t="shared" ref="D3:G8" si="0">D$1*$B3</f>
        <v>1809826.5599999998</v>
      </c>
      <c r="E3" s="4">
        <f t="shared" si="0"/>
        <v>754094.4</v>
      </c>
      <c r="F3" s="4">
        <f t="shared" si="0"/>
        <v>1357369.9200000002</v>
      </c>
      <c r="G3" s="4">
        <f t="shared" si="0"/>
        <v>955186.24</v>
      </c>
    </row>
    <row r="4" spans="1:7" x14ac:dyDescent="0.35">
      <c r="A4" s="2">
        <v>2</v>
      </c>
      <c r="B4" s="4">
        <v>5545784</v>
      </c>
      <c r="C4" s="4">
        <f t="shared" ref="C4:C8" si="1">C$1*$B4</f>
        <v>166373.51999999999</v>
      </c>
      <c r="D4" s="4">
        <f t="shared" si="0"/>
        <v>1996482.24</v>
      </c>
      <c r="E4" s="4">
        <f t="shared" si="0"/>
        <v>831867.6</v>
      </c>
      <c r="F4" s="4">
        <f t="shared" si="0"/>
        <v>1497361.6800000002</v>
      </c>
      <c r="G4" s="4">
        <f t="shared" si="0"/>
        <v>1053698.96</v>
      </c>
    </row>
    <row r="5" spans="1:7" x14ac:dyDescent="0.35">
      <c r="A5" s="2">
        <v>3</v>
      </c>
      <c r="B5" s="4">
        <v>6064272</v>
      </c>
      <c r="C5" s="4">
        <f t="shared" si="1"/>
        <v>181928.16</v>
      </c>
      <c r="D5" s="4">
        <f t="shared" si="0"/>
        <v>2183137.92</v>
      </c>
      <c r="E5" s="4">
        <f t="shared" si="0"/>
        <v>909640.79999999993</v>
      </c>
      <c r="F5" s="4">
        <f t="shared" si="0"/>
        <v>1637353.4400000002</v>
      </c>
      <c r="G5" s="4">
        <f t="shared" si="0"/>
        <v>1152211.68</v>
      </c>
    </row>
    <row r="6" spans="1:7" x14ac:dyDescent="0.35">
      <c r="A6" s="2">
        <v>4</v>
      </c>
      <c r="B6" s="4">
        <v>6582760</v>
      </c>
      <c r="C6" s="4">
        <f t="shared" si="1"/>
        <v>197482.8</v>
      </c>
      <c r="D6" s="4">
        <f t="shared" si="0"/>
        <v>2369793.6</v>
      </c>
      <c r="E6" s="4">
        <f t="shared" si="0"/>
        <v>987414</v>
      </c>
      <c r="F6" s="4">
        <f t="shared" si="0"/>
        <v>1777345.2000000002</v>
      </c>
      <c r="G6" s="4">
        <f t="shared" si="0"/>
        <v>1250724.3999999999</v>
      </c>
    </row>
    <row r="7" spans="1:7" x14ac:dyDescent="0.35">
      <c r="A7" s="2">
        <v>5</v>
      </c>
      <c r="B7" s="4">
        <v>7101249</v>
      </c>
      <c r="C7" s="4">
        <f t="shared" si="1"/>
        <v>213037.47</v>
      </c>
      <c r="D7" s="4">
        <f t="shared" si="0"/>
        <v>2556449.64</v>
      </c>
      <c r="E7" s="4">
        <f t="shared" si="0"/>
        <v>1065187.3499999999</v>
      </c>
      <c r="F7" s="4">
        <f t="shared" si="0"/>
        <v>1917337.2300000002</v>
      </c>
      <c r="G7" s="4">
        <f t="shared" si="0"/>
        <v>1349237.31</v>
      </c>
    </row>
    <row r="8" spans="1:7" x14ac:dyDescent="0.35">
      <c r="A8" s="2">
        <v>6</v>
      </c>
      <c r="B8" s="4">
        <v>7619737</v>
      </c>
      <c r="C8" s="4">
        <f t="shared" si="1"/>
        <v>228592.11</v>
      </c>
      <c r="D8" s="4">
        <f t="shared" si="0"/>
        <v>2743105.32</v>
      </c>
      <c r="E8" s="4">
        <f t="shared" si="0"/>
        <v>1142960.55</v>
      </c>
      <c r="F8" s="4">
        <f t="shared" si="0"/>
        <v>2057328.9900000002</v>
      </c>
      <c r="G8" s="4">
        <f t="shared" si="0"/>
        <v>1447750.03</v>
      </c>
    </row>
    <row r="9" spans="1:7" x14ac:dyDescent="0.35">
      <c r="A9" s="6" t="s">
        <v>7</v>
      </c>
      <c r="B9" s="5">
        <f>AVERAGE(B3:B8)</f>
        <v>6323516.333333333</v>
      </c>
      <c r="C9" s="5">
        <f>AVERAGE(C3:C8)</f>
        <v>189705.49</v>
      </c>
      <c r="D9" s="5">
        <f t="shared" ref="D9:G9" si="2">AVERAGE(D3:D8)</f>
        <v>2276465.8800000004</v>
      </c>
      <c r="E9" s="5">
        <f t="shared" si="2"/>
        <v>948527.44999999984</v>
      </c>
      <c r="F9" s="5">
        <f t="shared" si="2"/>
        <v>1707349.4100000001</v>
      </c>
      <c r="G9" s="5">
        <f t="shared" si="2"/>
        <v>1201468.1033333333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CDE7-0A97-4BFC-BB99-8BA06ECA213B}">
  <dimension ref="A1:J15"/>
  <sheetViews>
    <sheetView workbookViewId="0">
      <selection activeCell="C10" sqref="C10:F15"/>
    </sheetView>
  </sheetViews>
  <sheetFormatPr defaultRowHeight="14" x14ac:dyDescent="0.3"/>
  <cols>
    <col min="1" max="1" width="7.453125" style="8" customWidth="1"/>
    <col min="2" max="2" width="17.1796875" style="8" bestFit="1" customWidth="1"/>
    <col min="3" max="3" width="13.36328125" style="8" bestFit="1" customWidth="1"/>
    <col min="4" max="4" width="13.08984375" style="8" bestFit="1" customWidth="1"/>
    <col min="5" max="5" width="11.6328125" style="8" bestFit="1" customWidth="1"/>
    <col min="6" max="6" width="13.36328125" style="8" bestFit="1" customWidth="1"/>
    <col min="7" max="7" width="13.36328125" style="8" customWidth="1"/>
    <col min="8" max="8" width="9.1796875" style="8" bestFit="1" customWidth="1"/>
    <col min="9" max="9" width="17.1796875" style="8" bestFit="1" customWidth="1"/>
    <col min="10" max="10" width="10.1796875" style="8" bestFit="1" customWidth="1"/>
    <col min="11" max="16384" width="8.7265625" style="8"/>
  </cols>
  <sheetData>
    <row r="1" spans="1:10" ht="15.5" x14ac:dyDescent="0.3">
      <c r="A1" s="2" t="s">
        <v>20</v>
      </c>
      <c r="B1" s="2" t="s">
        <v>10</v>
      </c>
      <c r="C1" s="2" t="s">
        <v>11</v>
      </c>
      <c r="D1" s="2" t="s">
        <v>12</v>
      </c>
      <c r="E1" s="2" t="s">
        <v>16</v>
      </c>
      <c r="F1" s="2" t="s">
        <v>13</v>
      </c>
      <c r="G1" s="2" t="s">
        <v>39</v>
      </c>
      <c r="H1" s="2" t="s">
        <v>15</v>
      </c>
      <c r="I1" s="2" t="s">
        <v>14</v>
      </c>
      <c r="J1" s="14" t="s">
        <v>19</v>
      </c>
    </row>
    <row r="2" spans="1:10" ht="15.5" x14ac:dyDescent="0.3">
      <c r="A2" s="2">
        <v>14</v>
      </c>
      <c r="B2" s="12">
        <v>53290440000</v>
      </c>
      <c r="C2" s="12">
        <f>Forecast!C9</f>
        <v>189705.49</v>
      </c>
      <c r="D2" s="12">
        <v>7200000</v>
      </c>
      <c r="E2" s="12">
        <v>615600</v>
      </c>
      <c r="F2" s="12">
        <f>E2/12</f>
        <v>51300</v>
      </c>
      <c r="G2" s="13">
        <f>7/(8*26)</f>
        <v>3.3653846153846152E-2</v>
      </c>
      <c r="H2" s="13">
        <f>C2/D2</f>
        <v>2.6347984722222221E-2</v>
      </c>
      <c r="I2" s="12">
        <f>F2*C2*(1-C2/D2)</f>
        <v>9475475904.8300018</v>
      </c>
      <c r="J2" s="15">
        <f>$B$10*C2</f>
        <v>278183.74914810824</v>
      </c>
    </row>
    <row r="3" spans="1:10" ht="15.5" x14ac:dyDescent="0.3">
      <c r="A3" s="2">
        <v>16</v>
      </c>
      <c r="B3" s="12">
        <v>52355520000</v>
      </c>
      <c r="C3" s="12">
        <f>Forecast!D9</f>
        <v>2276465.8800000004</v>
      </c>
      <c r="D3" s="12">
        <v>7200000</v>
      </c>
      <c r="E3" s="12">
        <v>604800</v>
      </c>
      <c r="F3" s="12">
        <f>E3/12</f>
        <v>50400</v>
      </c>
      <c r="G3" s="13">
        <f t="shared" ref="G3:G6" si="0">7/(8*26)</f>
        <v>3.3653846153846152E-2</v>
      </c>
      <c r="H3" s="13">
        <f>C3/D3</f>
        <v>0.31617581666666672</v>
      </c>
      <c r="I3" s="12">
        <f>F3*C3*(1-C3/D3)</f>
        <v>78457802032.370789</v>
      </c>
      <c r="J3" s="15">
        <f t="shared" ref="J3:J6" si="1">$B$10*C3</f>
        <v>3338204.9897772991</v>
      </c>
    </row>
    <row r="4" spans="1:10" ht="15.5" x14ac:dyDescent="0.3">
      <c r="A4" s="2">
        <v>18</v>
      </c>
      <c r="B4" s="12">
        <v>49862400000</v>
      </c>
      <c r="C4" s="12">
        <f>Forecast!E9</f>
        <v>948527.44999999984</v>
      </c>
      <c r="D4" s="12">
        <v>7200000</v>
      </c>
      <c r="E4" s="12">
        <v>576000</v>
      </c>
      <c r="F4" s="12">
        <f>E4/12</f>
        <v>48000</v>
      </c>
      <c r="G4" s="13">
        <f t="shared" si="0"/>
        <v>3.3653846153846152E-2</v>
      </c>
      <c r="H4" s="13">
        <f>C4/D4</f>
        <v>0.13173992361111109</v>
      </c>
      <c r="I4" s="12">
        <f>F4*C4*(1-C4/D4)</f>
        <v>39531288777.309975</v>
      </c>
      <c r="J4" s="15">
        <f t="shared" si="1"/>
        <v>1390918.745740541</v>
      </c>
    </row>
    <row r="5" spans="1:10" ht="15.5" x14ac:dyDescent="0.3">
      <c r="A5" s="2">
        <v>20</v>
      </c>
      <c r="B5" s="12">
        <v>48304200000</v>
      </c>
      <c r="C5" s="12">
        <f>Forecast!F9</f>
        <v>1707349.4100000001</v>
      </c>
      <c r="D5" s="12">
        <v>7200000</v>
      </c>
      <c r="E5" s="12">
        <v>558000</v>
      </c>
      <c r="F5" s="12">
        <f>E5/12</f>
        <v>46500</v>
      </c>
      <c r="G5" s="13">
        <f t="shared" si="0"/>
        <v>3.3653846153846152E-2</v>
      </c>
      <c r="H5" s="13">
        <f>C5/D5</f>
        <v>0.23713186250000001</v>
      </c>
      <c r="I5" s="12">
        <f>F5*C5*(1-C5/D5)</f>
        <v>60565434597.781708</v>
      </c>
      <c r="J5" s="15">
        <f t="shared" si="1"/>
        <v>2503653.7423329744</v>
      </c>
    </row>
    <row r="6" spans="1:10" ht="15.5" x14ac:dyDescent="0.3">
      <c r="A6" s="2">
        <v>25</v>
      </c>
      <c r="B6" s="12">
        <v>45811080000</v>
      </c>
      <c r="C6" s="12">
        <f>Forecast!G9</f>
        <v>1201468.1033333333</v>
      </c>
      <c r="D6" s="12">
        <v>7200000</v>
      </c>
      <c r="E6" s="12">
        <v>529200</v>
      </c>
      <c r="F6" s="12">
        <f>E6/12</f>
        <v>44100</v>
      </c>
      <c r="G6" s="13">
        <f t="shared" si="0"/>
        <v>3.3653846153846152E-2</v>
      </c>
      <c r="H6" s="13">
        <f>C6/D6</f>
        <v>0.1668705699074074</v>
      </c>
      <c r="I6" s="12">
        <f>F6*C6*(1-C6/D6)</f>
        <v>44143149036.619698</v>
      </c>
      <c r="J6" s="15">
        <f t="shared" si="1"/>
        <v>1761830.4112713521</v>
      </c>
    </row>
    <row r="7" spans="1:10" ht="15.5" x14ac:dyDescent="0.3">
      <c r="A7" s="6" t="s">
        <v>17</v>
      </c>
      <c r="B7" s="5">
        <f>SUM(B2:B6)</f>
        <v>249623640000</v>
      </c>
      <c r="C7" s="5"/>
      <c r="D7" s="5"/>
      <c r="E7" s="5"/>
      <c r="F7" s="5"/>
      <c r="G7" s="9">
        <f>SUM(G2:G6)</f>
        <v>0.16826923076923075</v>
      </c>
      <c r="H7" s="9">
        <f>SUM(H2:H6)</f>
        <v>0.87826615740740732</v>
      </c>
      <c r="I7" s="5">
        <f>SUM(I2:I6)</f>
        <v>232173150348.91217</v>
      </c>
    </row>
    <row r="8" spans="1:10" x14ac:dyDescent="0.3">
      <c r="H8" s="16" t="str">
        <f>IF(H7&lt;1,"Feasible","Infeasible")</f>
        <v>Feasible</v>
      </c>
    </row>
    <row r="10" spans="1:10" x14ac:dyDescent="0.3">
      <c r="A10" s="10" t="s">
        <v>18</v>
      </c>
      <c r="B10" s="11">
        <f>SQRT(2*B7/I7)</f>
        <v>1.4663979895790482</v>
      </c>
      <c r="D10" s="49"/>
      <c r="E10" s="52"/>
      <c r="F10" s="50"/>
    </row>
    <row r="11" spans="1:10" x14ac:dyDescent="0.3">
      <c r="A11" s="10" t="s">
        <v>40</v>
      </c>
      <c r="B11" s="11">
        <f>G7/(1-H7)</f>
        <v>1.3822715785977309</v>
      </c>
    </row>
    <row r="15" spans="1:10" x14ac:dyDescent="0.3">
      <c r="D15" s="5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FBA4D-8D5E-4370-A155-6EA1CDC1E267}">
  <dimension ref="A1:Y64"/>
  <sheetViews>
    <sheetView zoomScale="85" zoomScaleNormal="85" workbookViewId="0">
      <selection activeCell="C43" sqref="C43"/>
    </sheetView>
  </sheetViews>
  <sheetFormatPr defaultRowHeight="14" x14ac:dyDescent="0.3"/>
  <cols>
    <col min="1" max="1" width="26.08984375" style="7" bestFit="1" customWidth="1"/>
    <col min="2" max="7" width="10" style="7" bestFit="1" customWidth="1"/>
    <col min="8" max="9" width="9.81640625" style="7" bestFit="1" customWidth="1"/>
    <col min="10" max="13" width="10" style="7" bestFit="1" customWidth="1"/>
    <col min="14" max="15" width="8.81640625" style="7" bestFit="1" customWidth="1"/>
    <col min="16" max="17" width="10" style="7" bestFit="1" customWidth="1"/>
    <col min="18" max="25" width="11.81640625" style="7" bestFit="1" customWidth="1"/>
    <col min="26" max="16384" width="8.7265625" style="7"/>
  </cols>
  <sheetData>
    <row r="1" spans="1:25" x14ac:dyDescent="0.3">
      <c r="A1" s="17" t="s">
        <v>26</v>
      </c>
      <c r="B1" s="17" t="s">
        <v>28</v>
      </c>
      <c r="C1" s="17" t="s">
        <v>27</v>
      </c>
    </row>
    <row r="2" spans="1:25" ht="14.5" thickBot="1" x14ac:dyDescent="0.35">
      <c r="A2" s="18">
        <v>14</v>
      </c>
      <c r="B2" s="18">
        <f>_xlfn.CEILING.MATH('Lot Size'!J2)</f>
        <v>278184</v>
      </c>
      <c r="C2" s="18">
        <f>_xlfn.CEILING.MATH(0.05*Forecast!C9)</f>
        <v>9486</v>
      </c>
    </row>
    <row r="3" spans="1:25" ht="16" thickBot="1" x14ac:dyDescent="0.35">
      <c r="A3" s="21"/>
      <c r="B3" s="55" t="s">
        <v>25</v>
      </c>
      <c r="C3" s="56"/>
      <c r="D3" s="56"/>
      <c r="E3" s="56"/>
      <c r="F3" s="56"/>
      <c r="G3" s="57"/>
      <c r="H3" s="55" t="s">
        <v>29</v>
      </c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7"/>
    </row>
    <row r="4" spans="1:25" ht="15.5" x14ac:dyDescent="0.3">
      <c r="A4" s="19" t="s">
        <v>41</v>
      </c>
      <c r="B4" s="30">
        <v>1</v>
      </c>
      <c r="C4" s="31">
        <v>2</v>
      </c>
      <c r="D4" s="31">
        <v>3</v>
      </c>
      <c r="E4" s="31">
        <v>4</v>
      </c>
      <c r="F4" s="31">
        <v>5</v>
      </c>
      <c r="G4" s="32">
        <v>6</v>
      </c>
      <c r="H4" s="30">
        <v>7</v>
      </c>
      <c r="I4" s="31">
        <v>8</v>
      </c>
      <c r="J4" s="31">
        <v>9</v>
      </c>
      <c r="K4" s="31">
        <v>10</v>
      </c>
      <c r="L4" s="31">
        <v>11</v>
      </c>
      <c r="M4" s="31">
        <v>12</v>
      </c>
      <c r="N4" s="31">
        <v>13</v>
      </c>
      <c r="O4" s="31">
        <v>14</v>
      </c>
      <c r="P4" s="31">
        <v>15</v>
      </c>
      <c r="Q4" s="31">
        <v>16</v>
      </c>
      <c r="R4" s="31">
        <v>17</v>
      </c>
      <c r="S4" s="31">
        <v>18</v>
      </c>
      <c r="T4" s="31">
        <v>19</v>
      </c>
      <c r="U4" s="31">
        <v>20</v>
      </c>
      <c r="V4" s="31">
        <v>21</v>
      </c>
      <c r="W4" s="31">
        <v>22</v>
      </c>
      <c r="X4" s="31">
        <v>23</v>
      </c>
      <c r="Y4" s="32">
        <v>24</v>
      </c>
    </row>
    <row r="5" spans="1:25" ht="15.5" x14ac:dyDescent="0.3">
      <c r="A5" s="19" t="s">
        <v>1</v>
      </c>
      <c r="B5" s="36">
        <f>Forecast!$C$3/4</f>
        <v>37704.720000000001</v>
      </c>
      <c r="C5" s="37">
        <f>Forecast!$C$3/4</f>
        <v>37704.720000000001</v>
      </c>
      <c r="D5" s="37">
        <f>Forecast!$C$3/4</f>
        <v>37704.720000000001</v>
      </c>
      <c r="E5" s="37">
        <f>Forecast!$C$3/4</f>
        <v>37704.720000000001</v>
      </c>
      <c r="F5" s="38">
        <f>Forecast!$C$4/4</f>
        <v>41593.379999999997</v>
      </c>
      <c r="G5" s="39">
        <f>Forecast!$C$4/4</f>
        <v>41593.379999999997</v>
      </c>
      <c r="H5" s="40">
        <f>Forecast!$C$4/4</f>
        <v>41593.379999999997</v>
      </c>
      <c r="I5" s="38">
        <f>Forecast!$C$4/4</f>
        <v>41593.379999999997</v>
      </c>
      <c r="J5" s="37">
        <f>Forecast!$C$5/4</f>
        <v>45482.04</v>
      </c>
      <c r="K5" s="37">
        <f>Forecast!$C$5/4</f>
        <v>45482.04</v>
      </c>
      <c r="L5" s="37">
        <f>Forecast!$C$5/4</f>
        <v>45482.04</v>
      </c>
      <c r="M5" s="37">
        <f>Forecast!$C$5/4</f>
        <v>45482.04</v>
      </c>
      <c r="N5" s="38">
        <f>Forecast!$C$6/4</f>
        <v>49370.7</v>
      </c>
      <c r="O5" s="38">
        <f>Forecast!$C$6/4</f>
        <v>49370.7</v>
      </c>
      <c r="P5" s="38">
        <f>Forecast!$C$6/4</f>
        <v>49370.7</v>
      </c>
      <c r="Q5" s="38">
        <f>Forecast!$C$6/4</f>
        <v>49370.7</v>
      </c>
      <c r="R5" s="38">
        <f>Forecast!$C$7/4</f>
        <v>53259.3675</v>
      </c>
      <c r="S5" s="38">
        <f>Forecast!$C$7/4</f>
        <v>53259.3675</v>
      </c>
      <c r="T5" s="38">
        <f>Forecast!$C$7/4</f>
        <v>53259.3675</v>
      </c>
      <c r="U5" s="38">
        <f>Forecast!$C$7/4</f>
        <v>53259.3675</v>
      </c>
      <c r="V5" s="38">
        <f>Forecast!$C$8/4</f>
        <v>57148.027499999997</v>
      </c>
      <c r="W5" s="38">
        <f>Forecast!$C$8/4</f>
        <v>57148.027499999997</v>
      </c>
      <c r="X5" s="38">
        <f>Forecast!$C$8/4</f>
        <v>57148.027499999997</v>
      </c>
      <c r="Y5" s="39">
        <f>Forecast!$C$8/4</f>
        <v>57148.027499999997</v>
      </c>
    </row>
    <row r="6" spans="1:25" ht="15.5" x14ac:dyDescent="0.3">
      <c r="A6" s="19" t="s">
        <v>21</v>
      </c>
      <c r="B6" s="36" cm="1">
        <f t="array" ref="B6">[1]!RANDOM(0.8,1.2,,1)*$B5/B4^0.2</f>
        <v>33542.224642971043</v>
      </c>
      <c r="C6" s="37" cm="1">
        <f t="array" ref="C6">[1]!RANDOM(0.8,1.2,,1)*$B5/C4^0.2</f>
        <v>29200.202557143577</v>
      </c>
      <c r="D6" s="37" cm="1">
        <f t="array" ref="D6">[1]!RANDOM(0.8,1.2,,1)*$B5/D4^0.2</f>
        <v>26925.73779481107</v>
      </c>
      <c r="E6" s="37" cm="1">
        <f t="array" ref="E6">[1]!RANDOM(0.8,1.2,,1)*$B5/E4^0.2</f>
        <v>25420.252784482269</v>
      </c>
      <c r="F6" s="37" cm="1">
        <f t="array" ref="F6">[1]!RANDOM(0.8,1.2,,1)*$B5/F4^0.2</f>
        <v>24310.722295734264</v>
      </c>
      <c r="G6" s="41" cm="1">
        <f t="array" ref="G6">[1]!RANDOM(0.8,1.2,,1)*$B5/G4^0.2</f>
        <v>23440.216204436518</v>
      </c>
      <c r="H6" s="36" cm="1">
        <f t="array" ref="H6">[1]!RANDOM(0.8,1.2,,1)*$B5/H4^0.2</f>
        <v>22728.577477807732</v>
      </c>
      <c r="I6" s="37" cm="1">
        <f t="array" ref="I6">[1]!RANDOM(0.8,1.2,,1)*$B5/I4^0.2</f>
        <v>22129.615380660907</v>
      </c>
      <c r="J6" s="37" cm="1">
        <f t="array" ref="J6">[1]!RANDOM(0.8,1.2,,1)*$B5/J4^0.2</f>
        <v>21614.408808953107</v>
      </c>
      <c r="K6" s="37" cm="1">
        <f t="array" ref="K6">[1]!RANDOM(0.8,1.2,,1)*$B5/K4^0.2</f>
        <v>21163.712988687104</v>
      </c>
      <c r="L6" s="37" cm="1">
        <f t="array" ref="L6">[1]!RANDOM(0.8,1.2,,1)*$B5/L4^0.2</f>
        <v>20764.110251443097</v>
      </c>
      <c r="M6" s="37" cm="1">
        <f t="array" ref="M6">[1]!RANDOM(0.8,1.2,,1)*$B5/M4^0.2</f>
        <v>20405.893420555149</v>
      </c>
      <c r="N6" s="37" cm="1">
        <f t="array" ref="N6">[1]!RANDOM(0.8,1.2,,1)*$B5/N4^0.2</f>
        <v>20081.825674961157</v>
      </c>
      <c r="O6" s="37" cm="1">
        <f t="array" ref="O6">[1]!RANDOM(0.8,1.2,,1)*$B5/O4^0.2</f>
        <v>19786.375926225119</v>
      </c>
      <c r="P6" s="37" cm="1">
        <f t="array" ref="P6">[1]!RANDOM(0.8,1.2,,1)*$B5/P4^0.2</f>
        <v>19515.227183196981</v>
      </c>
      <c r="Q6" s="37" cm="1">
        <f t="array" ref="Q6">[1]!RANDOM(0.8,1.2,,1)*$B5/Q4^0.2</f>
        <v>19264.949135160925</v>
      </c>
      <c r="R6" s="37" cm="1">
        <f t="array" ref="R6">[1]!RANDOM(0.8,1.2,,1)*$B5/R4^0.2</f>
        <v>19032.773484547441</v>
      </c>
      <c r="S6" s="37" cm="1">
        <f t="array" ref="S6">[1]!RANDOM(0.8,1.2,,1)*$B5/S4^0.2</f>
        <v>18816.435763946836</v>
      </c>
      <c r="T6" s="37" cm="1">
        <f t="array" ref="T6">[1]!RANDOM(0.8,1.2,,1)*$B5/T4^0.2</f>
        <v>18614.061438471912</v>
      </c>
      <c r="U6" s="37" cm="1">
        <f t="array" ref="U6">[1]!RANDOM(0.8,1.2,,1)*$B5/U4^0.2</f>
        <v>18424.082263739059</v>
      </c>
      <c r="V6" s="37" cm="1">
        <f t="array" ref="V6">[1]!RANDOM(0.8,1.2,,1)*$B5/V4^0.2</f>
        <v>18245.17378112378</v>
      </c>
      <c r="W6" s="37" cm="1">
        <f t="array" ref="W6">[1]!RANDOM(0.8,1.2,,1)*$B5/W4^0.2</f>
        <v>18076.207875736611</v>
      </c>
      <c r="X6" s="37" cm="1">
        <f t="array" ref="X6">[1]!RANDOM(0.8,1.2,,1)*$B5/X4^0.2</f>
        <v>17916.216260320427</v>
      </c>
      <c r="Y6" s="41" cm="1">
        <f t="array" ref="Y6">[1]!RANDOM(0.8,1.2,,1)*$B5/Y4^0.2</f>
        <v>17764.362011824956</v>
      </c>
    </row>
    <row r="7" spans="1:25" ht="15.5" x14ac:dyDescent="0.3">
      <c r="A7" s="19" t="s">
        <v>22</v>
      </c>
      <c r="B7" s="42">
        <f>IF(B10=1, 0+B9-B6,0+B9-MAX(B6,B5))</f>
        <v>244641.77535702896</v>
      </c>
      <c r="C7" s="43">
        <f t="shared" ref="C7:H7" si="0">IF(C10=1, B7+C9-C6,B7+C9-MAX(C6,C5))</f>
        <v>215441.57279988538</v>
      </c>
      <c r="D7" s="43">
        <f t="shared" si="0"/>
        <v>188515.8350050743</v>
      </c>
      <c r="E7" s="43">
        <f t="shared" si="0"/>
        <v>163095.58222059204</v>
      </c>
      <c r="F7" s="43">
        <f t="shared" si="0"/>
        <v>138784.85992485777</v>
      </c>
      <c r="G7" s="44">
        <f t="shared" si="0"/>
        <v>115344.64372042124</v>
      </c>
      <c r="H7" s="42">
        <f t="shared" si="0"/>
        <v>73751.263720421237</v>
      </c>
      <c r="I7" s="43">
        <f>IF(I10=1, H7+I9-I6,H7+I9-MAX(I6,I5))</f>
        <v>32157.88372042124</v>
      </c>
      <c r="J7" s="43">
        <f t="shared" ref="J7:Y7" si="1">IF(J10=1, I7+J9-J6,I7+J9-MAX(J6,J5))</f>
        <v>264859.84372042125</v>
      </c>
      <c r="K7" s="43">
        <f t="shared" si="1"/>
        <v>219377.80372042125</v>
      </c>
      <c r="L7" s="43">
        <f t="shared" si="1"/>
        <v>173895.76372042124</v>
      </c>
      <c r="M7" s="43">
        <f t="shared" si="1"/>
        <v>128413.72372042123</v>
      </c>
      <c r="N7" s="43">
        <f t="shared" si="1"/>
        <v>79043.023720421232</v>
      </c>
      <c r="O7" s="43">
        <f t="shared" si="1"/>
        <v>29672.323720421235</v>
      </c>
      <c r="P7" s="43">
        <f t="shared" si="1"/>
        <v>258485.62372042122</v>
      </c>
      <c r="Q7" s="43">
        <f t="shared" si="1"/>
        <v>209114.92372042121</v>
      </c>
      <c r="R7" s="43">
        <f t="shared" si="1"/>
        <v>155855.55622042122</v>
      </c>
      <c r="S7" s="43">
        <f t="shared" si="1"/>
        <v>102596.18872042123</v>
      </c>
      <c r="T7" s="43">
        <f t="shared" si="1"/>
        <v>49336.821220421225</v>
      </c>
      <c r="U7" s="43">
        <f t="shared" si="1"/>
        <v>274261.45372042124</v>
      </c>
      <c r="V7" s="43">
        <f t="shared" si="1"/>
        <v>217113.42622042124</v>
      </c>
      <c r="W7" s="43">
        <f t="shared" si="1"/>
        <v>159965.39872042125</v>
      </c>
      <c r="X7" s="43">
        <f t="shared" si="1"/>
        <v>102817.37122042125</v>
      </c>
      <c r="Y7" s="44">
        <f t="shared" si="1"/>
        <v>45669.343720421253</v>
      </c>
    </row>
    <row r="8" spans="1:25" ht="15.5" x14ac:dyDescent="0.3">
      <c r="A8" s="19" t="s">
        <v>23</v>
      </c>
      <c r="B8" s="42">
        <f>MAX(B9-SUM(B6:I6),0)</f>
        <v>70486.450861952617</v>
      </c>
      <c r="C8" s="43"/>
      <c r="D8" s="38"/>
      <c r="E8" s="38"/>
      <c r="F8" s="38"/>
      <c r="G8" s="39"/>
      <c r="H8" s="42"/>
      <c r="I8" s="43"/>
      <c r="J8" s="43">
        <f>MAX(J9-SUM(J6:O6))</f>
        <v>154367.67292917526</v>
      </c>
      <c r="K8" s="43"/>
      <c r="L8" s="43"/>
      <c r="M8" s="43"/>
      <c r="N8" s="43"/>
      <c r="O8" s="43"/>
      <c r="P8" s="43">
        <f>MAX(P9-SUM(P6:T6))</f>
        <v>182940.55299467593</v>
      </c>
      <c r="Q8" s="43"/>
      <c r="R8" s="43"/>
      <c r="S8" s="43"/>
      <c r="T8" s="43"/>
      <c r="U8" s="43">
        <f t="shared" ref="U8" si="2">MAX(U9-SUM(U6:Y6))</f>
        <v>187757.95780725515</v>
      </c>
      <c r="V8" s="38"/>
      <c r="W8" s="38"/>
      <c r="X8" s="38"/>
      <c r="Y8" s="39"/>
    </row>
    <row r="9" spans="1:25" ht="16" thickBot="1" x14ac:dyDescent="0.35">
      <c r="A9" s="19" t="s">
        <v>24</v>
      </c>
      <c r="B9" s="45">
        <f>IF(B10=1,IF(0-B6&lt;$C2,$B2,0),IF(0-MAX(B6,B5)&lt;$C2,$B2,0))</f>
        <v>278184</v>
      </c>
      <c r="C9" s="46">
        <f>IF(C10=1,IF(B7-C6&lt;$C2,$B2,0),IF(B7-MAX(C6,C5)&lt;$C2,$B2,0))</f>
        <v>0</v>
      </c>
      <c r="D9" s="46">
        <f t="shared" ref="D9:Y9" si="3">IF(D10=1,IF(C7-D6&lt;$C2,$B2,0),IF(C7-MAX(D6,D5)&lt;$C2,$B2,0))</f>
        <v>0</v>
      </c>
      <c r="E9" s="46">
        <f t="shared" si="3"/>
        <v>0</v>
      </c>
      <c r="F9" s="46">
        <f t="shared" si="3"/>
        <v>0</v>
      </c>
      <c r="G9" s="47">
        <f t="shared" si="3"/>
        <v>0</v>
      </c>
      <c r="H9" s="45">
        <f t="shared" si="3"/>
        <v>0</v>
      </c>
      <c r="I9" s="46">
        <f t="shared" si="3"/>
        <v>0</v>
      </c>
      <c r="J9" s="46">
        <f t="shared" si="3"/>
        <v>278184</v>
      </c>
      <c r="K9" s="46">
        <f t="shared" si="3"/>
        <v>0</v>
      </c>
      <c r="L9" s="46">
        <f t="shared" si="3"/>
        <v>0</v>
      </c>
      <c r="M9" s="46">
        <f t="shared" si="3"/>
        <v>0</v>
      </c>
      <c r="N9" s="46">
        <f t="shared" si="3"/>
        <v>0</v>
      </c>
      <c r="O9" s="46">
        <f t="shared" si="3"/>
        <v>0</v>
      </c>
      <c r="P9" s="46">
        <f t="shared" si="3"/>
        <v>278184</v>
      </c>
      <c r="Q9" s="46">
        <f t="shared" si="3"/>
        <v>0</v>
      </c>
      <c r="R9" s="46">
        <f t="shared" si="3"/>
        <v>0</v>
      </c>
      <c r="S9" s="46">
        <f t="shared" si="3"/>
        <v>0</v>
      </c>
      <c r="T9" s="46">
        <f t="shared" si="3"/>
        <v>0</v>
      </c>
      <c r="U9" s="46">
        <f t="shared" si="3"/>
        <v>278184</v>
      </c>
      <c r="V9" s="46">
        <f t="shared" si="3"/>
        <v>0</v>
      </c>
      <c r="W9" s="46">
        <f t="shared" si="3"/>
        <v>0</v>
      </c>
      <c r="X9" s="46">
        <f t="shared" si="3"/>
        <v>0</v>
      </c>
      <c r="Y9" s="47">
        <f t="shared" si="3"/>
        <v>0</v>
      </c>
    </row>
    <row r="10" spans="1:25" ht="16" hidden="1" thickBot="1" x14ac:dyDescent="0.35">
      <c r="A10" s="20" t="s">
        <v>25</v>
      </c>
      <c r="B10" s="22">
        <v>1</v>
      </c>
      <c r="C10" s="23">
        <v>1</v>
      </c>
      <c r="D10" s="22">
        <v>1</v>
      </c>
      <c r="E10" s="24">
        <v>1</v>
      </c>
      <c r="F10" s="24">
        <v>1</v>
      </c>
      <c r="G10" s="23">
        <v>1</v>
      </c>
      <c r="H10" s="33">
        <v>0</v>
      </c>
      <c r="I10" s="34">
        <v>0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34">
        <v>0</v>
      </c>
      <c r="R10" s="34">
        <v>0</v>
      </c>
      <c r="S10" s="34">
        <v>0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5">
        <v>0</v>
      </c>
    </row>
    <row r="15" spans="1:25" x14ac:dyDescent="0.3">
      <c r="A15" s="17" t="s">
        <v>26</v>
      </c>
      <c r="B15" s="17" t="s">
        <v>28</v>
      </c>
      <c r="C15" s="17" t="s">
        <v>27</v>
      </c>
    </row>
    <row r="16" spans="1:25" ht="14.5" thickBot="1" x14ac:dyDescent="0.35">
      <c r="A16" s="18">
        <v>16</v>
      </c>
      <c r="B16" s="18">
        <f>_xlfn.CEILING.MATH('Lot Size'!J3)</f>
        <v>3338205</v>
      </c>
      <c r="C16" s="18">
        <f>_xlfn.CEILING.MATH(0.05*Forecast!D9)</f>
        <v>113824</v>
      </c>
    </row>
    <row r="17" spans="1:25" ht="16" thickBot="1" x14ac:dyDescent="0.35">
      <c r="A17" s="21"/>
      <c r="B17" s="55" t="s">
        <v>25</v>
      </c>
      <c r="C17" s="56"/>
      <c r="D17" s="56"/>
      <c r="E17" s="56"/>
      <c r="F17" s="56"/>
      <c r="G17" s="57"/>
      <c r="H17" s="55" t="s">
        <v>29</v>
      </c>
      <c r="I17" s="56"/>
      <c r="J17" s="56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7"/>
    </row>
    <row r="18" spans="1:25" ht="15.5" x14ac:dyDescent="0.3">
      <c r="A18" s="19" t="s">
        <v>41</v>
      </c>
      <c r="B18" s="30">
        <v>1</v>
      </c>
      <c r="C18" s="31">
        <v>2</v>
      </c>
      <c r="D18" s="31">
        <v>3</v>
      </c>
      <c r="E18" s="31">
        <v>4</v>
      </c>
      <c r="F18" s="31">
        <v>5</v>
      </c>
      <c r="G18" s="32">
        <v>6</v>
      </c>
      <c r="H18" s="30">
        <v>7</v>
      </c>
      <c r="I18" s="31">
        <v>8</v>
      </c>
      <c r="J18" s="31">
        <v>9</v>
      </c>
      <c r="K18" s="31">
        <v>10</v>
      </c>
      <c r="L18" s="31">
        <v>11</v>
      </c>
      <c r="M18" s="31">
        <v>12</v>
      </c>
      <c r="N18" s="31">
        <v>13</v>
      </c>
      <c r="O18" s="31">
        <v>14</v>
      </c>
      <c r="P18" s="31">
        <v>15</v>
      </c>
      <c r="Q18" s="31">
        <v>16</v>
      </c>
      <c r="R18" s="31">
        <v>17</v>
      </c>
      <c r="S18" s="31">
        <v>18</v>
      </c>
      <c r="T18" s="31">
        <v>19</v>
      </c>
      <c r="U18" s="31">
        <v>20</v>
      </c>
      <c r="V18" s="31">
        <v>21</v>
      </c>
      <c r="W18" s="31">
        <v>22</v>
      </c>
      <c r="X18" s="31">
        <v>23</v>
      </c>
      <c r="Y18" s="32">
        <v>24</v>
      </c>
    </row>
    <row r="19" spans="1:25" ht="15.5" x14ac:dyDescent="0.3">
      <c r="A19" s="19" t="s">
        <v>1</v>
      </c>
      <c r="B19" s="36">
        <f>Forecast!$D$3/4</f>
        <v>452456.63999999996</v>
      </c>
      <c r="C19" s="36">
        <f>Forecast!$D$3/4</f>
        <v>452456.63999999996</v>
      </c>
      <c r="D19" s="36">
        <f>Forecast!$D$3/4</f>
        <v>452456.63999999996</v>
      </c>
      <c r="E19" s="36">
        <f>Forecast!$D$3/4</f>
        <v>452456.63999999996</v>
      </c>
      <c r="F19" s="38">
        <f>Forecast!$D$4/4</f>
        <v>499120.56</v>
      </c>
      <c r="G19" s="39">
        <f>Forecast!$D$4/4</f>
        <v>499120.56</v>
      </c>
      <c r="H19" s="40">
        <f>Forecast!$D$4/4</f>
        <v>499120.56</v>
      </c>
      <c r="I19" s="38">
        <f>Forecast!$D$4/4</f>
        <v>499120.56</v>
      </c>
      <c r="J19" s="37">
        <f>Forecast!$D$5/4</f>
        <v>545784.48</v>
      </c>
      <c r="K19" s="37">
        <f>Forecast!$D$5/4</f>
        <v>545784.48</v>
      </c>
      <c r="L19" s="37">
        <f>Forecast!$D$5/4</f>
        <v>545784.48</v>
      </c>
      <c r="M19" s="37">
        <f>Forecast!$D$5/4</f>
        <v>545784.48</v>
      </c>
      <c r="N19" s="38">
        <f>Forecast!$D$6/4</f>
        <v>592448.4</v>
      </c>
      <c r="O19" s="38">
        <f>Forecast!$D$6/4</f>
        <v>592448.4</v>
      </c>
      <c r="P19" s="38">
        <f>Forecast!$D$6/4</f>
        <v>592448.4</v>
      </c>
      <c r="Q19" s="38">
        <f>Forecast!$D$6/4</f>
        <v>592448.4</v>
      </c>
      <c r="R19" s="38">
        <f>Forecast!$D$7/4</f>
        <v>639112.41</v>
      </c>
      <c r="S19" s="38">
        <f>Forecast!$D$7/4</f>
        <v>639112.41</v>
      </c>
      <c r="T19" s="38">
        <f>Forecast!$D$7/4</f>
        <v>639112.41</v>
      </c>
      <c r="U19" s="38">
        <f>Forecast!$D$7/4</f>
        <v>639112.41</v>
      </c>
      <c r="V19" s="38">
        <f>Forecast!$D$8/4</f>
        <v>685776.33</v>
      </c>
      <c r="W19" s="38">
        <f>Forecast!$D$8/4</f>
        <v>685776.33</v>
      </c>
      <c r="X19" s="38">
        <f>Forecast!$D$8/4</f>
        <v>685776.33</v>
      </c>
      <c r="Y19" s="39">
        <f>Forecast!$D$8/4</f>
        <v>685776.33</v>
      </c>
    </row>
    <row r="20" spans="1:25" ht="15.5" x14ac:dyDescent="0.3">
      <c r="A20" s="19" t="s">
        <v>21</v>
      </c>
      <c r="B20" s="36" cm="1">
        <f t="array" ref="B20">[1]!RANDOM(0.8,1.2,,1)*$B19/B18^0.2</f>
        <v>402506.69571565243</v>
      </c>
      <c r="C20" s="37" cm="1">
        <f t="array" ref="C20">[1]!RANDOM(0.8,1.2,,1)*$B19/C18^0.2</f>
        <v>350402.43068572285</v>
      </c>
      <c r="D20" s="37" cm="1">
        <f t="array" ref="D20">[1]!RANDOM(0.8,1.2,,1)*$B19/D18^0.2</f>
        <v>323108.85353773279</v>
      </c>
      <c r="E20" s="37" cm="1">
        <f t="array" ref="E20">[1]!RANDOM(0.8,1.2,,1)*$B19/E18^0.2</f>
        <v>305043.03341378714</v>
      </c>
      <c r="F20" s="37" cm="1">
        <f t="array" ref="F20">[1]!RANDOM(0.8,1.2,,1)*$B19/F18^0.2</f>
        <v>291728.66754881106</v>
      </c>
      <c r="G20" s="41" cm="1">
        <f t="array" ref="G20">[1]!RANDOM(0.8,1.2,,1)*$B19/G18^0.2</f>
        <v>281282.59445323813</v>
      </c>
      <c r="H20" s="36" cm="1">
        <f t="array" ref="H20">[1]!RANDOM(0.8,1.2,,1)*$B19/H18^0.2</f>
        <v>272742.92973369273</v>
      </c>
      <c r="I20" s="37" cm="1">
        <f t="array" ref="I20">[1]!RANDOM(0.8,1.2,,1)*$B19/I18^0.2</f>
        <v>265555.38456793083</v>
      </c>
      <c r="J20" s="37" cm="1">
        <f t="array" ref="J20">[1]!RANDOM(0.8,1.2,,1)*$B19/J18^0.2</f>
        <v>259372.90570743722</v>
      </c>
      <c r="K20" s="37" cm="1">
        <f t="array" ref="K20">[1]!RANDOM(0.8,1.2,,1)*$B19/K18^0.2</f>
        <v>253964.55586424522</v>
      </c>
      <c r="L20" s="37" cm="1">
        <f t="array" ref="L20">[1]!RANDOM(0.8,1.2,,1)*$B19/L18^0.2</f>
        <v>249169.3230173171</v>
      </c>
      <c r="M20" s="37" cm="1">
        <f t="array" ref="M20">[1]!RANDOM(0.8,1.2,,1)*$B19/M18^0.2</f>
        <v>244870.72104666173</v>
      </c>
      <c r="N20" s="37" cm="1">
        <f t="array" ref="N20">[1]!RANDOM(0.8,1.2,,1)*$B19/N18^0.2</f>
        <v>240981.90809953384</v>
      </c>
      <c r="O20" s="37" cm="1">
        <f t="array" ref="O20">[1]!RANDOM(0.8,1.2,,1)*$B19/O18^0.2</f>
        <v>237436.5111147014</v>
      </c>
      <c r="P20" s="37" cm="1">
        <f t="array" ref="P20">[1]!RANDOM(0.8,1.2,,1)*$B19/P18^0.2</f>
        <v>234182.72619836373</v>
      </c>
      <c r="Q20" s="37" cm="1">
        <f t="array" ref="Q20">[1]!RANDOM(0.8,1.2,,1)*$B19/Q18^0.2</f>
        <v>231179.38962193104</v>
      </c>
      <c r="R20" s="37" cm="1">
        <f t="array" ref="R20">[1]!RANDOM(0.8,1.2,,1)*$B19/R18^0.2</f>
        <v>228393.28181456926</v>
      </c>
      <c r="S20" s="37" cm="1">
        <f t="array" ref="S20">[1]!RANDOM(0.8,1.2,,1)*$B19/S18^0.2</f>
        <v>225797.22916736198</v>
      </c>
      <c r="T20" s="37" cm="1">
        <f t="array" ref="T20">[1]!RANDOM(0.8,1.2,,1)*$B19/T18^0.2</f>
        <v>223368.73726166293</v>
      </c>
      <c r="U20" s="37" cm="1">
        <f t="array" ref="U20">[1]!RANDOM(0.8,1.2,,1)*$B19/U18^0.2</f>
        <v>221088.98716486868</v>
      </c>
      <c r="V20" s="37" cm="1">
        <f t="array" ref="V20">[1]!RANDOM(0.8,1.2,,1)*$B19/V18^0.2</f>
        <v>218942.08537348534</v>
      </c>
      <c r="W20" s="37" cm="1">
        <f t="array" ref="W20">[1]!RANDOM(0.8,1.2,,1)*$B19/W18^0.2</f>
        <v>216914.49450883927</v>
      </c>
      <c r="X20" s="37" cm="1">
        <f t="array" ref="X20">[1]!RANDOM(0.8,1.2,,1)*$B19/X18^0.2</f>
        <v>214994.59512384509</v>
      </c>
      <c r="Y20" s="41" cm="1">
        <f t="array" ref="Y20">[1]!RANDOM(0.8,1.2,,1)*$B19/Y18^0.2</f>
        <v>213172.3441418994</v>
      </c>
    </row>
    <row r="21" spans="1:25" ht="15.5" x14ac:dyDescent="0.3">
      <c r="A21" s="19" t="s">
        <v>22</v>
      </c>
      <c r="B21" s="42">
        <f>IF(B24=1, 0+B23-B20,0+B23-MAX(B20,B19))</f>
        <v>2935698.3042843477</v>
      </c>
      <c r="C21" s="43">
        <f t="shared" ref="C21" si="4">IF(C24=1, B21+C23-C20,B21+C23-MAX(C20,C19))</f>
        <v>2585295.873598625</v>
      </c>
      <c r="D21" s="43">
        <f t="shared" ref="D21" si="5">IF(D24=1, C21+D23-D20,C21+D23-MAX(D20,D19))</f>
        <v>2262187.0200608922</v>
      </c>
      <c r="E21" s="43">
        <f t="shared" ref="E21" si="6">IF(E24=1, D21+E23-E20,D21+E23-MAX(E20,E19))</f>
        <v>1957143.9866471051</v>
      </c>
      <c r="F21" s="43">
        <f t="shared" ref="F21" si="7">IF(F24=1, E21+F23-F20,E21+F23-MAX(F20,F19))</f>
        <v>1665415.319098294</v>
      </c>
      <c r="G21" s="44">
        <f t="shared" ref="G21" si="8">IF(G24=1, F21+G23-G20,F21+G23-MAX(G20,G19))</f>
        <v>1384132.7246450558</v>
      </c>
      <c r="H21" s="42">
        <f t="shared" ref="H21" si="9">IF(H24=1, G21+H23-H20,G21+H23-MAX(H20,H19))</f>
        <v>885012.16464505577</v>
      </c>
      <c r="I21" s="43">
        <f>IF(I24=1, H21+I23-I20,H21+I23-MAX(I20,I19))</f>
        <v>385891.60464505578</v>
      </c>
      <c r="J21" s="43">
        <f t="shared" ref="J21" si="10">IF(J24=1, I21+J23-J20,I21+J23-MAX(J20,J19))</f>
        <v>3178312.1246450557</v>
      </c>
      <c r="K21" s="43">
        <f t="shared" ref="K21" si="11">IF(K24=1, J21+K23-K20,J21+K23-MAX(K20,K19))</f>
        <v>2632527.6446450558</v>
      </c>
      <c r="L21" s="43">
        <f t="shared" ref="L21" si="12">IF(L24=1, K21+L23-L20,K21+L23-MAX(L20,L19))</f>
        <v>2086743.1646450558</v>
      </c>
      <c r="M21" s="43">
        <f t="shared" ref="M21" si="13">IF(M24=1, L21+M23-M20,L21+M23-MAX(M20,M19))</f>
        <v>1540958.6846450558</v>
      </c>
      <c r="N21" s="43">
        <f t="shared" ref="N21" si="14">IF(N24=1, M21+N23-N20,M21+N23-MAX(N20,N19))</f>
        <v>948510.28464505577</v>
      </c>
      <c r="O21" s="43">
        <f t="shared" ref="O21" si="15">IF(O24=1, N21+O23-O20,N21+O23-MAX(O20,O19))</f>
        <v>356061.88464505575</v>
      </c>
      <c r="P21" s="43">
        <f t="shared" ref="P21" si="16">IF(P24=1, O21+P23-P20,O21+P23-MAX(P20,P19))</f>
        <v>3101818.4846450561</v>
      </c>
      <c r="Q21" s="43">
        <f t="shared" ref="Q21" si="17">IF(Q24=1, P21+Q23-Q20,P21+Q23-MAX(Q20,Q19))</f>
        <v>2509370.0846450562</v>
      </c>
      <c r="R21" s="43">
        <f t="shared" ref="R21" si="18">IF(R24=1, Q21+R23-R20,Q21+R23-MAX(R20,R19))</f>
        <v>1870257.674645056</v>
      </c>
      <c r="S21" s="43">
        <f t="shared" ref="S21" si="19">IF(S24=1, R21+S23-S20,R21+S23-MAX(S20,S19))</f>
        <v>1231145.2646450559</v>
      </c>
      <c r="T21" s="43">
        <f t="shared" ref="T21" si="20">IF(T24=1, S21+T23-T20,S21+T23-MAX(T20,T19))</f>
        <v>592032.85464505584</v>
      </c>
      <c r="U21" s="43">
        <f t="shared" ref="U21" si="21">IF(U24=1, T21+U23-U20,T21+U23-MAX(U20,U19))</f>
        <v>3291125.4446450556</v>
      </c>
      <c r="V21" s="43">
        <f t="shared" ref="V21" si="22">IF(V24=1, U21+V23-V20,U21+V23-MAX(V20,V19))</f>
        <v>2605349.1146450555</v>
      </c>
      <c r="W21" s="43">
        <f t="shared" ref="W21" si="23">IF(W24=1, V21+W23-W20,V21+W23-MAX(W20,W19))</f>
        <v>1919572.7846450554</v>
      </c>
      <c r="X21" s="43">
        <f t="shared" ref="X21" si="24">IF(X24=1, W21+X23-X20,W21+X23-MAX(X20,X19))</f>
        <v>1233796.4546450553</v>
      </c>
      <c r="Y21" s="44">
        <f t="shared" ref="Y21" si="25">IF(Y24=1, X21+Y23-Y20,X21+Y23-MAX(Y20,Y19))</f>
        <v>548020.12464505539</v>
      </c>
    </row>
    <row r="22" spans="1:25" ht="15.5" x14ac:dyDescent="0.3">
      <c r="A22" s="19" t="s">
        <v>23</v>
      </c>
      <c r="B22" s="42">
        <f>MAX(B23-SUM(B20:I20),0)</f>
        <v>845834.41034343187</v>
      </c>
      <c r="C22" s="43"/>
      <c r="D22" s="38"/>
      <c r="E22" s="38"/>
      <c r="F22" s="38"/>
      <c r="G22" s="39"/>
      <c r="H22" s="42"/>
      <c r="I22" s="43"/>
      <c r="J22" s="43">
        <f>MAX(J23-SUM(J20:O20))</f>
        <v>1852409.0751501035</v>
      </c>
      <c r="K22" s="43"/>
      <c r="L22" s="43"/>
      <c r="M22" s="43"/>
      <c r="N22" s="43"/>
      <c r="O22" s="43"/>
      <c r="P22" s="43">
        <f>MAX(P23-SUM(P20:T20))</f>
        <v>2195283.6359361112</v>
      </c>
      <c r="Q22" s="43"/>
      <c r="R22" s="43"/>
      <c r="S22" s="43"/>
      <c r="T22" s="43"/>
      <c r="U22" s="43">
        <f t="shared" ref="U22" si="26">MAX(U23-SUM(U20:Y20))</f>
        <v>2253092.4936870625</v>
      </c>
      <c r="V22" s="38"/>
      <c r="W22" s="38"/>
      <c r="X22" s="38"/>
      <c r="Y22" s="39"/>
    </row>
    <row r="23" spans="1:25" ht="16" thickBot="1" x14ac:dyDescent="0.35">
      <c r="A23" s="19" t="s">
        <v>24</v>
      </c>
      <c r="B23" s="45">
        <f>IF(B24=1,IF(0-B20&lt;$C16,$B16,0),IF(0-MAX(B20,B19)&lt;$C16,$B16,0))</f>
        <v>3338205</v>
      </c>
      <c r="C23" s="46">
        <f>IF(C24=1,IF(B21-C20&lt;$C16,$B16,0),IF(B21-MAX(C20,C19)&lt;$C16,$B16,0))</f>
        <v>0</v>
      </c>
      <c r="D23" s="46">
        <f t="shared" ref="D23" si="27">IF(D24=1,IF(C21-D20&lt;$C16,$B16,0),IF(C21-MAX(D20,D19)&lt;$C16,$B16,0))</f>
        <v>0</v>
      </c>
      <c r="E23" s="46">
        <f t="shared" ref="E23" si="28">IF(E24=1,IF(D21-E20&lt;$C16,$B16,0),IF(D21-MAX(E20,E19)&lt;$C16,$B16,0))</f>
        <v>0</v>
      </c>
      <c r="F23" s="46">
        <f t="shared" ref="F23" si="29">IF(F24=1,IF(E21-F20&lt;$C16,$B16,0),IF(E21-MAX(F20,F19)&lt;$C16,$B16,0))</f>
        <v>0</v>
      </c>
      <c r="G23" s="47">
        <f t="shared" ref="G23" si="30">IF(G24=1,IF(F21-G20&lt;$C16,$B16,0),IF(F21-MAX(G20,G19)&lt;$C16,$B16,0))</f>
        <v>0</v>
      </c>
      <c r="H23" s="45">
        <f t="shared" ref="H23" si="31">IF(H24=1,IF(G21-H20&lt;$C16,$B16,0),IF(G21-MAX(H20,H19)&lt;$C16,$B16,0))</f>
        <v>0</v>
      </c>
      <c r="I23" s="46">
        <f t="shared" ref="I23" si="32">IF(I24=1,IF(H21-I20&lt;$C16,$B16,0),IF(H21-MAX(I20,I19)&lt;$C16,$B16,0))</f>
        <v>0</v>
      </c>
      <c r="J23" s="46">
        <f t="shared" ref="J23" si="33">IF(J24=1,IF(I21-J20&lt;$C16,$B16,0),IF(I21-MAX(J20,J19)&lt;$C16,$B16,0))</f>
        <v>3338205</v>
      </c>
      <c r="K23" s="46">
        <f t="shared" ref="K23" si="34">IF(K24=1,IF(J21-K20&lt;$C16,$B16,0),IF(J21-MAX(K20,K19)&lt;$C16,$B16,0))</f>
        <v>0</v>
      </c>
      <c r="L23" s="46">
        <f t="shared" ref="L23" si="35">IF(L24=1,IF(K21-L20&lt;$C16,$B16,0),IF(K21-MAX(L20,L19)&lt;$C16,$B16,0))</f>
        <v>0</v>
      </c>
      <c r="M23" s="46">
        <f t="shared" ref="M23" si="36">IF(M24=1,IF(L21-M20&lt;$C16,$B16,0),IF(L21-MAX(M20,M19)&lt;$C16,$B16,0))</f>
        <v>0</v>
      </c>
      <c r="N23" s="46">
        <f t="shared" ref="N23" si="37">IF(N24=1,IF(M21-N20&lt;$C16,$B16,0),IF(M21-MAX(N20,N19)&lt;$C16,$B16,0))</f>
        <v>0</v>
      </c>
      <c r="O23" s="46">
        <f t="shared" ref="O23" si="38">IF(O24=1,IF(N21-O20&lt;$C16,$B16,0),IF(N21-MAX(O20,O19)&lt;$C16,$B16,0))</f>
        <v>0</v>
      </c>
      <c r="P23" s="46">
        <f t="shared" ref="P23" si="39">IF(P24=1,IF(O21-P20&lt;$C16,$B16,0),IF(O21-MAX(P20,P19)&lt;$C16,$B16,0))</f>
        <v>3338205</v>
      </c>
      <c r="Q23" s="46">
        <f t="shared" ref="Q23" si="40">IF(Q24=1,IF(P21-Q20&lt;$C16,$B16,0),IF(P21-MAX(Q20,Q19)&lt;$C16,$B16,0))</f>
        <v>0</v>
      </c>
      <c r="R23" s="46">
        <f t="shared" ref="R23" si="41">IF(R24=1,IF(Q21-R20&lt;$C16,$B16,0),IF(Q21-MAX(R20,R19)&lt;$C16,$B16,0))</f>
        <v>0</v>
      </c>
      <c r="S23" s="46">
        <f t="shared" ref="S23" si="42">IF(S24=1,IF(R21-S20&lt;$C16,$B16,0),IF(R21-MAX(S20,S19)&lt;$C16,$B16,0))</f>
        <v>0</v>
      </c>
      <c r="T23" s="46">
        <f t="shared" ref="T23" si="43">IF(T24=1,IF(S21-T20&lt;$C16,$B16,0),IF(S21-MAX(T20,T19)&lt;$C16,$B16,0))</f>
        <v>0</v>
      </c>
      <c r="U23" s="46">
        <f t="shared" ref="U23" si="44">IF(U24=1,IF(T21-U20&lt;$C16,$B16,0),IF(T21-MAX(U20,U19)&lt;$C16,$B16,0))</f>
        <v>3338205</v>
      </c>
      <c r="V23" s="46">
        <f t="shared" ref="V23" si="45">IF(V24=1,IF(U21-V20&lt;$C16,$B16,0),IF(U21-MAX(V20,V19)&lt;$C16,$B16,0))</f>
        <v>0</v>
      </c>
      <c r="W23" s="46">
        <f t="shared" ref="W23" si="46">IF(W24=1,IF(V21-W20&lt;$C16,$B16,0),IF(V21-MAX(W20,W19)&lt;$C16,$B16,0))</f>
        <v>0</v>
      </c>
      <c r="X23" s="46">
        <f t="shared" ref="X23" si="47">IF(X24=1,IF(W21-X20&lt;$C16,$B16,0),IF(W21-MAX(X20,X19)&lt;$C16,$B16,0))</f>
        <v>0</v>
      </c>
      <c r="Y23" s="47">
        <f t="shared" ref="Y23" si="48">IF(Y24=1,IF(X21-Y20&lt;$C16,$B16,0),IF(X21-MAX(Y20,Y19)&lt;$C16,$B16,0))</f>
        <v>0</v>
      </c>
    </row>
    <row r="24" spans="1:25" ht="16" hidden="1" thickBot="1" x14ac:dyDescent="0.35">
      <c r="A24" s="20" t="s">
        <v>25</v>
      </c>
      <c r="B24" s="22">
        <v>1</v>
      </c>
      <c r="C24" s="23">
        <v>1</v>
      </c>
      <c r="D24" s="22">
        <v>1</v>
      </c>
      <c r="E24" s="24">
        <v>1</v>
      </c>
      <c r="F24" s="24">
        <v>1</v>
      </c>
      <c r="G24" s="23">
        <v>1</v>
      </c>
      <c r="H24" s="33">
        <v>0</v>
      </c>
      <c r="I24" s="34">
        <v>0</v>
      </c>
      <c r="J24" s="34">
        <v>0</v>
      </c>
      <c r="K24" s="34">
        <v>0</v>
      </c>
      <c r="L24" s="34">
        <v>0</v>
      </c>
      <c r="M24" s="34">
        <v>0</v>
      </c>
      <c r="N24" s="34">
        <v>0</v>
      </c>
      <c r="O24" s="34">
        <v>0</v>
      </c>
      <c r="P24" s="34">
        <v>0</v>
      </c>
      <c r="Q24" s="34">
        <v>0</v>
      </c>
      <c r="R24" s="34">
        <v>0</v>
      </c>
      <c r="S24" s="34">
        <v>0</v>
      </c>
      <c r="T24" s="34">
        <v>0</v>
      </c>
      <c r="U24" s="34">
        <v>0</v>
      </c>
      <c r="V24" s="34">
        <v>0</v>
      </c>
      <c r="W24" s="34">
        <v>0</v>
      </c>
      <c r="X24" s="34">
        <v>0</v>
      </c>
      <c r="Y24" s="35">
        <v>0</v>
      </c>
    </row>
    <row r="29" spans="1:25" x14ac:dyDescent="0.3">
      <c r="A29" s="17" t="s">
        <v>26</v>
      </c>
      <c r="B29" s="17" t="s">
        <v>28</v>
      </c>
      <c r="C29" s="17" t="s">
        <v>27</v>
      </c>
    </row>
    <row r="30" spans="1:25" ht="14.5" thickBot="1" x14ac:dyDescent="0.35">
      <c r="A30" s="18">
        <v>18</v>
      </c>
      <c r="B30" s="18">
        <f>_xlfn.CEILING.MATH('Lot Size'!J4)</f>
        <v>1390919</v>
      </c>
      <c r="C30" s="18">
        <f>_xlfn.CEILING.MATH(0.05*Forecast!E9)</f>
        <v>47427</v>
      </c>
    </row>
    <row r="31" spans="1:25" ht="16" thickBot="1" x14ac:dyDescent="0.35">
      <c r="A31" s="21"/>
      <c r="B31" s="55" t="s">
        <v>25</v>
      </c>
      <c r="C31" s="56"/>
      <c r="D31" s="56"/>
      <c r="E31" s="56"/>
      <c r="F31" s="56"/>
      <c r="G31" s="57"/>
      <c r="H31" s="55" t="s">
        <v>29</v>
      </c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7"/>
    </row>
    <row r="32" spans="1:25" ht="15.5" x14ac:dyDescent="0.3">
      <c r="A32" s="19" t="s">
        <v>41</v>
      </c>
      <c r="B32" s="30">
        <v>1</v>
      </c>
      <c r="C32" s="31">
        <v>2</v>
      </c>
      <c r="D32" s="31">
        <v>3</v>
      </c>
      <c r="E32" s="31">
        <v>4</v>
      </c>
      <c r="F32" s="31">
        <v>5</v>
      </c>
      <c r="G32" s="32">
        <v>6</v>
      </c>
      <c r="H32" s="30">
        <v>7</v>
      </c>
      <c r="I32" s="31">
        <v>8</v>
      </c>
      <c r="J32" s="31">
        <v>9</v>
      </c>
      <c r="K32" s="31">
        <v>10</v>
      </c>
      <c r="L32" s="31">
        <v>11</v>
      </c>
      <c r="M32" s="31">
        <v>12</v>
      </c>
      <c r="N32" s="31">
        <v>13</v>
      </c>
      <c r="O32" s="31">
        <v>14</v>
      </c>
      <c r="P32" s="31">
        <v>15</v>
      </c>
      <c r="Q32" s="31">
        <v>16</v>
      </c>
      <c r="R32" s="31">
        <v>17</v>
      </c>
      <c r="S32" s="31">
        <v>18</v>
      </c>
      <c r="T32" s="31">
        <v>19</v>
      </c>
      <c r="U32" s="31">
        <v>20</v>
      </c>
      <c r="V32" s="31">
        <v>21</v>
      </c>
      <c r="W32" s="31">
        <v>22</v>
      </c>
      <c r="X32" s="31">
        <v>23</v>
      </c>
      <c r="Y32" s="32">
        <v>24</v>
      </c>
    </row>
    <row r="33" spans="1:25" ht="15.5" x14ac:dyDescent="0.3">
      <c r="A33" s="19" t="s">
        <v>1</v>
      </c>
      <c r="B33" s="36">
        <f>Forecast!$E$3/4</f>
        <v>188523.6</v>
      </c>
      <c r="C33" s="36">
        <f>Forecast!$E$3/4</f>
        <v>188523.6</v>
      </c>
      <c r="D33" s="36">
        <f>Forecast!$E$3/4</f>
        <v>188523.6</v>
      </c>
      <c r="E33" s="36">
        <f>Forecast!$E$3/4</f>
        <v>188523.6</v>
      </c>
      <c r="F33" s="38">
        <f>Forecast!$E$4/4</f>
        <v>207966.9</v>
      </c>
      <c r="G33" s="39">
        <f>Forecast!$E$4/4</f>
        <v>207966.9</v>
      </c>
      <c r="H33" s="40">
        <f>Forecast!$E$4/4</f>
        <v>207966.9</v>
      </c>
      <c r="I33" s="38">
        <f>Forecast!$E$4/4</f>
        <v>207966.9</v>
      </c>
      <c r="J33" s="37">
        <f>Forecast!$E$5/4</f>
        <v>227410.19999999998</v>
      </c>
      <c r="K33" s="37">
        <f>Forecast!$E$5/4</f>
        <v>227410.19999999998</v>
      </c>
      <c r="L33" s="37">
        <f>Forecast!$E$5/4</f>
        <v>227410.19999999998</v>
      </c>
      <c r="M33" s="37">
        <f>Forecast!$E$5/4</f>
        <v>227410.19999999998</v>
      </c>
      <c r="N33" s="38">
        <f>Forecast!$E$6/4</f>
        <v>246853.5</v>
      </c>
      <c r="O33" s="38">
        <f>Forecast!$E$6/4</f>
        <v>246853.5</v>
      </c>
      <c r="P33" s="38">
        <f>Forecast!$E$6/4</f>
        <v>246853.5</v>
      </c>
      <c r="Q33" s="38">
        <f>Forecast!$E$6/4</f>
        <v>246853.5</v>
      </c>
      <c r="R33" s="38">
        <f>Forecast!$E$7/4</f>
        <v>266296.83749999997</v>
      </c>
      <c r="S33" s="38">
        <f>Forecast!$E$7/4</f>
        <v>266296.83749999997</v>
      </c>
      <c r="T33" s="38">
        <f>Forecast!$E$7/4</f>
        <v>266296.83749999997</v>
      </c>
      <c r="U33" s="38">
        <f>Forecast!$E$7/4</f>
        <v>266296.83749999997</v>
      </c>
      <c r="V33" s="38">
        <f>Forecast!$E$8/4</f>
        <v>285740.13750000001</v>
      </c>
      <c r="W33" s="38">
        <f>Forecast!$E$8/4</f>
        <v>285740.13750000001</v>
      </c>
      <c r="X33" s="38">
        <f>Forecast!$E$8/4</f>
        <v>285740.13750000001</v>
      </c>
      <c r="Y33" s="39">
        <f>Forecast!$E$8/4</f>
        <v>285740.13750000001</v>
      </c>
    </row>
    <row r="34" spans="1:25" ht="15.5" x14ac:dyDescent="0.3">
      <c r="A34" s="19" t="s">
        <v>21</v>
      </c>
      <c r="B34" s="36" cm="1">
        <f t="array" ref="B34">[1]!RANDOM(0.8,1.2,,1)*$B33/B32^0.2</f>
        <v>167711.12321485521</v>
      </c>
      <c r="C34" s="37" cm="1">
        <f t="array" ref="C34">[1]!RANDOM(0.8,1.2,,1)*$B33/C32^0.2</f>
        <v>146001.01278571787</v>
      </c>
      <c r="D34" s="37" cm="1">
        <f t="array" ref="D34">[1]!RANDOM(0.8,1.2,,1)*$B33/D32^0.2</f>
        <v>134628.68897405535</v>
      </c>
      <c r="E34" s="37" cm="1">
        <f t="array" ref="E34">[1]!RANDOM(0.8,1.2,,1)*$B33/E32^0.2</f>
        <v>127101.26392241134</v>
      </c>
      <c r="F34" s="37" cm="1">
        <f t="array" ref="F34">[1]!RANDOM(0.8,1.2,,1)*$B33/F32^0.2</f>
        <v>121553.6114786713</v>
      </c>
      <c r="G34" s="41" cm="1">
        <f t="array" ref="G34">[1]!RANDOM(0.8,1.2,,1)*$B33/G32^0.2</f>
        <v>117201.08102218258</v>
      </c>
      <c r="H34" s="36" cm="1">
        <f t="array" ref="H34">[1]!RANDOM(0.8,1.2,,1)*$B33/H32^0.2</f>
        <v>113642.88738903865</v>
      </c>
      <c r="I34" s="37" cm="1">
        <f t="array" ref="I34">[1]!RANDOM(0.8,1.2,,1)*$B33/I32^0.2</f>
        <v>110648.07690330452</v>
      </c>
      <c r="J34" s="37" cm="1">
        <f t="array" ref="J34">[1]!RANDOM(0.8,1.2,,1)*$B33/J32^0.2</f>
        <v>108072.04404476553</v>
      </c>
      <c r="K34" s="37" cm="1">
        <f t="array" ref="K34">[1]!RANDOM(0.8,1.2,,1)*$B33/K32^0.2</f>
        <v>105818.56494343553</v>
      </c>
      <c r="L34" s="37" cm="1">
        <f t="array" ref="L34">[1]!RANDOM(0.8,1.2,,1)*$B33/L32^0.2</f>
        <v>103820.55125721547</v>
      </c>
      <c r="M34" s="37" cm="1">
        <f t="array" ref="M34">[1]!RANDOM(0.8,1.2,,1)*$B33/M32^0.2</f>
        <v>102029.46710277573</v>
      </c>
      <c r="N34" s="37" cm="1">
        <f t="array" ref="N34">[1]!RANDOM(0.8,1.2,,1)*$B33/N32^0.2</f>
        <v>100409.12837480579</v>
      </c>
      <c r="O34" s="37" cm="1">
        <f t="array" ref="O34">[1]!RANDOM(0.8,1.2,,1)*$B33/O32^0.2</f>
        <v>98931.879631125601</v>
      </c>
      <c r="P34" s="37" cm="1">
        <f t="array" ref="P34">[1]!RANDOM(0.8,1.2,,1)*$B33/P32^0.2</f>
        <v>97576.135915984909</v>
      </c>
      <c r="Q34" s="37" cm="1">
        <f t="array" ref="Q34">[1]!RANDOM(0.8,1.2,,1)*$B33/Q32^0.2</f>
        <v>96324.745675804617</v>
      </c>
      <c r="R34" s="37" cm="1">
        <f t="array" ref="R34">[1]!RANDOM(0.8,1.2,,1)*$B33/R32^0.2</f>
        <v>95163.86742273721</v>
      </c>
      <c r="S34" s="37" cm="1">
        <f t="array" ref="S34">[1]!RANDOM(0.8,1.2,,1)*$B33/S32^0.2</f>
        <v>94082.178819734181</v>
      </c>
      <c r="T34" s="37" cm="1">
        <f t="array" ref="T34">[1]!RANDOM(0.8,1.2,,1)*$B33/T32^0.2</f>
        <v>93070.307192359571</v>
      </c>
      <c r="U34" s="37" cm="1">
        <f t="array" ref="U34">[1]!RANDOM(0.8,1.2,,1)*$B33/U32^0.2</f>
        <v>92120.411318695304</v>
      </c>
      <c r="V34" s="37" cm="1">
        <f t="array" ref="V34">[1]!RANDOM(0.8,1.2,,1)*$B33/V32^0.2</f>
        <v>91225.868905618903</v>
      </c>
      <c r="W34" s="37" cm="1">
        <f t="array" ref="W34">[1]!RANDOM(0.8,1.2,,1)*$B33/W32^0.2</f>
        <v>90381.039378683054</v>
      </c>
      <c r="X34" s="37" cm="1">
        <f t="array" ref="X34">[1]!RANDOM(0.8,1.2,,1)*$B33/X32^0.2</f>
        <v>89581.081301602142</v>
      </c>
      <c r="Y34" s="41" cm="1">
        <f t="array" ref="Y34">[1]!RANDOM(0.8,1.2,,1)*$B33/Y32^0.2</f>
        <v>88821.810059124764</v>
      </c>
    </row>
    <row r="35" spans="1:25" ht="15.5" x14ac:dyDescent="0.3">
      <c r="A35" s="19" t="s">
        <v>22</v>
      </c>
      <c r="B35" s="42">
        <f>IF(B38=1, 0+B37-B34,0+B37-MAX(B34,B33))</f>
        <v>1223207.8767851447</v>
      </c>
      <c r="C35" s="43">
        <f t="shared" ref="C35" si="49">IF(C38=1, B35+C37-C34,B35+C37-MAX(C34,C33))</f>
        <v>1077206.8639994268</v>
      </c>
      <c r="D35" s="43">
        <f t="shared" ref="D35" si="50">IF(D38=1, C35+D37-D34,C35+D37-MAX(D34,D33))</f>
        <v>942578.17502537149</v>
      </c>
      <c r="E35" s="43">
        <f t="shared" ref="E35" si="51">IF(E38=1, D35+E37-E34,D35+E37-MAX(E34,E33))</f>
        <v>815476.91110296012</v>
      </c>
      <c r="F35" s="43">
        <f t="shared" ref="F35" si="52">IF(F38=1, E35+F37-F34,E35+F37-MAX(F34,F33))</f>
        <v>693923.2996242888</v>
      </c>
      <c r="G35" s="44">
        <f t="shared" ref="G35" si="53">IF(G38=1, F35+G37-G34,F35+G37-MAX(G34,G33))</f>
        <v>576722.21860210621</v>
      </c>
      <c r="H35" s="42">
        <f t="shared" ref="H35" si="54">IF(H38=1, G35+H37-H34,G35+H37-MAX(H34,H33))</f>
        <v>368755.31860210618</v>
      </c>
      <c r="I35" s="43">
        <f>IF(I38=1, H35+I37-I34,H35+I37-MAX(I34,I33))</f>
        <v>160788.41860210619</v>
      </c>
      <c r="J35" s="43">
        <f t="shared" ref="J35" si="55">IF(J38=1, I35+J37-J34,I35+J37-MAX(J34,J33))</f>
        <v>1324297.2186021062</v>
      </c>
      <c r="K35" s="43">
        <f t="shared" ref="K35" si="56">IF(K38=1, J35+K37-K34,J35+K37-MAX(K34,K33))</f>
        <v>1096887.0186021063</v>
      </c>
      <c r="L35" s="43">
        <f t="shared" ref="L35" si="57">IF(L38=1, K35+L37-L34,K35+L37-MAX(L34,L33))</f>
        <v>869476.8186021063</v>
      </c>
      <c r="M35" s="43">
        <f t="shared" ref="M35" si="58">IF(M38=1, L35+M37-M34,L35+M37-MAX(M34,M33))</f>
        <v>642066.61860210635</v>
      </c>
      <c r="N35" s="43">
        <f t="shared" ref="N35" si="59">IF(N38=1, M35+N37-N34,M35+N37-MAX(N34,N33))</f>
        <v>395213.11860210635</v>
      </c>
      <c r="O35" s="43">
        <f t="shared" ref="O35" si="60">IF(O38=1, N35+O37-O34,N35+O37-MAX(O34,O33))</f>
        <v>148359.61860210635</v>
      </c>
      <c r="P35" s="43">
        <f t="shared" ref="P35" si="61">IF(P38=1, O35+P37-P34,O35+P37-MAX(P34,P33))</f>
        <v>1292425.1186021063</v>
      </c>
      <c r="Q35" s="43">
        <f t="shared" ref="Q35" si="62">IF(Q38=1, P35+Q37-Q34,P35+Q37-MAX(Q34,Q33))</f>
        <v>1045571.6186021063</v>
      </c>
      <c r="R35" s="43">
        <f t="shared" ref="R35" si="63">IF(R38=1, Q35+R37-R34,Q35+R37-MAX(R34,R33))</f>
        <v>779274.78110210644</v>
      </c>
      <c r="S35" s="43">
        <f t="shared" ref="S35" si="64">IF(S38=1, R35+S37-S34,R35+S37-MAX(S34,S33))</f>
        <v>512977.94360210648</v>
      </c>
      <c r="T35" s="43">
        <f t="shared" ref="T35" si="65">IF(T38=1, S35+T37-T34,S35+T37-MAX(T34,T33))</f>
        <v>246681.10610210651</v>
      </c>
      <c r="U35" s="43">
        <f t="shared" ref="U35" si="66">IF(U38=1, T35+U37-U34,T35+U37-MAX(U34,U33))</f>
        <v>1371303.2686021067</v>
      </c>
      <c r="V35" s="43">
        <f t="shared" ref="V35" si="67">IF(V38=1, U35+V37-V34,U35+V37-MAX(V34,V33))</f>
        <v>1085563.1311021068</v>
      </c>
      <c r="W35" s="43">
        <f t="shared" ref="W35" si="68">IF(W38=1, V35+W37-W34,V35+W37-MAX(W34,W33))</f>
        <v>799822.99360210681</v>
      </c>
      <c r="X35" s="43">
        <f t="shared" ref="X35" si="69">IF(X38=1, W35+X37-X34,W35+X37-MAX(X34,X33))</f>
        <v>514082.8561021068</v>
      </c>
      <c r="Y35" s="44">
        <f t="shared" ref="Y35" si="70">IF(Y38=1, X35+Y37-Y34,X35+Y37-MAX(Y34,Y33))</f>
        <v>228342.71860210679</v>
      </c>
    </row>
    <row r="36" spans="1:25" ht="15.5" x14ac:dyDescent="0.3">
      <c r="A36" s="19" t="s">
        <v>23</v>
      </c>
      <c r="B36" s="42">
        <f>MAX(B37-SUM(B34:I34),0)</f>
        <v>352431.25430976308</v>
      </c>
      <c r="C36" s="43"/>
      <c r="D36" s="38"/>
      <c r="E36" s="38"/>
      <c r="F36" s="38"/>
      <c r="G36" s="39"/>
      <c r="H36" s="42"/>
      <c r="I36" s="43"/>
      <c r="J36" s="43">
        <f>MAX(J37-SUM(J34:O34))</f>
        <v>771837.36464587634</v>
      </c>
      <c r="K36" s="43"/>
      <c r="L36" s="43"/>
      <c r="M36" s="43"/>
      <c r="N36" s="43"/>
      <c r="O36" s="43"/>
      <c r="P36" s="43">
        <f>MAX(P37-SUM(P34:T34))</f>
        <v>914701.76497337944</v>
      </c>
      <c r="Q36" s="43"/>
      <c r="R36" s="43"/>
      <c r="S36" s="43"/>
      <c r="T36" s="43"/>
      <c r="U36" s="43">
        <f t="shared" ref="U36" si="71">MAX(U37-SUM(U34:Y34))</f>
        <v>938788.78903627582</v>
      </c>
      <c r="V36" s="38"/>
      <c r="W36" s="38"/>
      <c r="X36" s="38"/>
      <c r="Y36" s="39"/>
    </row>
    <row r="37" spans="1:25" ht="16" thickBot="1" x14ac:dyDescent="0.35">
      <c r="A37" s="19" t="s">
        <v>24</v>
      </c>
      <c r="B37" s="45">
        <f>IF(B38=1,IF(0-B34&lt;$C30,$B30,0),IF(0-MAX(B34,B33)&lt;$C30,$B30,0))</f>
        <v>1390919</v>
      </c>
      <c r="C37" s="46">
        <f>IF(C38=1,IF(B35-C34&lt;$C30,$B30,0),IF(B35-MAX(C34,C33)&lt;$C30,$B30,0))</f>
        <v>0</v>
      </c>
      <c r="D37" s="46">
        <f t="shared" ref="D37" si="72">IF(D38=1,IF(C35-D34&lt;$C30,$B30,0),IF(C35-MAX(D34,D33)&lt;$C30,$B30,0))</f>
        <v>0</v>
      </c>
      <c r="E37" s="46">
        <f t="shared" ref="E37" si="73">IF(E38=1,IF(D35-E34&lt;$C30,$B30,0),IF(D35-MAX(E34,E33)&lt;$C30,$B30,0))</f>
        <v>0</v>
      </c>
      <c r="F37" s="46">
        <f t="shared" ref="F37" si="74">IF(F38=1,IF(E35-F34&lt;$C30,$B30,0),IF(E35-MAX(F34,F33)&lt;$C30,$B30,0))</f>
        <v>0</v>
      </c>
      <c r="G37" s="47">
        <f t="shared" ref="G37" si="75">IF(G38=1,IF(F35-G34&lt;$C30,$B30,0),IF(F35-MAX(G34,G33)&lt;$C30,$B30,0))</f>
        <v>0</v>
      </c>
      <c r="H37" s="45">
        <f t="shared" ref="H37" si="76">IF(H38=1,IF(G35-H34&lt;$C30,$B30,0),IF(G35-MAX(H34,H33)&lt;$C30,$B30,0))</f>
        <v>0</v>
      </c>
      <c r="I37" s="46">
        <f t="shared" ref="I37" si="77">IF(I38=1,IF(H35-I34&lt;$C30,$B30,0),IF(H35-MAX(I34,I33)&lt;$C30,$B30,0))</f>
        <v>0</v>
      </c>
      <c r="J37" s="46">
        <f t="shared" ref="J37" si="78">IF(J38=1,IF(I35-J34&lt;$C30,$B30,0),IF(I35-MAX(J34,J33)&lt;$C30,$B30,0))</f>
        <v>1390919</v>
      </c>
      <c r="K37" s="46">
        <f t="shared" ref="K37" si="79">IF(K38=1,IF(J35-K34&lt;$C30,$B30,0),IF(J35-MAX(K34,K33)&lt;$C30,$B30,0))</f>
        <v>0</v>
      </c>
      <c r="L37" s="46">
        <f t="shared" ref="L37" si="80">IF(L38=1,IF(K35-L34&lt;$C30,$B30,0),IF(K35-MAX(L34,L33)&lt;$C30,$B30,0))</f>
        <v>0</v>
      </c>
      <c r="M37" s="46">
        <f t="shared" ref="M37" si="81">IF(M38=1,IF(L35-M34&lt;$C30,$B30,0),IF(L35-MAX(M34,M33)&lt;$C30,$B30,0))</f>
        <v>0</v>
      </c>
      <c r="N37" s="46">
        <f t="shared" ref="N37" si="82">IF(N38=1,IF(M35-N34&lt;$C30,$B30,0),IF(M35-MAX(N34,N33)&lt;$C30,$B30,0))</f>
        <v>0</v>
      </c>
      <c r="O37" s="46">
        <f t="shared" ref="O37" si="83">IF(O38=1,IF(N35-O34&lt;$C30,$B30,0),IF(N35-MAX(O34,O33)&lt;$C30,$B30,0))</f>
        <v>0</v>
      </c>
      <c r="P37" s="46">
        <f t="shared" ref="P37" si="84">IF(P38=1,IF(O35-P34&lt;$C30,$B30,0),IF(O35-MAX(P34,P33)&lt;$C30,$B30,0))</f>
        <v>1390919</v>
      </c>
      <c r="Q37" s="46">
        <f t="shared" ref="Q37" si="85">IF(Q38=1,IF(P35-Q34&lt;$C30,$B30,0),IF(P35-MAX(Q34,Q33)&lt;$C30,$B30,0))</f>
        <v>0</v>
      </c>
      <c r="R37" s="46">
        <f t="shared" ref="R37" si="86">IF(R38=1,IF(Q35-R34&lt;$C30,$B30,0),IF(Q35-MAX(R34,R33)&lt;$C30,$B30,0))</f>
        <v>0</v>
      </c>
      <c r="S37" s="46">
        <f t="shared" ref="S37" si="87">IF(S38=1,IF(R35-S34&lt;$C30,$B30,0),IF(R35-MAX(S34,S33)&lt;$C30,$B30,0))</f>
        <v>0</v>
      </c>
      <c r="T37" s="46">
        <f t="shared" ref="T37" si="88">IF(T38=1,IF(S35-T34&lt;$C30,$B30,0),IF(S35-MAX(T34,T33)&lt;$C30,$B30,0))</f>
        <v>0</v>
      </c>
      <c r="U37" s="46">
        <f t="shared" ref="U37" si="89">IF(U38=1,IF(T35-U34&lt;$C30,$B30,0),IF(T35-MAX(U34,U33)&lt;$C30,$B30,0))</f>
        <v>1390919</v>
      </c>
      <c r="V37" s="46">
        <f t="shared" ref="V37" si="90">IF(V38=1,IF(U35-V34&lt;$C30,$B30,0),IF(U35-MAX(V34,V33)&lt;$C30,$B30,0))</f>
        <v>0</v>
      </c>
      <c r="W37" s="46">
        <f t="shared" ref="W37" si="91">IF(W38=1,IF(V35-W34&lt;$C30,$B30,0),IF(V35-MAX(W34,W33)&lt;$C30,$B30,0))</f>
        <v>0</v>
      </c>
      <c r="X37" s="46">
        <f t="shared" ref="X37" si="92">IF(X38=1,IF(W35-X34&lt;$C30,$B30,0),IF(W35-MAX(X34,X33)&lt;$C30,$B30,0))</f>
        <v>0</v>
      </c>
      <c r="Y37" s="47">
        <f t="shared" ref="Y37" si="93">IF(Y38=1,IF(X35-Y34&lt;$C30,$B30,0),IF(X35-MAX(Y34,Y33)&lt;$C30,$B30,0))</f>
        <v>0</v>
      </c>
    </row>
    <row r="38" spans="1:25" ht="16" hidden="1" thickBot="1" x14ac:dyDescent="0.35">
      <c r="A38" s="20" t="s">
        <v>25</v>
      </c>
      <c r="B38" s="22">
        <v>1</v>
      </c>
      <c r="C38" s="23">
        <v>1</v>
      </c>
      <c r="D38" s="22">
        <v>1</v>
      </c>
      <c r="E38" s="24">
        <v>1</v>
      </c>
      <c r="F38" s="24">
        <v>1</v>
      </c>
      <c r="G38" s="23">
        <v>1</v>
      </c>
      <c r="H38" s="33">
        <v>0</v>
      </c>
      <c r="I38" s="34">
        <v>0</v>
      </c>
      <c r="J38" s="34">
        <v>0</v>
      </c>
      <c r="K38" s="34">
        <v>0</v>
      </c>
      <c r="L38" s="34">
        <v>0</v>
      </c>
      <c r="M38" s="34">
        <v>0</v>
      </c>
      <c r="N38" s="34">
        <v>0</v>
      </c>
      <c r="O38" s="34">
        <v>0</v>
      </c>
      <c r="P38" s="34">
        <v>0</v>
      </c>
      <c r="Q38" s="34">
        <v>0</v>
      </c>
      <c r="R38" s="34">
        <v>0</v>
      </c>
      <c r="S38" s="34">
        <v>0</v>
      </c>
      <c r="T38" s="34">
        <v>0</v>
      </c>
      <c r="U38" s="34">
        <v>0</v>
      </c>
      <c r="V38" s="34">
        <v>0</v>
      </c>
      <c r="W38" s="34">
        <v>0</v>
      </c>
      <c r="X38" s="34">
        <v>0</v>
      </c>
      <c r="Y38" s="35">
        <v>0</v>
      </c>
    </row>
    <row r="42" spans="1:25" x14ac:dyDescent="0.3">
      <c r="A42" s="17" t="s">
        <v>26</v>
      </c>
      <c r="B42" s="17" t="s">
        <v>28</v>
      </c>
      <c r="C42" s="17" t="s">
        <v>27</v>
      </c>
    </row>
    <row r="43" spans="1:25" ht="14.5" thickBot="1" x14ac:dyDescent="0.35">
      <c r="A43" s="18">
        <v>20</v>
      </c>
      <c r="B43" s="18">
        <f>_xlfn.CEILING.MATH('Lot Size'!J5)</f>
        <v>2503654</v>
      </c>
      <c r="C43" s="18">
        <f>_xlfn.CEILING.MATH(0.05*Forecast!F9)</f>
        <v>85368</v>
      </c>
    </row>
    <row r="44" spans="1:25" ht="16" thickBot="1" x14ac:dyDescent="0.35">
      <c r="A44" s="21"/>
      <c r="B44" s="55" t="s">
        <v>25</v>
      </c>
      <c r="C44" s="56"/>
      <c r="D44" s="56"/>
      <c r="E44" s="56"/>
      <c r="F44" s="56"/>
      <c r="G44" s="57"/>
      <c r="H44" s="55" t="s">
        <v>29</v>
      </c>
      <c r="I44" s="56"/>
      <c r="J44" s="56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7"/>
    </row>
    <row r="45" spans="1:25" ht="15.5" x14ac:dyDescent="0.3">
      <c r="A45" s="19" t="s">
        <v>41</v>
      </c>
      <c r="B45" s="30">
        <v>1</v>
      </c>
      <c r="C45" s="31">
        <v>2</v>
      </c>
      <c r="D45" s="31">
        <v>3</v>
      </c>
      <c r="E45" s="31">
        <v>4</v>
      </c>
      <c r="F45" s="31">
        <v>5</v>
      </c>
      <c r="G45" s="32">
        <v>6</v>
      </c>
      <c r="H45" s="30">
        <v>7</v>
      </c>
      <c r="I45" s="31">
        <v>8</v>
      </c>
      <c r="J45" s="31">
        <v>9</v>
      </c>
      <c r="K45" s="31">
        <v>10</v>
      </c>
      <c r="L45" s="31">
        <v>11</v>
      </c>
      <c r="M45" s="31">
        <v>12</v>
      </c>
      <c r="N45" s="31">
        <v>13</v>
      </c>
      <c r="O45" s="31">
        <v>14</v>
      </c>
      <c r="P45" s="31">
        <v>15</v>
      </c>
      <c r="Q45" s="31">
        <v>16</v>
      </c>
      <c r="R45" s="31">
        <v>17</v>
      </c>
      <c r="S45" s="31">
        <v>18</v>
      </c>
      <c r="T45" s="31">
        <v>19</v>
      </c>
      <c r="U45" s="31">
        <v>20</v>
      </c>
      <c r="V45" s="31">
        <v>21</v>
      </c>
      <c r="W45" s="31">
        <v>22</v>
      </c>
      <c r="X45" s="31">
        <v>23</v>
      </c>
      <c r="Y45" s="32">
        <v>24</v>
      </c>
    </row>
    <row r="46" spans="1:25" ht="15.5" x14ac:dyDescent="0.3">
      <c r="A46" s="19" t="s">
        <v>1</v>
      </c>
      <c r="B46" s="36">
        <f>Forecast!$F$3/4</f>
        <v>339342.48000000004</v>
      </c>
      <c r="C46" s="36">
        <f>Forecast!$F$3/4</f>
        <v>339342.48000000004</v>
      </c>
      <c r="D46" s="36">
        <f>Forecast!$F$3/4</f>
        <v>339342.48000000004</v>
      </c>
      <c r="E46" s="36">
        <f>Forecast!$F$3/4</f>
        <v>339342.48000000004</v>
      </c>
      <c r="F46" s="38">
        <f>Forecast!$F$4/4</f>
        <v>374340.42000000004</v>
      </c>
      <c r="G46" s="39">
        <f>Forecast!$F$4/4</f>
        <v>374340.42000000004</v>
      </c>
      <c r="H46" s="40">
        <f>Forecast!$F$4/4</f>
        <v>374340.42000000004</v>
      </c>
      <c r="I46" s="38">
        <f>Forecast!$F$4/4</f>
        <v>374340.42000000004</v>
      </c>
      <c r="J46" s="37">
        <f>Forecast!$F$5/4</f>
        <v>409338.36000000004</v>
      </c>
      <c r="K46" s="37">
        <f>Forecast!$F$5/4</f>
        <v>409338.36000000004</v>
      </c>
      <c r="L46" s="37">
        <f>Forecast!$F$5/4</f>
        <v>409338.36000000004</v>
      </c>
      <c r="M46" s="37">
        <f>Forecast!$F$5/4</f>
        <v>409338.36000000004</v>
      </c>
      <c r="N46" s="38">
        <f>Forecast!$F$6/4</f>
        <v>444336.30000000005</v>
      </c>
      <c r="O46" s="38">
        <f>Forecast!$F$6/4</f>
        <v>444336.30000000005</v>
      </c>
      <c r="P46" s="38">
        <f>Forecast!$F$6/4</f>
        <v>444336.30000000005</v>
      </c>
      <c r="Q46" s="38">
        <f>Forecast!$F$6/4</f>
        <v>444336.30000000005</v>
      </c>
      <c r="R46" s="38">
        <f>Forecast!$F$7/4</f>
        <v>479334.30750000005</v>
      </c>
      <c r="S46" s="38">
        <f>Forecast!$F$7/4</f>
        <v>479334.30750000005</v>
      </c>
      <c r="T46" s="38">
        <f>Forecast!$F$7/4</f>
        <v>479334.30750000005</v>
      </c>
      <c r="U46" s="38">
        <f>Forecast!$F$7/4</f>
        <v>479334.30750000005</v>
      </c>
      <c r="V46" s="38">
        <f>Forecast!$F$8/4</f>
        <v>514332.24750000006</v>
      </c>
      <c r="W46" s="38">
        <f>Forecast!$F$8/4</f>
        <v>514332.24750000006</v>
      </c>
      <c r="X46" s="38">
        <f>Forecast!$F$8/4</f>
        <v>514332.24750000006</v>
      </c>
      <c r="Y46" s="39">
        <f>Forecast!$F$8/4</f>
        <v>514332.24750000006</v>
      </c>
    </row>
    <row r="47" spans="1:25" ht="15.5" x14ac:dyDescent="0.3">
      <c r="A47" s="19" t="s">
        <v>21</v>
      </c>
      <c r="B47" s="36" cm="1">
        <f t="array" ref="B47">[1]!RANDOM(0.8,1.2,,1)*$B46/B45^0.2</f>
        <v>301880.02178673941</v>
      </c>
      <c r="C47" s="37" cm="1">
        <f t="array" ref="C47">[1]!RANDOM(0.8,1.2,,1)*$B46/C45^0.2</f>
        <v>262801.82301429223</v>
      </c>
      <c r="D47" s="37" cm="1">
        <f t="array" ref="D47">[1]!RANDOM(0.8,1.2,,1)*$B46/D45^0.2</f>
        <v>242331.64015329964</v>
      </c>
      <c r="E47" s="37" cm="1">
        <f t="array" ref="E47">[1]!RANDOM(0.8,1.2,,1)*$B46/E45^0.2</f>
        <v>228782.27506034041</v>
      </c>
      <c r="F47" s="37" cm="1">
        <f t="array" ref="F47">[1]!RANDOM(0.8,1.2,,1)*$B46/F45^0.2</f>
        <v>218796.50066160838</v>
      </c>
      <c r="G47" s="41" cm="1">
        <f t="array" ref="G47">[1]!RANDOM(0.8,1.2,,1)*$B46/G45^0.2</f>
        <v>210961.94583992867</v>
      </c>
      <c r="H47" s="36" cm="1">
        <f t="array" ref="H47">[1]!RANDOM(0.8,1.2,,1)*$B46/H45^0.2</f>
        <v>204557.19730026959</v>
      </c>
      <c r="I47" s="37" cm="1">
        <f t="array" ref="I47">[1]!RANDOM(0.8,1.2,,1)*$B46/I45^0.2</f>
        <v>199166.53842594818</v>
      </c>
      <c r="J47" s="37" cm="1">
        <f t="array" ref="J47">[1]!RANDOM(0.8,1.2,,1)*$B46/J45^0.2</f>
        <v>194529.67928057798</v>
      </c>
      <c r="K47" s="37" cm="1">
        <f t="array" ref="K47">[1]!RANDOM(0.8,1.2,,1)*$B46/K45^0.2</f>
        <v>190473.41689818396</v>
      </c>
      <c r="L47" s="37" cm="1">
        <f t="array" ref="L47">[1]!RANDOM(0.8,1.2,,1)*$B46/L45^0.2</f>
        <v>186876.99226298789</v>
      </c>
      <c r="M47" s="37" cm="1">
        <f t="array" ref="M47">[1]!RANDOM(0.8,1.2,,1)*$B46/M45^0.2</f>
        <v>183653.04078499635</v>
      </c>
      <c r="N47" s="37" cm="1">
        <f t="array" ref="N47">[1]!RANDOM(0.8,1.2,,1)*$B46/N45^0.2</f>
        <v>180736.43107465043</v>
      </c>
      <c r="O47" s="37" cm="1">
        <f t="array" ref="O47">[1]!RANDOM(0.8,1.2,,1)*$B46/O45^0.2</f>
        <v>178077.38333602611</v>
      </c>
      <c r="P47" s="37" cm="1">
        <f t="array" ref="P47">[1]!RANDOM(0.8,1.2,,1)*$B46/P45^0.2</f>
        <v>175637.04464877286</v>
      </c>
      <c r="Q47" s="37" cm="1">
        <f t="array" ref="Q47">[1]!RANDOM(0.8,1.2,,1)*$B46/Q45^0.2</f>
        <v>173384.54221644832</v>
      </c>
      <c r="R47" s="37" cm="1">
        <f t="array" ref="R47">[1]!RANDOM(0.8,1.2,,1)*$B46/R45^0.2</f>
        <v>171294.961360927</v>
      </c>
      <c r="S47" s="37" cm="1">
        <f t="array" ref="S47">[1]!RANDOM(0.8,1.2,,1)*$B46/S45^0.2</f>
        <v>169347.92187552154</v>
      </c>
      <c r="T47" s="37" cm="1">
        <f t="array" ref="T47">[1]!RANDOM(0.8,1.2,,1)*$B46/T45^0.2</f>
        <v>167526.55294624725</v>
      </c>
      <c r="U47" s="37" cm="1">
        <f t="array" ref="U47">[1]!RANDOM(0.8,1.2,,1)*$B46/U45^0.2</f>
        <v>165816.74037365156</v>
      </c>
      <c r="V47" s="37" cm="1">
        <f t="array" ref="V47">[1]!RANDOM(0.8,1.2,,1)*$B46/V45^0.2</f>
        <v>164206.56403011404</v>
      </c>
      <c r="W47" s="37" cm="1">
        <f t="array" ref="W47">[1]!RANDOM(0.8,1.2,,1)*$B46/W45^0.2</f>
        <v>162685.8708816295</v>
      </c>
      <c r="X47" s="37" cm="1">
        <f t="array" ref="X47">[1]!RANDOM(0.8,1.2,,1)*$B46/X45^0.2</f>
        <v>161245.94634288386</v>
      </c>
      <c r="Y47" s="41" cm="1">
        <f t="array" ref="Y47">[1]!RANDOM(0.8,1.2,,1)*$B46/Y45^0.2</f>
        <v>159879.25810642459</v>
      </c>
    </row>
    <row r="48" spans="1:25" ht="15.5" x14ac:dyDescent="0.3">
      <c r="A48" s="19" t="s">
        <v>22</v>
      </c>
      <c r="B48" s="42">
        <f>IF(B51=1, 0+B50-B47,0+B50-MAX(B47,B46))</f>
        <v>2201773.9782132604</v>
      </c>
      <c r="C48" s="43">
        <f t="shared" ref="C48" si="94">IF(C51=1, B48+C50-C47,B48+C50-MAX(C47,C46))</f>
        <v>1938972.1551989682</v>
      </c>
      <c r="D48" s="43">
        <f t="shared" ref="D48" si="95">IF(D51=1, C48+D50-D47,C48+D50-MAX(D47,D46))</f>
        <v>1696640.5150456687</v>
      </c>
      <c r="E48" s="43">
        <f t="shared" ref="E48" si="96">IF(E51=1, D48+E50-E47,D48+E50-MAX(E47,E46))</f>
        <v>1467858.2399853282</v>
      </c>
      <c r="F48" s="43">
        <f t="shared" ref="F48" si="97">IF(F51=1, E48+F50-F47,E48+F50-MAX(F47,F46))</f>
        <v>1249061.7393237199</v>
      </c>
      <c r="G48" s="44">
        <f t="shared" ref="G48" si="98">IF(G51=1, F48+G50-G47,F48+G50-MAX(G47,G46))</f>
        <v>1038099.7934837912</v>
      </c>
      <c r="H48" s="42">
        <f t="shared" ref="H48" si="99">IF(H51=1, G48+H50-H47,G48+H50-MAX(H47,H46))</f>
        <v>663759.37348379113</v>
      </c>
      <c r="I48" s="43">
        <f>IF(I51=1, H48+I50-I47,H48+I50-MAX(I47,I46))</f>
        <v>289418.95348379109</v>
      </c>
      <c r="J48" s="43">
        <f t="shared" ref="J48" si="100">IF(J51=1, I48+J50-J47,I48+J50-MAX(J47,J46))</f>
        <v>2383734.5934837912</v>
      </c>
      <c r="K48" s="43">
        <f t="shared" ref="K48" si="101">IF(K51=1, J48+K50-K47,J48+K50-MAX(K47,K46))</f>
        <v>1974396.2334837911</v>
      </c>
      <c r="L48" s="43">
        <f t="shared" ref="L48" si="102">IF(L51=1, K48+L50-L47,K48+L50-MAX(L47,L46))</f>
        <v>1565057.873483791</v>
      </c>
      <c r="M48" s="43">
        <f t="shared" ref="M48" si="103">IF(M51=1, L48+M50-M47,L48+M50-MAX(M47,M46))</f>
        <v>1155719.5134837909</v>
      </c>
      <c r="N48" s="43">
        <f t="shared" ref="N48" si="104">IF(N51=1, M48+N50-N47,M48+N50-MAX(N47,N46))</f>
        <v>711383.21348379087</v>
      </c>
      <c r="O48" s="43">
        <f t="shared" ref="O48" si="105">IF(O51=1, N48+O50-O47,N48+O50-MAX(O47,O46))</f>
        <v>267046.91348379082</v>
      </c>
      <c r="P48" s="43">
        <f t="shared" ref="P48" si="106">IF(P51=1, O48+P50-P47,O48+P50-MAX(P47,P46))</f>
        <v>2326364.6134837912</v>
      </c>
      <c r="Q48" s="43">
        <f t="shared" ref="Q48" si="107">IF(Q51=1, P48+Q50-Q47,P48+Q50-MAX(Q47,Q46))</f>
        <v>1882028.3134837912</v>
      </c>
      <c r="R48" s="43">
        <f t="shared" ref="R48" si="108">IF(R51=1, Q48+R50-R47,Q48+R50-MAX(R47,R46))</f>
        <v>1402694.0059837911</v>
      </c>
      <c r="S48" s="43">
        <f t="shared" ref="S48" si="109">IF(S51=1, R48+S50-S47,R48+S50-MAX(S47,S46))</f>
        <v>923359.69848379097</v>
      </c>
      <c r="T48" s="43">
        <f t="shared" ref="T48" si="110">IF(T51=1, S48+T50-T47,S48+T50-MAX(T47,T46))</f>
        <v>444025.39098379092</v>
      </c>
      <c r="U48" s="43">
        <f t="shared" ref="U48" si="111">IF(U51=1, T48+U50-U47,T48+U50-MAX(U47,U46))</f>
        <v>2468345.083483791</v>
      </c>
      <c r="V48" s="43">
        <f t="shared" ref="V48" si="112">IF(V51=1, U48+V50-V47,U48+V50-MAX(V47,V46))</f>
        <v>1954012.8359837909</v>
      </c>
      <c r="W48" s="43">
        <f t="shared" ref="W48" si="113">IF(W51=1, V48+W50-W47,V48+W50-MAX(W47,W46))</f>
        <v>1439680.5884837909</v>
      </c>
      <c r="X48" s="43">
        <f t="shared" ref="X48" si="114">IF(X51=1, W48+X50-X47,W48+X50-MAX(X47,X46))</f>
        <v>925348.34098379081</v>
      </c>
      <c r="Y48" s="44">
        <f t="shared" ref="Y48" si="115">IF(Y51=1, X48+Y50-Y47,X48+Y50-MAX(Y47,Y46))</f>
        <v>411016.09348379076</v>
      </c>
    </row>
    <row r="49" spans="1:25" ht="15.5" x14ac:dyDescent="0.3">
      <c r="A49" s="19" t="s">
        <v>23</v>
      </c>
      <c r="B49" s="42">
        <f>MAX(B50-SUM(B47:I47),0)</f>
        <v>634376.05775757344</v>
      </c>
      <c r="C49" s="43"/>
      <c r="D49" s="38"/>
      <c r="E49" s="38"/>
      <c r="F49" s="38"/>
      <c r="G49" s="39"/>
      <c r="H49" s="42"/>
      <c r="I49" s="43"/>
      <c r="J49" s="43">
        <f>MAX(J50-SUM(J47:O47))</f>
        <v>1389307.0563625772</v>
      </c>
      <c r="K49" s="43"/>
      <c r="L49" s="43"/>
      <c r="M49" s="43"/>
      <c r="N49" s="43"/>
      <c r="O49" s="43"/>
      <c r="P49" s="43">
        <f>MAX(P50-SUM(P47:T47))</f>
        <v>1646462.9769520829</v>
      </c>
      <c r="Q49" s="43"/>
      <c r="R49" s="43"/>
      <c r="S49" s="43"/>
      <c r="T49" s="43"/>
      <c r="U49" s="43">
        <f t="shared" ref="U49" si="116">MAX(U50-SUM(U47:Y47))</f>
        <v>1689819.6202652964</v>
      </c>
      <c r="V49" s="38"/>
      <c r="W49" s="38"/>
      <c r="X49" s="38"/>
      <c r="Y49" s="39"/>
    </row>
    <row r="50" spans="1:25" ht="16" thickBot="1" x14ac:dyDescent="0.35">
      <c r="A50" s="19" t="s">
        <v>24</v>
      </c>
      <c r="B50" s="45">
        <f>IF(B51=1,IF(0-B47&lt;$C43,$B43,0),IF(0-MAX(B47,B46)&lt;$C43,$B43,0))</f>
        <v>2503654</v>
      </c>
      <c r="C50" s="46">
        <f>IF(C51=1,IF(B48-C47&lt;$C43,$B43,0),IF(B48-MAX(C47,C46)&lt;$C43,$B43,0))</f>
        <v>0</v>
      </c>
      <c r="D50" s="46">
        <f t="shared" ref="D50" si="117">IF(D51=1,IF(C48-D47&lt;$C43,$B43,0),IF(C48-MAX(D47,D46)&lt;$C43,$B43,0))</f>
        <v>0</v>
      </c>
      <c r="E50" s="46">
        <f t="shared" ref="E50" si="118">IF(E51=1,IF(D48-E47&lt;$C43,$B43,0),IF(D48-MAX(E47,E46)&lt;$C43,$B43,0))</f>
        <v>0</v>
      </c>
      <c r="F50" s="46">
        <f t="shared" ref="F50" si="119">IF(F51=1,IF(E48-F47&lt;$C43,$B43,0),IF(E48-MAX(F47,F46)&lt;$C43,$B43,0))</f>
        <v>0</v>
      </c>
      <c r="G50" s="47">
        <f t="shared" ref="G50" si="120">IF(G51=1,IF(F48-G47&lt;$C43,$B43,0),IF(F48-MAX(G47,G46)&lt;$C43,$B43,0))</f>
        <v>0</v>
      </c>
      <c r="H50" s="45">
        <f t="shared" ref="H50" si="121">IF(H51=1,IF(G48-H47&lt;$C43,$B43,0),IF(G48-MAX(H47,H46)&lt;$C43,$B43,0))</f>
        <v>0</v>
      </c>
      <c r="I50" s="46">
        <f t="shared" ref="I50" si="122">IF(I51=1,IF(H48-I47&lt;$C43,$B43,0),IF(H48-MAX(I47,I46)&lt;$C43,$B43,0))</f>
        <v>0</v>
      </c>
      <c r="J50" s="46">
        <f t="shared" ref="J50" si="123">IF(J51=1,IF(I48-J47&lt;$C43,$B43,0),IF(I48-MAX(J47,J46)&lt;$C43,$B43,0))</f>
        <v>2503654</v>
      </c>
      <c r="K50" s="46">
        <f t="shared" ref="K50" si="124">IF(K51=1,IF(J48-K47&lt;$C43,$B43,0),IF(J48-MAX(K47,K46)&lt;$C43,$B43,0))</f>
        <v>0</v>
      </c>
      <c r="L50" s="46">
        <f t="shared" ref="L50" si="125">IF(L51=1,IF(K48-L47&lt;$C43,$B43,0),IF(K48-MAX(L47,L46)&lt;$C43,$B43,0))</f>
        <v>0</v>
      </c>
      <c r="M50" s="46">
        <f t="shared" ref="M50" si="126">IF(M51=1,IF(L48-M47&lt;$C43,$B43,0),IF(L48-MAX(M47,M46)&lt;$C43,$B43,0))</f>
        <v>0</v>
      </c>
      <c r="N50" s="46">
        <f t="shared" ref="N50" si="127">IF(N51=1,IF(M48-N47&lt;$C43,$B43,0),IF(M48-MAX(N47,N46)&lt;$C43,$B43,0))</f>
        <v>0</v>
      </c>
      <c r="O50" s="46">
        <f t="shared" ref="O50" si="128">IF(O51=1,IF(N48-O47&lt;$C43,$B43,0),IF(N48-MAX(O47,O46)&lt;$C43,$B43,0))</f>
        <v>0</v>
      </c>
      <c r="P50" s="46">
        <f t="shared" ref="P50" si="129">IF(P51=1,IF(O48-P47&lt;$C43,$B43,0),IF(O48-MAX(P47,P46)&lt;$C43,$B43,0))</f>
        <v>2503654</v>
      </c>
      <c r="Q50" s="46">
        <f t="shared" ref="Q50" si="130">IF(Q51=1,IF(P48-Q47&lt;$C43,$B43,0),IF(P48-MAX(Q47,Q46)&lt;$C43,$B43,0))</f>
        <v>0</v>
      </c>
      <c r="R50" s="46">
        <f t="shared" ref="R50" si="131">IF(R51=1,IF(Q48-R47&lt;$C43,$B43,0),IF(Q48-MAX(R47,R46)&lt;$C43,$B43,0))</f>
        <v>0</v>
      </c>
      <c r="S50" s="46">
        <f t="shared" ref="S50" si="132">IF(S51=1,IF(R48-S47&lt;$C43,$B43,0),IF(R48-MAX(S47,S46)&lt;$C43,$B43,0))</f>
        <v>0</v>
      </c>
      <c r="T50" s="46">
        <f t="shared" ref="T50" si="133">IF(T51=1,IF(S48-T47&lt;$C43,$B43,0),IF(S48-MAX(T47,T46)&lt;$C43,$B43,0))</f>
        <v>0</v>
      </c>
      <c r="U50" s="46">
        <f t="shared" ref="U50" si="134">IF(U51=1,IF(T48-U47&lt;$C43,$B43,0),IF(T48-MAX(U47,U46)&lt;$C43,$B43,0))</f>
        <v>2503654</v>
      </c>
      <c r="V50" s="46">
        <f t="shared" ref="V50" si="135">IF(V51=1,IF(U48-V47&lt;$C43,$B43,0),IF(U48-MAX(V47,V46)&lt;$C43,$B43,0))</f>
        <v>0</v>
      </c>
      <c r="W50" s="46">
        <f t="shared" ref="W50" si="136">IF(W51=1,IF(V48-W47&lt;$C43,$B43,0),IF(V48-MAX(W47,W46)&lt;$C43,$B43,0))</f>
        <v>0</v>
      </c>
      <c r="X50" s="46">
        <f t="shared" ref="X50" si="137">IF(X51=1,IF(W48-X47&lt;$C43,$B43,0),IF(W48-MAX(X47,X46)&lt;$C43,$B43,0))</f>
        <v>0</v>
      </c>
      <c r="Y50" s="47">
        <f t="shared" ref="Y50" si="138">IF(Y51=1,IF(X48-Y47&lt;$C43,$B43,0),IF(X48-MAX(Y47,Y46)&lt;$C43,$B43,0))</f>
        <v>0</v>
      </c>
    </row>
    <row r="51" spans="1:25" ht="16" hidden="1" thickBot="1" x14ac:dyDescent="0.35">
      <c r="A51" s="20" t="s">
        <v>25</v>
      </c>
      <c r="B51" s="22">
        <v>1</v>
      </c>
      <c r="C51" s="23">
        <v>1</v>
      </c>
      <c r="D51" s="22">
        <v>1</v>
      </c>
      <c r="E51" s="24">
        <v>1</v>
      </c>
      <c r="F51" s="24">
        <v>1</v>
      </c>
      <c r="G51" s="23">
        <v>1</v>
      </c>
      <c r="H51" s="33">
        <v>0</v>
      </c>
      <c r="I51" s="34">
        <v>0</v>
      </c>
      <c r="J51" s="34">
        <v>0</v>
      </c>
      <c r="K51" s="34">
        <v>0</v>
      </c>
      <c r="L51" s="34">
        <v>0</v>
      </c>
      <c r="M51" s="34">
        <v>0</v>
      </c>
      <c r="N51" s="34">
        <v>0</v>
      </c>
      <c r="O51" s="34">
        <v>0</v>
      </c>
      <c r="P51" s="34">
        <v>0</v>
      </c>
      <c r="Q51" s="34">
        <v>0</v>
      </c>
      <c r="R51" s="34">
        <v>0</v>
      </c>
      <c r="S51" s="34">
        <v>0</v>
      </c>
      <c r="T51" s="34">
        <v>0</v>
      </c>
      <c r="U51" s="34">
        <v>0</v>
      </c>
      <c r="V51" s="34">
        <v>0</v>
      </c>
      <c r="W51" s="34">
        <v>0</v>
      </c>
      <c r="X51" s="34">
        <v>0</v>
      </c>
      <c r="Y51" s="35">
        <v>0</v>
      </c>
    </row>
    <row r="55" spans="1:25" x14ac:dyDescent="0.3">
      <c r="A55" s="17" t="s">
        <v>26</v>
      </c>
      <c r="B55" s="17" t="s">
        <v>28</v>
      </c>
      <c r="C55" s="17" t="s">
        <v>27</v>
      </c>
    </row>
    <row r="56" spans="1:25" ht="14.5" thickBot="1" x14ac:dyDescent="0.35">
      <c r="A56" s="18">
        <v>25</v>
      </c>
      <c r="B56" s="18">
        <f>_xlfn.CEILING.MATH('Lot Size'!J6)</f>
        <v>1761831</v>
      </c>
      <c r="C56" s="18">
        <f>_xlfn.CEILING.MATH(0.05*Forecast!G9)</f>
        <v>60074</v>
      </c>
    </row>
    <row r="57" spans="1:25" ht="16" thickBot="1" x14ac:dyDescent="0.35">
      <c r="A57" s="21"/>
      <c r="B57" s="55" t="s">
        <v>25</v>
      </c>
      <c r="C57" s="56"/>
      <c r="D57" s="56"/>
      <c r="E57" s="56"/>
      <c r="F57" s="56"/>
      <c r="G57" s="57"/>
      <c r="H57" s="55" t="s">
        <v>29</v>
      </c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7"/>
    </row>
    <row r="58" spans="1:25" ht="15.5" x14ac:dyDescent="0.3">
      <c r="A58" s="19" t="s">
        <v>41</v>
      </c>
      <c r="B58" s="30">
        <v>1</v>
      </c>
      <c r="C58" s="31">
        <v>2</v>
      </c>
      <c r="D58" s="31">
        <v>3</v>
      </c>
      <c r="E58" s="31">
        <v>4</v>
      </c>
      <c r="F58" s="31">
        <v>5</v>
      </c>
      <c r="G58" s="32">
        <v>6</v>
      </c>
      <c r="H58" s="30">
        <v>7</v>
      </c>
      <c r="I58" s="31">
        <v>8</v>
      </c>
      <c r="J58" s="31">
        <v>9</v>
      </c>
      <c r="K58" s="31">
        <v>10</v>
      </c>
      <c r="L58" s="31">
        <v>11</v>
      </c>
      <c r="M58" s="31">
        <v>12</v>
      </c>
      <c r="N58" s="31">
        <v>13</v>
      </c>
      <c r="O58" s="31">
        <v>14</v>
      </c>
      <c r="P58" s="31">
        <v>15</v>
      </c>
      <c r="Q58" s="31">
        <v>16</v>
      </c>
      <c r="R58" s="31">
        <v>17</v>
      </c>
      <c r="S58" s="31">
        <v>18</v>
      </c>
      <c r="T58" s="31">
        <v>19</v>
      </c>
      <c r="U58" s="31">
        <v>20</v>
      </c>
      <c r="V58" s="31">
        <v>21</v>
      </c>
      <c r="W58" s="31">
        <v>22</v>
      </c>
      <c r="X58" s="31">
        <v>23</v>
      </c>
      <c r="Y58" s="32">
        <v>24</v>
      </c>
    </row>
    <row r="59" spans="1:25" ht="15.5" x14ac:dyDescent="0.3">
      <c r="A59" s="19" t="s">
        <v>1</v>
      </c>
      <c r="B59" s="36">
        <f>Forecast!$G$3/4</f>
        <v>238796.56</v>
      </c>
      <c r="C59" s="36">
        <f>Forecast!$G$3/4</f>
        <v>238796.56</v>
      </c>
      <c r="D59" s="36">
        <f>Forecast!$G$3/4</f>
        <v>238796.56</v>
      </c>
      <c r="E59" s="36">
        <f>Forecast!$G$3/4</f>
        <v>238796.56</v>
      </c>
      <c r="F59" s="38">
        <f>Forecast!$G$4/4</f>
        <v>263424.74</v>
      </c>
      <c r="G59" s="39">
        <f>Forecast!$G$4/4</f>
        <v>263424.74</v>
      </c>
      <c r="H59" s="40">
        <f>Forecast!$G$4/4</f>
        <v>263424.74</v>
      </c>
      <c r="I59" s="38">
        <f>Forecast!$G$4/4</f>
        <v>263424.74</v>
      </c>
      <c r="J59" s="37">
        <f>Forecast!$G$5/4</f>
        <v>288052.92</v>
      </c>
      <c r="K59" s="37">
        <f>Forecast!$G$5/4</f>
        <v>288052.92</v>
      </c>
      <c r="L59" s="37">
        <f>Forecast!$G$5/4</f>
        <v>288052.92</v>
      </c>
      <c r="M59" s="37">
        <f>Forecast!$G$5/4</f>
        <v>288052.92</v>
      </c>
      <c r="N59" s="38">
        <f>Forecast!$G$6/4</f>
        <v>312681.09999999998</v>
      </c>
      <c r="O59" s="38">
        <f>Forecast!$G$6/4</f>
        <v>312681.09999999998</v>
      </c>
      <c r="P59" s="38">
        <f>Forecast!$G$6/4</f>
        <v>312681.09999999998</v>
      </c>
      <c r="Q59" s="38">
        <f>Forecast!$G$6/4</f>
        <v>312681.09999999998</v>
      </c>
      <c r="R59" s="38">
        <f>Forecast!$G$7/4</f>
        <v>337309.32750000001</v>
      </c>
      <c r="S59" s="38">
        <f>Forecast!$G$7/4</f>
        <v>337309.32750000001</v>
      </c>
      <c r="T59" s="38">
        <f>Forecast!$G$7/4</f>
        <v>337309.32750000001</v>
      </c>
      <c r="U59" s="38">
        <f>Forecast!$G$7/4</f>
        <v>337309.32750000001</v>
      </c>
      <c r="V59" s="38">
        <f>Forecast!$F$8/4</f>
        <v>514332.24750000006</v>
      </c>
      <c r="W59" s="38">
        <f>Forecast!$F$8/4</f>
        <v>514332.24750000006</v>
      </c>
      <c r="X59" s="38">
        <f>Forecast!$F$8/4</f>
        <v>514332.24750000006</v>
      </c>
      <c r="Y59" s="39">
        <f>Forecast!$F$8/4</f>
        <v>514332.24750000006</v>
      </c>
    </row>
    <row r="60" spans="1:25" ht="15.5" x14ac:dyDescent="0.3">
      <c r="A60" s="19" t="s">
        <v>21</v>
      </c>
      <c r="B60" s="36" cm="1">
        <f t="array" ref="B60">[1]!RANDOM(0.8,1.2,,1)*$B59/B58^0.2</f>
        <v>212434.08940548325</v>
      </c>
      <c r="C60" s="37" cm="1">
        <f t="array" ref="C60">[1]!RANDOM(0.8,1.2,,1)*$B59/C58^0.2</f>
        <v>184934.61619524262</v>
      </c>
      <c r="D60" s="37" cm="1">
        <f t="array" ref="D60">[1]!RANDOM(0.8,1.2,,1)*$B59/D58^0.2</f>
        <v>170529.67270047008</v>
      </c>
      <c r="E60" s="37" cm="1">
        <f t="array" ref="E60">[1]!RANDOM(0.8,1.2,,1)*$B59/E58^0.2</f>
        <v>160994.93430172102</v>
      </c>
      <c r="F60" s="37" cm="1">
        <f t="array" ref="F60">[1]!RANDOM(0.8,1.2,,1)*$B59/F58^0.2</f>
        <v>153967.90787298363</v>
      </c>
      <c r="G60" s="41" cm="1">
        <f t="array" ref="G60">[1]!RANDOM(0.8,1.2,,1)*$B59/G58^0.2</f>
        <v>148454.7026280979</v>
      </c>
      <c r="H60" s="36" cm="1">
        <f t="array" ref="H60">[1]!RANDOM(0.8,1.2,,1)*$B59/H58^0.2</f>
        <v>143947.65735944896</v>
      </c>
      <c r="I60" s="37" cm="1">
        <f t="array" ref="I60">[1]!RANDOM(0.8,1.2,,1)*$B59/I58^0.2</f>
        <v>140154.23074418571</v>
      </c>
      <c r="J60" s="37" cm="1">
        <f t="array" ref="J60">[1]!RANDOM(0.8,1.2,,1)*$B59/J58^0.2</f>
        <v>136891.25579003632</v>
      </c>
      <c r="K60" s="37" cm="1">
        <f t="array" ref="K60">[1]!RANDOM(0.8,1.2,,1)*$B59/K58^0.2</f>
        <v>134036.84892835165</v>
      </c>
      <c r="L60" s="37" cm="1">
        <f t="array" ref="L60">[1]!RANDOM(0.8,1.2,,1)*$B59/L58^0.2</f>
        <v>131506.03159247292</v>
      </c>
      <c r="M60" s="37" cm="1">
        <f t="array" ref="M60">[1]!RANDOM(0.8,1.2,,1)*$B59/M58^0.2</f>
        <v>129237.32499684925</v>
      </c>
      <c r="N60" s="37" cm="1">
        <f t="array" ref="N60">[1]!RANDOM(0.8,1.2,,1)*$B59/N58^0.2</f>
        <v>127184.89594142065</v>
      </c>
      <c r="O60" s="37" cm="1">
        <f t="array" ref="O60">[1]!RANDOM(0.8,1.2,,1)*$B59/O58^0.2</f>
        <v>125313.71419942574</v>
      </c>
      <c r="P60" s="37" cm="1">
        <f t="array" ref="P60">[1]!RANDOM(0.8,1.2,,1)*$B59/P58^0.2</f>
        <v>123596.43882691421</v>
      </c>
      <c r="Q60" s="37" cm="1">
        <f t="array" ref="Q60">[1]!RANDOM(0.8,1.2,,1)*$B59/Q58^0.2</f>
        <v>122011.34452268583</v>
      </c>
      <c r="R60" s="37" cm="1">
        <f t="array" ref="R60">[1]!RANDOM(0.8,1.2,,1)*$B59/R58^0.2</f>
        <v>120540.89873546713</v>
      </c>
      <c r="S60" s="37" cm="1">
        <f t="array" ref="S60">[1]!RANDOM(0.8,1.2,,1)*$B59/S58^0.2</f>
        <v>119170.75983832995</v>
      </c>
      <c r="T60" s="37" cm="1">
        <f t="array" ref="T60">[1]!RANDOM(0.8,1.2,,1)*$B59/T58^0.2</f>
        <v>117889.05577698877</v>
      </c>
      <c r="U60" s="37" cm="1">
        <f t="array" ref="U60">[1]!RANDOM(0.8,1.2,,1)*$B59/U58^0.2</f>
        <v>116685.85433701404</v>
      </c>
      <c r="V60" s="37" cm="1">
        <f t="array" ref="V60">[1]!RANDOM(0.8,1.2,,1)*$B59/V58^0.2</f>
        <v>115552.7672804506</v>
      </c>
      <c r="W60" s="37" cm="1">
        <f t="array" ref="W60">[1]!RANDOM(0.8,1.2,,1)*$B59/W58^0.2</f>
        <v>114482.64987966519</v>
      </c>
      <c r="X60" s="37" cm="1">
        <f t="array" ref="X60">[1]!RANDOM(0.8,1.2,,1)*$B59/X58^0.2</f>
        <v>113469.36964869604</v>
      </c>
      <c r="Y60" s="41" cm="1">
        <f t="array" ref="Y60">[1]!RANDOM(0.8,1.2,,1)*$B59/Y58^0.2</f>
        <v>112507.62607489136</v>
      </c>
    </row>
    <row r="61" spans="1:25" ht="15.5" x14ac:dyDescent="0.3">
      <c r="A61" s="19" t="s">
        <v>22</v>
      </c>
      <c r="B61" s="42">
        <f>IF(B64=1, 0+B63-B60,0+B63-MAX(B60,B59))</f>
        <v>1549396.9105945167</v>
      </c>
      <c r="C61" s="43">
        <f t="shared" ref="C61" si="139">IF(C64=1, B61+C63-C60,B61+C63-MAX(C60,C59))</f>
        <v>1364462.294399274</v>
      </c>
      <c r="D61" s="43">
        <f t="shared" ref="D61" si="140">IF(D64=1, C61+D63-D60,C61+D63-MAX(D60,D59))</f>
        <v>1193932.621698804</v>
      </c>
      <c r="E61" s="43">
        <f t="shared" ref="E61" si="141">IF(E64=1, D61+E63-E60,D61+E63-MAX(E60,E59))</f>
        <v>1032937.6873970829</v>
      </c>
      <c r="F61" s="43">
        <f t="shared" ref="F61" si="142">IF(F64=1, E61+F63-F60,E61+F63-MAX(F60,F59))</f>
        <v>878969.77952409931</v>
      </c>
      <c r="G61" s="44">
        <f t="shared" ref="G61" si="143">IF(G64=1, F61+G63-G60,F61+G63-MAX(G60,G59))</f>
        <v>730515.07689600135</v>
      </c>
      <c r="H61" s="42">
        <f t="shared" ref="H61" si="144">IF(H64=1, G61+H63-H60,G61+H63-MAX(H60,H59))</f>
        <v>467090.33689600136</v>
      </c>
      <c r="I61" s="43">
        <f>IF(I64=1, H61+I63-I60,H61+I63-MAX(I60,I59))</f>
        <v>203665.59689600137</v>
      </c>
      <c r="J61" s="43">
        <f t="shared" ref="J61" si="145">IF(J64=1, I61+J63-J60,I61+J63-MAX(J60,J59))</f>
        <v>1677443.6768960014</v>
      </c>
      <c r="K61" s="43">
        <f t="shared" ref="K61" si="146">IF(K64=1, J61+K63-K60,J61+K63-MAX(K60,K59))</f>
        <v>1389390.7568960015</v>
      </c>
      <c r="L61" s="43">
        <f t="shared" ref="L61" si="147">IF(L64=1, K61+L63-L60,K61+L63-MAX(L60,L59))</f>
        <v>1101337.8368960016</v>
      </c>
      <c r="M61" s="43">
        <f t="shared" ref="M61" si="148">IF(M64=1, L61+M63-M60,L61+M63-MAX(M60,M59))</f>
        <v>813284.91689600167</v>
      </c>
      <c r="N61" s="43">
        <f t="shared" ref="N61" si="149">IF(N64=1, M61+N63-N60,M61+N63-MAX(N60,N59))</f>
        <v>500603.81689600169</v>
      </c>
      <c r="O61" s="43">
        <f t="shared" ref="O61" si="150">IF(O64=1, N61+O63-O60,N61+O63-MAX(O60,O59))</f>
        <v>187922.71689600172</v>
      </c>
      <c r="P61" s="43">
        <f t="shared" ref="P61" si="151">IF(P64=1, O61+P63-P60,O61+P63-MAX(P60,P59))</f>
        <v>1637072.6168960016</v>
      </c>
      <c r="Q61" s="43">
        <f t="shared" ref="Q61" si="152">IF(Q64=1, P61+Q63-Q60,P61+Q63-MAX(Q60,Q59))</f>
        <v>1324391.5168960015</v>
      </c>
      <c r="R61" s="43">
        <f t="shared" ref="R61" si="153">IF(R64=1, Q61+R63-R60,Q61+R63-MAX(R60,R59))</f>
        <v>987082.18939600151</v>
      </c>
      <c r="S61" s="43">
        <f t="shared" ref="S61" si="154">IF(S64=1, R61+S63-S60,R61+S63-MAX(S60,S59))</f>
        <v>649772.8618960015</v>
      </c>
      <c r="T61" s="43">
        <f t="shared" ref="T61" si="155">IF(T64=1, S61+T63-T60,S61+T63-MAX(T60,T59))</f>
        <v>312463.53439600149</v>
      </c>
      <c r="U61" s="43">
        <f t="shared" ref="U61" si="156">IF(U64=1, T61+U63-U60,T61+U63-MAX(U60,U59))</f>
        <v>1736985.2068960015</v>
      </c>
      <c r="V61" s="43">
        <f t="shared" ref="V61" si="157">IF(V64=1, U61+V63-V60,U61+V63-MAX(V60,V59))</f>
        <v>1222652.9593960014</v>
      </c>
      <c r="W61" s="43">
        <f t="shared" ref="W61" si="158">IF(W64=1, V61+W63-W60,V61+W63-MAX(W60,W59))</f>
        <v>708320.71189600136</v>
      </c>
      <c r="X61" s="43">
        <f t="shared" ref="X61" si="159">IF(X64=1, W61+X63-X60,W61+X63-MAX(X60,X59))</f>
        <v>193988.46439600131</v>
      </c>
      <c r="Y61" s="44">
        <f t="shared" ref="Y61" si="160">IF(Y64=1, X61+Y63-Y60,X61+Y63-MAX(Y60,Y59))</f>
        <v>1441487.2168960012</v>
      </c>
    </row>
    <row r="62" spans="1:25" ht="15.5" x14ac:dyDescent="0.3">
      <c r="A62" s="19" t="s">
        <v>23</v>
      </c>
      <c r="B62" s="42">
        <f>MAX(B63-SUM(B60:I60),0)</f>
        <v>446413.188792367</v>
      </c>
      <c r="C62" s="43"/>
      <c r="D62" s="38"/>
      <c r="E62" s="38"/>
      <c r="F62" s="38"/>
      <c r="G62" s="39"/>
      <c r="H62" s="42"/>
      <c r="I62" s="43"/>
      <c r="J62" s="43">
        <f>MAX(J63-SUM(J60:O60))</f>
        <v>977660.92855144339</v>
      </c>
      <c r="K62" s="43"/>
      <c r="L62" s="43"/>
      <c r="M62" s="43"/>
      <c r="N62" s="43"/>
      <c r="O62" s="43"/>
      <c r="P62" s="43">
        <f>MAX(P63-SUM(P60:T60))</f>
        <v>1158622.5022996143</v>
      </c>
      <c r="Q62" s="43"/>
      <c r="R62" s="43"/>
      <c r="S62" s="43"/>
      <c r="T62" s="43"/>
      <c r="U62" s="43">
        <f t="shared" ref="U62" si="161">MAX(U63-SUM(U60:Y60))</f>
        <v>1189132.7327792828</v>
      </c>
      <c r="V62" s="43"/>
      <c r="W62" s="43"/>
      <c r="X62" s="43"/>
      <c r="Y62" s="43">
        <f t="shared" ref="Y62" si="162">MAX(Y63-SUM(Y60:AC60))</f>
        <v>1649323.3739251087</v>
      </c>
    </row>
    <row r="63" spans="1:25" ht="16" thickBot="1" x14ac:dyDescent="0.35">
      <c r="A63" s="19" t="s">
        <v>24</v>
      </c>
      <c r="B63" s="45">
        <f>IF(B64=1,IF(0-B60&lt;$C56,$B56,0),IF(0-MAX(B60,B59)&lt;$C56,$B56,0))</f>
        <v>1761831</v>
      </c>
      <c r="C63" s="46">
        <f>IF(C64=1,IF(B61-C60&lt;$C56,$B56,0),IF(B61-MAX(C60,C59)&lt;$C56,$B56,0))</f>
        <v>0</v>
      </c>
      <c r="D63" s="46">
        <f t="shared" ref="D63" si="163">IF(D64=1,IF(C61-D60&lt;$C56,$B56,0),IF(C61-MAX(D60,D59)&lt;$C56,$B56,0))</f>
        <v>0</v>
      </c>
      <c r="E63" s="46">
        <f>IF(E64=1,IF(D61-E60&lt;$C56,$B56,0),IF(D61-MAX(E60,E59)&lt;$C56,$B56,0))</f>
        <v>0</v>
      </c>
      <c r="F63" s="46">
        <f t="shared" ref="F63" si="164">IF(F64=1,IF(E61-F60&lt;$C56,$B56,0),IF(E61-MAX(F60,F59)&lt;$C56,$B56,0))</f>
        <v>0</v>
      </c>
      <c r="G63" s="47">
        <f t="shared" ref="G63" si="165">IF(G64=1,IF(F61-G60&lt;$C56,$B56,0),IF(F61-MAX(G60,G59)&lt;$C56,$B56,0))</f>
        <v>0</v>
      </c>
      <c r="H63" s="45">
        <f t="shared" ref="H63" si="166">IF(H64=1,IF(G61-H60&lt;$C56,$B56,0),IF(G61-MAX(H60,H59)&lt;$C56,$B56,0))</f>
        <v>0</v>
      </c>
      <c r="I63" s="46">
        <f t="shared" ref="I63" si="167">IF(I64=1,IF(H61-I60&lt;$C56,$B56,0),IF(H61-MAX(I60,I59)&lt;$C56,$B56,0))</f>
        <v>0</v>
      </c>
      <c r="J63" s="46">
        <f t="shared" ref="J63" si="168">IF(J64=1,IF(I61-J60&lt;$C56,$B56,0),IF(I61-MAX(J60,J59)&lt;$C56,$B56,0))</f>
        <v>1761831</v>
      </c>
      <c r="K63" s="46">
        <f t="shared" ref="K63" si="169">IF(K64=1,IF(J61-K60&lt;$C56,$B56,0),IF(J61-MAX(K60,K59)&lt;$C56,$B56,0))</f>
        <v>0</v>
      </c>
      <c r="L63" s="46">
        <f t="shared" ref="L63" si="170">IF(L64=1,IF(K61-L60&lt;$C56,$B56,0),IF(K61-MAX(L60,L59)&lt;$C56,$B56,0))</f>
        <v>0</v>
      </c>
      <c r="M63" s="46">
        <f t="shared" ref="M63" si="171">IF(M64=1,IF(L61-M60&lt;$C56,$B56,0),IF(L61-MAX(M60,M59)&lt;$C56,$B56,0))</f>
        <v>0</v>
      </c>
      <c r="N63" s="46">
        <f t="shared" ref="N63" si="172">IF(N64=1,IF(M61-N60&lt;$C56,$B56,0),IF(M61-MAX(N60,N59)&lt;$C56,$B56,0))</f>
        <v>0</v>
      </c>
      <c r="O63" s="46">
        <f t="shared" ref="O63" si="173">IF(O64=1,IF(N61-O60&lt;$C56,$B56,0),IF(N61-MAX(O60,O59)&lt;$C56,$B56,0))</f>
        <v>0</v>
      </c>
      <c r="P63" s="46">
        <f t="shared" ref="P63" si="174">IF(P64=1,IF(O61-P60&lt;$C56,$B56,0),IF(O61-MAX(P60,P59)&lt;$C56,$B56,0))</f>
        <v>1761831</v>
      </c>
      <c r="Q63" s="46">
        <f t="shared" ref="Q63" si="175">IF(Q64=1,IF(P61-Q60&lt;$C56,$B56,0),IF(P61-MAX(Q60,Q59)&lt;$C56,$B56,0))</f>
        <v>0</v>
      </c>
      <c r="R63" s="46">
        <f t="shared" ref="R63" si="176">IF(R64=1,IF(Q61-R60&lt;$C56,$B56,0),IF(Q61-MAX(R60,R59)&lt;$C56,$B56,0))</f>
        <v>0</v>
      </c>
      <c r="S63" s="46">
        <f t="shared" ref="S63" si="177">IF(S64=1,IF(R61-S60&lt;$C56,$B56,0),IF(R61-MAX(S60,S59)&lt;$C56,$B56,0))</f>
        <v>0</v>
      </c>
      <c r="T63" s="46">
        <f t="shared" ref="T63" si="178">IF(T64=1,IF(S61-T60&lt;$C56,$B56,0),IF(S61-MAX(T60,T59)&lt;$C56,$B56,0))</f>
        <v>0</v>
      </c>
      <c r="U63" s="46">
        <f t="shared" ref="U63" si="179">IF(U64=1,IF(T61-U60&lt;$C56,$B56,0),IF(T61-MAX(U60,U59)&lt;$C56,$B56,0))</f>
        <v>1761831</v>
      </c>
      <c r="V63" s="46">
        <f t="shared" ref="V63" si="180">IF(V64=1,IF(U61-V60&lt;$C56,$B56,0),IF(U61-MAX(V60,V59)&lt;$C56,$B56,0))</f>
        <v>0</v>
      </c>
      <c r="W63" s="46">
        <f t="shared" ref="W63" si="181">IF(W64=1,IF(V61-W60&lt;$C56,$B56,0),IF(V61-MAX(W60,W59)&lt;$C56,$B56,0))</f>
        <v>0</v>
      </c>
      <c r="X63" s="46">
        <f t="shared" ref="X63" si="182">IF(X64=1,IF(W61-X60&lt;$C56,$B56,0),IF(W61-MAX(X60,X59)&lt;$C56,$B56,0))</f>
        <v>0</v>
      </c>
      <c r="Y63" s="47">
        <f t="shared" ref="Y63" si="183">IF(Y64=1,IF(X61-Y60&lt;$C56,$B56,0),IF(X61-MAX(Y60,Y59)&lt;$C56,$B56,0))</f>
        <v>1761831</v>
      </c>
    </row>
    <row r="64" spans="1:25" ht="16" hidden="1" thickBot="1" x14ac:dyDescent="0.35">
      <c r="A64" s="20" t="s">
        <v>25</v>
      </c>
      <c r="B64" s="22">
        <v>1</v>
      </c>
      <c r="C64" s="23">
        <v>1</v>
      </c>
      <c r="D64" s="22">
        <v>1</v>
      </c>
      <c r="E64" s="24">
        <v>1</v>
      </c>
      <c r="F64" s="24">
        <v>1</v>
      </c>
      <c r="G64" s="23">
        <v>1</v>
      </c>
      <c r="H64" s="33">
        <v>0</v>
      </c>
      <c r="I64" s="34">
        <v>0</v>
      </c>
      <c r="J64" s="34">
        <v>0</v>
      </c>
      <c r="K64" s="34">
        <v>0</v>
      </c>
      <c r="L64" s="34">
        <v>0</v>
      </c>
      <c r="M64" s="34">
        <v>0</v>
      </c>
      <c r="N64" s="34">
        <v>0</v>
      </c>
      <c r="O64" s="34">
        <v>0</v>
      </c>
      <c r="P64" s="34">
        <v>0</v>
      </c>
      <c r="Q64" s="34">
        <v>0</v>
      </c>
      <c r="R64" s="34">
        <v>0</v>
      </c>
      <c r="S64" s="34">
        <v>0</v>
      </c>
      <c r="T64" s="34">
        <v>0</v>
      </c>
      <c r="U64" s="34">
        <v>0</v>
      </c>
      <c r="V64" s="34">
        <v>0</v>
      </c>
      <c r="W64" s="34">
        <v>0</v>
      </c>
      <c r="X64" s="34">
        <v>0</v>
      </c>
      <c r="Y64" s="35">
        <v>0</v>
      </c>
    </row>
  </sheetData>
  <mergeCells count="10">
    <mergeCell ref="H44:Y44"/>
    <mergeCell ref="B57:G57"/>
    <mergeCell ref="H57:Y57"/>
    <mergeCell ref="H3:Y3"/>
    <mergeCell ref="B17:G17"/>
    <mergeCell ref="H17:Y17"/>
    <mergeCell ref="B31:G31"/>
    <mergeCell ref="H31:Y31"/>
    <mergeCell ref="B3:G3"/>
    <mergeCell ref="B44:G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E09A-8653-45D5-8AD1-51B4FC2D322C}">
  <dimension ref="A1:J110"/>
  <sheetViews>
    <sheetView workbookViewId="0">
      <selection activeCell="C18" sqref="C18"/>
    </sheetView>
  </sheetViews>
  <sheetFormatPr defaultRowHeight="14.5" x14ac:dyDescent="0.35"/>
  <cols>
    <col min="1" max="1" width="18.26953125" bestFit="1" customWidth="1"/>
    <col min="2" max="2" width="12.54296875" bestFit="1" customWidth="1"/>
    <col min="3" max="3" width="12.08984375" bestFit="1" customWidth="1"/>
    <col min="4" max="5" width="11.7265625" bestFit="1" customWidth="1"/>
    <col min="6" max="8" width="12.90625" bestFit="1" customWidth="1"/>
    <col min="9" max="10" width="11" bestFit="1" customWidth="1"/>
  </cols>
  <sheetData>
    <row r="1" spans="1:10" x14ac:dyDescent="0.35">
      <c r="A1" s="17" t="s">
        <v>26</v>
      </c>
      <c r="B1" s="17" t="s">
        <v>28</v>
      </c>
      <c r="C1" s="17" t="s">
        <v>35</v>
      </c>
      <c r="E1" s="7"/>
      <c r="F1" s="7"/>
      <c r="G1" s="7"/>
    </row>
    <row r="2" spans="1:10" x14ac:dyDescent="0.35">
      <c r="A2" s="18">
        <v>14</v>
      </c>
      <c r="B2" s="18">
        <f>_xlfn.CEILING.MATH('Lot Size'!J2)</f>
        <v>278184</v>
      </c>
      <c r="C2" s="18" t="s">
        <v>38</v>
      </c>
      <c r="E2" s="7"/>
      <c r="F2" s="7"/>
      <c r="G2" s="7"/>
    </row>
    <row r="3" spans="1:10" ht="15.5" x14ac:dyDescent="0.35">
      <c r="A3" s="28" t="s">
        <v>41</v>
      </c>
      <c r="B3" s="27">
        <v>0</v>
      </c>
      <c r="C3" s="27">
        <v>1</v>
      </c>
      <c r="D3" s="27">
        <v>2</v>
      </c>
      <c r="E3" s="27">
        <v>3</v>
      </c>
      <c r="F3" s="27">
        <v>4</v>
      </c>
      <c r="G3" s="27">
        <v>5</v>
      </c>
      <c r="H3" s="27">
        <v>6</v>
      </c>
      <c r="I3" s="27">
        <v>7</v>
      </c>
      <c r="J3" s="27">
        <v>8</v>
      </c>
    </row>
    <row r="4" spans="1:10" ht="15.5" x14ac:dyDescent="0.35">
      <c r="A4" s="28" t="s">
        <v>30</v>
      </c>
      <c r="B4" s="25"/>
      <c r="C4" s="25">
        <v>278184</v>
      </c>
      <c r="D4" s="25">
        <v>0</v>
      </c>
      <c r="E4" s="25">
        <v>0</v>
      </c>
      <c r="F4" s="25">
        <v>0</v>
      </c>
      <c r="G4" s="25">
        <v>0</v>
      </c>
      <c r="H4" s="25">
        <v>0</v>
      </c>
      <c r="I4" s="25">
        <v>0</v>
      </c>
      <c r="J4" s="25">
        <v>0</v>
      </c>
    </row>
    <row r="5" spans="1:10" ht="15.5" x14ac:dyDescent="0.35">
      <c r="A5" s="28" t="s">
        <v>31</v>
      </c>
      <c r="B5" s="25"/>
      <c r="C5" s="25"/>
      <c r="D5" s="25"/>
      <c r="E5" s="25"/>
      <c r="F5" s="25"/>
      <c r="G5" s="25"/>
      <c r="H5" s="25"/>
      <c r="I5" s="25"/>
      <c r="J5" s="25"/>
    </row>
    <row r="6" spans="1:10" ht="15.5" x14ac:dyDescent="0.35">
      <c r="A6" s="28" t="s">
        <v>32</v>
      </c>
      <c r="B6" s="26" cm="1">
        <f t="array" ref="B6">[1]!RANDOM(0.2,0.5,,1)*B2</f>
        <v>74331.349859333044</v>
      </c>
      <c r="C6" s="26">
        <f>B6+C8-C4+C5</f>
        <v>74331.349859333015</v>
      </c>
      <c r="D6" s="26">
        <f t="shared" ref="D6:J6" si="0">C6+D8-D4+D5</f>
        <v>74331.349859333015</v>
      </c>
      <c r="E6" s="26">
        <f t="shared" si="0"/>
        <v>74331.349859333015</v>
      </c>
      <c r="F6" s="26">
        <f t="shared" si="0"/>
        <v>74331.349859333015</v>
      </c>
      <c r="G6" s="26">
        <f t="shared" si="0"/>
        <v>74331.349859333015</v>
      </c>
      <c r="H6" s="26">
        <f t="shared" si="0"/>
        <v>74331.349859333015</v>
      </c>
      <c r="I6" s="26">
        <f t="shared" si="0"/>
        <v>74331.349859333015</v>
      </c>
      <c r="J6" s="26">
        <f t="shared" si="0"/>
        <v>74331.349859333015</v>
      </c>
    </row>
    <row r="7" spans="1:10" ht="15.5" x14ac:dyDescent="0.35">
      <c r="A7" s="28" t="s">
        <v>33</v>
      </c>
      <c r="B7" s="26"/>
      <c r="C7" s="26">
        <f>MAX(C4-B6-C5,0)</f>
        <v>203852.65014066696</v>
      </c>
      <c r="D7" s="26"/>
      <c r="E7" s="26"/>
      <c r="F7" s="26"/>
      <c r="G7" s="26"/>
      <c r="H7" s="26"/>
      <c r="I7" s="26"/>
      <c r="J7" s="26"/>
    </row>
    <row r="8" spans="1:10" ht="15.5" x14ac:dyDescent="0.35">
      <c r="A8" s="28" t="s">
        <v>34</v>
      </c>
      <c r="B8" s="26"/>
      <c r="C8" s="26">
        <f>IF(C7&gt;0, $B2,0)</f>
        <v>278184</v>
      </c>
      <c r="D8" s="26"/>
      <c r="E8" s="26"/>
      <c r="F8" s="26"/>
      <c r="G8" s="26"/>
      <c r="H8" s="26"/>
      <c r="I8" s="26"/>
      <c r="J8" s="26"/>
    </row>
    <row r="11" spans="1:10" x14ac:dyDescent="0.35">
      <c r="A11" s="17" t="s">
        <v>26</v>
      </c>
      <c r="B11" s="17" t="s">
        <v>28</v>
      </c>
      <c r="C11" s="17" t="s">
        <v>35</v>
      </c>
      <c r="D11" s="7"/>
      <c r="E11" s="7"/>
      <c r="F11" s="7"/>
      <c r="G11" s="7"/>
    </row>
    <row r="12" spans="1:10" x14ac:dyDescent="0.35">
      <c r="A12" s="18">
        <v>16</v>
      </c>
      <c r="B12" s="18">
        <f>_xlfn.CEILING.MATH('Lot Size'!J3)</f>
        <v>3338205</v>
      </c>
      <c r="C12" s="18" t="s">
        <v>38</v>
      </c>
      <c r="D12" s="7"/>
      <c r="E12" s="7"/>
      <c r="F12" s="7"/>
      <c r="G12" s="7"/>
    </row>
    <row r="13" spans="1:10" ht="15.5" x14ac:dyDescent="0.35">
      <c r="A13" s="28" t="s">
        <v>41</v>
      </c>
      <c r="B13" s="27">
        <v>0</v>
      </c>
      <c r="C13" s="27">
        <v>1</v>
      </c>
      <c r="D13" s="27">
        <v>2</v>
      </c>
      <c r="E13" s="27">
        <v>3</v>
      </c>
      <c r="F13" s="27">
        <v>4</v>
      </c>
      <c r="G13" s="27">
        <v>5</v>
      </c>
      <c r="H13" s="27">
        <v>6</v>
      </c>
      <c r="I13" s="27">
        <v>7</v>
      </c>
      <c r="J13" s="27">
        <v>8</v>
      </c>
    </row>
    <row r="14" spans="1:10" ht="15.5" x14ac:dyDescent="0.35">
      <c r="A14" s="28" t="s">
        <v>30</v>
      </c>
      <c r="B14" s="25"/>
      <c r="C14" s="25">
        <f>B12</f>
        <v>3338205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</row>
    <row r="15" spans="1:10" ht="15.5" x14ac:dyDescent="0.35">
      <c r="A15" s="28" t="s">
        <v>31</v>
      </c>
      <c r="B15" s="25"/>
      <c r="C15" s="25"/>
      <c r="D15" s="25"/>
      <c r="E15" s="25"/>
      <c r="F15" s="25"/>
      <c r="G15" s="25"/>
      <c r="H15" s="25"/>
      <c r="I15" s="25"/>
      <c r="J15" s="25"/>
    </row>
    <row r="16" spans="1:10" ht="15.5" x14ac:dyDescent="0.35">
      <c r="A16" s="28" t="s">
        <v>32</v>
      </c>
      <c r="B16" s="26" cm="1">
        <f t="array" ref="B16">[1]!RANDOM(0.2,0.5,,1)*B12</f>
        <v>891975.39670568716</v>
      </c>
      <c r="C16" s="26">
        <f>B16+C18-C14+C15</f>
        <v>891975.39670568705</v>
      </c>
      <c r="D16" s="26">
        <f t="shared" ref="D16:J16" si="1">C16+D18-D14+D15</f>
        <v>891975.39670568705</v>
      </c>
      <c r="E16" s="26">
        <f t="shared" si="1"/>
        <v>891975.39670568705</v>
      </c>
      <c r="F16" s="26">
        <f t="shared" si="1"/>
        <v>891975.39670568705</v>
      </c>
      <c r="G16" s="26">
        <f t="shared" si="1"/>
        <v>891975.39670568705</v>
      </c>
      <c r="H16" s="26">
        <f t="shared" si="1"/>
        <v>891975.39670568705</v>
      </c>
      <c r="I16" s="26">
        <f t="shared" si="1"/>
        <v>891975.39670568705</v>
      </c>
      <c r="J16" s="26">
        <f t="shared" si="1"/>
        <v>891975.39670568705</v>
      </c>
    </row>
    <row r="17" spans="1:10" ht="15.5" x14ac:dyDescent="0.35">
      <c r="A17" s="28" t="s">
        <v>33</v>
      </c>
      <c r="B17" s="26"/>
      <c r="C17" s="26">
        <f>MAX(C14-B16-C15,0)</f>
        <v>2446229.603294313</v>
      </c>
      <c r="D17" s="26"/>
      <c r="E17" s="26"/>
      <c r="F17" s="26"/>
      <c r="G17" s="26"/>
      <c r="H17" s="26"/>
      <c r="I17" s="26"/>
      <c r="J17" s="26"/>
    </row>
    <row r="18" spans="1:10" ht="15.5" x14ac:dyDescent="0.35">
      <c r="A18" s="28" t="s">
        <v>34</v>
      </c>
      <c r="B18" s="26"/>
      <c r="C18" s="26">
        <f>IF(C17&gt;0, $B12,0)</f>
        <v>3338205</v>
      </c>
      <c r="D18" s="26"/>
      <c r="E18" s="26"/>
      <c r="F18" s="26"/>
      <c r="G18" s="26"/>
      <c r="H18" s="26"/>
      <c r="I18" s="26"/>
      <c r="J18" s="26"/>
    </row>
    <row r="22" spans="1:10" x14ac:dyDescent="0.35">
      <c r="A22" s="17" t="s">
        <v>26</v>
      </c>
      <c r="B22" s="17" t="s">
        <v>28</v>
      </c>
      <c r="C22" s="17" t="s">
        <v>35</v>
      </c>
      <c r="D22" s="7"/>
      <c r="E22" s="7"/>
      <c r="F22" s="7"/>
      <c r="G22" s="7"/>
    </row>
    <row r="23" spans="1:10" x14ac:dyDescent="0.35">
      <c r="A23" s="18">
        <v>18</v>
      </c>
      <c r="B23" s="18">
        <f>_xlfn.CEILING.MATH('Lot Size'!J4)</f>
        <v>1390919</v>
      </c>
      <c r="C23" s="18" t="s">
        <v>38</v>
      </c>
      <c r="D23" s="7"/>
      <c r="E23" s="7"/>
      <c r="F23" s="7"/>
      <c r="G23" s="7"/>
    </row>
    <row r="24" spans="1:10" ht="15.5" x14ac:dyDescent="0.35">
      <c r="A24" s="28" t="s">
        <v>41</v>
      </c>
      <c r="B24" s="27">
        <v>0</v>
      </c>
      <c r="C24" s="27">
        <v>1</v>
      </c>
      <c r="D24" s="27">
        <v>2</v>
      </c>
      <c r="E24" s="27">
        <v>3</v>
      </c>
      <c r="F24" s="27">
        <v>4</v>
      </c>
      <c r="G24" s="27">
        <v>5</v>
      </c>
      <c r="H24" s="27">
        <v>6</v>
      </c>
      <c r="I24" s="27">
        <v>7</v>
      </c>
      <c r="J24" s="27">
        <v>8</v>
      </c>
    </row>
    <row r="25" spans="1:10" ht="15.5" x14ac:dyDescent="0.35">
      <c r="A25" s="28" t="s">
        <v>30</v>
      </c>
      <c r="B25" s="25"/>
      <c r="C25" s="25">
        <f>B23</f>
        <v>1390919</v>
      </c>
      <c r="D25" s="25">
        <v>0</v>
      </c>
      <c r="E25" s="25">
        <v>0</v>
      </c>
      <c r="F25" s="25">
        <v>0</v>
      </c>
      <c r="G25" s="25">
        <v>0</v>
      </c>
      <c r="H25" s="25">
        <v>0</v>
      </c>
      <c r="I25" s="25">
        <v>0</v>
      </c>
      <c r="J25" s="25">
        <v>0</v>
      </c>
    </row>
    <row r="26" spans="1:10" ht="15.5" x14ac:dyDescent="0.35">
      <c r="A26" s="28" t="s">
        <v>31</v>
      </c>
      <c r="B26" s="25"/>
      <c r="C26" s="25"/>
      <c r="D26" s="25"/>
      <c r="E26" s="25"/>
      <c r="F26" s="25"/>
      <c r="G26" s="25"/>
      <c r="H26" s="25"/>
      <c r="I26" s="25"/>
      <c r="J26" s="25"/>
    </row>
    <row r="27" spans="1:10" ht="15.5" x14ac:dyDescent="0.35">
      <c r="A27" s="28" t="s">
        <v>32</v>
      </c>
      <c r="B27" s="26" cm="1">
        <f t="array" ref="B27">[1]!RANDOM(0.2,0.5,,1)*B23</f>
        <v>371656.48209456209</v>
      </c>
      <c r="C27" s="26">
        <f>B27+C29-C25+C26</f>
        <v>371656.48209456215</v>
      </c>
      <c r="D27" s="26">
        <f t="shared" ref="D27:J27" si="2">C27+D29-D25+D26</f>
        <v>371656.48209456215</v>
      </c>
      <c r="E27" s="26">
        <f t="shared" si="2"/>
        <v>371656.48209456215</v>
      </c>
      <c r="F27" s="26">
        <f t="shared" si="2"/>
        <v>371656.48209456215</v>
      </c>
      <c r="G27" s="26">
        <f t="shared" si="2"/>
        <v>371656.48209456215</v>
      </c>
      <c r="H27" s="26">
        <f t="shared" si="2"/>
        <v>371656.48209456215</v>
      </c>
      <c r="I27" s="26">
        <f t="shared" si="2"/>
        <v>371656.48209456215</v>
      </c>
      <c r="J27" s="26">
        <f t="shared" si="2"/>
        <v>371656.48209456215</v>
      </c>
    </row>
    <row r="28" spans="1:10" ht="15.5" x14ac:dyDescent="0.35">
      <c r="A28" s="28" t="s">
        <v>33</v>
      </c>
      <c r="B28" s="26"/>
      <c r="C28" s="26">
        <f>MAX(C25-B27-C26,0)</f>
        <v>1019262.5179054379</v>
      </c>
      <c r="D28" s="26"/>
      <c r="E28" s="26"/>
      <c r="F28" s="26"/>
      <c r="G28" s="26"/>
      <c r="H28" s="26"/>
      <c r="I28" s="26"/>
      <c r="J28" s="26"/>
    </row>
    <row r="29" spans="1:10" ht="15.5" x14ac:dyDescent="0.35">
      <c r="A29" s="28" t="s">
        <v>34</v>
      </c>
      <c r="B29" s="26"/>
      <c r="C29" s="26">
        <f>IF(C28&gt;0, $B23,0)</f>
        <v>1390919</v>
      </c>
      <c r="D29" s="26"/>
      <c r="E29" s="26"/>
      <c r="F29" s="26"/>
      <c r="G29" s="26"/>
      <c r="H29" s="26"/>
      <c r="I29" s="26"/>
      <c r="J29" s="26"/>
    </row>
    <row r="33" spans="1:10" x14ac:dyDescent="0.35">
      <c r="A33" s="17" t="s">
        <v>26</v>
      </c>
      <c r="B33" s="17" t="s">
        <v>28</v>
      </c>
      <c r="C33" s="17" t="s">
        <v>35</v>
      </c>
      <c r="D33" s="7"/>
      <c r="E33" s="7"/>
      <c r="F33" s="7"/>
      <c r="G33" s="7"/>
    </row>
    <row r="34" spans="1:10" x14ac:dyDescent="0.35">
      <c r="A34" s="18">
        <v>20</v>
      </c>
      <c r="B34" s="18">
        <f>_xlfn.CEILING.MATH('Lot Size'!J5)</f>
        <v>2503654</v>
      </c>
      <c r="C34" s="18" t="s">
        <v>38</v>
      </c>
      <c r="D34" s="7"/>
      <c r="E34" s="7"/>
      <c r="F34" s="7"/>
      <c r="G34" s="7"/>
    </row>
    <row r="35" spans="1:10" ht="15.5" x14ac:dyDescent="0.35">
      <c r="A35" s="28" t="s">
        <v>41</v>
      </c>
      <c r="B35" s="27">
        <v>0</v>
      </c>
      <c r="C35" s="27">
        <v>1</v>
      </c>
      <c r="D35" s="27">
        <v>2</v>
      </c>
      <c r="E35" s="27">
        <v>3</v>
      </c>
      <c r="F35" s="27">
        <v>4</v>
      </c>
      <c r="G35" s="27">
        <v>5</v>
      </c>
      <c r="H35" s="27">
        <v>6</v>
      </c>
      <c r="I35" s="27">
        <v>7</v>
      </c>
      <c r="J35" s="27">
        <v>8</v>
      </c>
    </row>
    <row r="36" spans="1:10" ht="15.5" x14ac:dyDescent="0.35">
      <c r="A36" s="28" t="s">
        <v>30</v>
      </c>
      <c r="B36" s="25"/>
      <c r="C36" s="25">
        <f>B34</f>
        <v>2503654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</row>
    <row r="37" spans="1:10" ht="15.5" x14ac:dyDescent="0.35">
      <c r="A37" s="28" t="s">
        <v>31</v>
      </c>
      <c r="B37" s="25"/>
      <c r="C37" s="25"/>
      <c r="D37" s="25"/>
      <c r="E37" s="25"/>
      <c r="F37" s="25"/>
      <c r="G37" s="25"/>
      <c r="H37" s="25"/>
      <c r="I37" s="25"/>
      <c r="J37" s="25"/>
    </row>
    <row r="38" spans="1:10" ht="15.5" x14ac:dyDescent="0.35">
      <c r="A38" s="28" t="s">
        <v>32</v>
      </c>
      <c r="B38" s="26" cm="1">
        <f t="array" ref="B38">[1]!RANDOM(0.2,0.5,,1)*B34</f>
        <v>668981.61432979116</v>
      </c>
      <c r="C38" s="26">
        <f>B38+C40-C36+C37</f>
        <v>668981.61432979116</v>
      </c>
      <c r="D38" s="26">
        <f t="shared" ref="D38:J38" si="3">C38+D40-D36+D37</f>
        <v>668981.61432979116</v>
      </c>
      <c r="E38" s="26">
        <f t="shared" si="3"/>
        <v>668981.61432979116</v>
      </c>
      <c r="F38" s="26">
        <f t="shared" si="3"/>
        <v>668981.61432979116</v>
      </c>
      <c r="G38" s="26">
        <f t="shared" si="3"/>
        <v>668981.61432979116</v>
      </c>
      <c r="H38" s="26">
        <f t="shared" si="3"/>
        <v>668981.61432979116</v>
      </c>
      <c r="I38" s="26">
        <f t="shared" si="3"/>
        <v>668981.61432979116</v>
      </c>
      <c r="J38" s="26">
        <f t="shared" si="3"/>
        <v>668981.61432979116</v>
      </c>
    </row>
    <row r="39" spans="1:10" ht="15.5" x14ac:dyDescent="0.35">
      <c r="A39" s="28" t="s">
        <v>33</v>
      </c>
      <c r="B39" s="26"/>
      <c r="C39" s="26">
        <f>MAX(C36-B38-C37,0)</f>
        <v>1834672.3856702088</v>
      </c>
      <c r="D39" s="26"/>
      <c r="E39" s="26"/>
      <c r="F39" s="26"/>
      <c r="G39" s="26"/>
      <c r="H39" s="26"/>
      <c r="I39" s="26"/>
      <c r="J39" s="26"/>
    </row>
    <row r="40" spans="1:10" ht="15.5" x14ac:dyDescent="0.35">
      <c r="A40" s="28" t="s">
        <v>34</v>
      </c>
      <c r="B40" s="26"/>
      <c r="C40" s="26">
        <f>IF(C39&gt;0, $B34,0)</f>
        <v>2503654</v>
      </c>
      <c r="D40" s="26"/>
      <c r="E40" s="26"/>
      <c r="F40" s="26"/>
      <c r="G40" s="26"/>
      <c r="H40" s="26"/>
      <c r="I40" s="26"/>
      <c r="J40" s="26"/>
    </row>
    <row r="45" spans="1:10" x14ac:dyDescent="0.35">
      <c r="A45" s="17" t="s">
        <v>26</v>
      </c>
      <c r="B45" s="17" t="s">
        <v>28</v>
      </c>
      <c r="C45" s="17" t="s">
        <v>35</v>
      </c>
      <c r="D45" s="7"/>
      <c r="E45" s="7"/>
      <c r="F45" s="7"/>
      <c r="G45" s="7"/>
    </row>
    <row r="46" spans="1:10" x14ac:dyDescent="0.35">
      <c r="A46" s="18">
        <v>25</v>
      </c>
      <c r="B46" s="18">
        <f>_xlfn.CEILING.MATH('Lot Size'!J6)</f>
        <v>1761831</v>
      </c>
      <c r="C46" s="18" t="s">
        <v>38</v>
      </c>
      <c r="D46" s="7"/>
      <c r="E46" s="7"/>
      <c r="F46" s="7"/>
      <c r="G46" s="7"/>
    </row>
    <row r="47" spans="1:10" ht="15.5" x14ac:dyDescent="0.35">
      <c r="A47" s="28" t="s">
        <v>41</v>
      </c>
      <c r="B47" s="27">
        <v>0</v>
      </c>
      <c r="C47" s="27">
        <v>1</v>
      </c>
      <c r="D47" s="27">
        <v>2</v>
      </c>
      <c r="E47" s="27">
        <v>3</v>
      </c>
      <c r="F47" s="27">
        <v>4</v>
      </c>
      <c r="G47" s="27">
        <v>5</v>
      </c>
      <c r="H47" s="27">
        <v>6</v>
      </c>
      <c r="I47" s="27">
        <v>7</v>
      </c>
      <c r="J47" s="27">
        <v>8</v>
      </c>
    </row>
    <row r="48" spans="1:10" ht="15.5" x14ac:dyDescent="0.35">
      <c r="A48" s="28" t="s">
        <v>30</v>
      </c>
      <c r="B48" s="25"/>
      <c r="C48" s="25">
        <f>B46</f>
        <v>1761831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</row>
    <row r="49" spans="1:10" ht="15.5" x14ac:dyDescent="0.35">
      <c r="A49" s="28" t="s">
        <v>31</v>
      </c>
      <c r="B49" s="25"/>
      <c r="C49" s="25"/>
      <c r="D49" s="25"/>
      <c r="E49" s="25"/>
      <c r="F49" s="25"/>
      <c r="G49" s="25"/>
      <c r="H49" s="25"/>
      <c r="I49" s="25"/>
      <c r="J49" s="25"/>
    </row>
    <row r="50" spans="1:10" ht="15.5" x14ac:dyDescent="0.35">
      <c r="A50" s="28" t="s">
        <v>32</v>
      </c>
      <c r="B50" s="26" cm="1">
        <f t="array" ref="B50">[1]!RANDOM(0.2,0.5,,1)*B46</f>
        <v>470764.94857367279</v>
      </c>
      <c r="C50" s="26">
        <f>B50+C52-C48+C49</f>
        <v>470764.94857367268</v>
      </c>
      <c r="D50" s="26">
        <f t="shared" ref="D50:J50" si="4">C50+D52-D48+D49</f>
        <v>470764.94857367268</v>
      </c>
      <c r="E50" s="26">
        <f t="shared" si="4"/>
        <v>470764.94857367268</v>
      </c>
      <c r="F50" s="26">
        <f t="shared" si="4"/>
        <v>470764.94857367268</v>
      </c>
      <c r="G50" s="26">
        <f t="shared" si="4"/>
        <v>470764.94857367268</v>
      </c>
      <c r="H50" s="26">
        <f t="shared" si="4"/>
        <v>470764.94857367268</v>
      </c>
      <c r="I50" s="26">
        <f t="shared" si="4"/>
        <v>470764.94857367268</v>
      </c>
      <c r="J50" s="26">
        <f t="shared" si="4"/>
        <v>470764.94857367268</v>
      </c>
    </row>
    <row r="51" spans="1:10" ht="15.5" x14ac:dyDescent="0.35">
      <c r="A51" s="28" t="s">
        <v>33</v>
      </c>
      <c r="B51" s="26"/>
      <c r="C51" s="26">
        <f>MAX(C48-B50-C49,0)</f>
        <v>1291066.0514263273</v>
      </c>
      <c r="D51" s="26"/>
      <c r="E51" s="26"/>
      <c r="F51" s="26"/>
      <c r="G51" s="26"/>
      <c r="H51" s="26"/>
      <c r="I51" s="26"/>
      <c r="J51" s="26"/>
    </row>
    <row r="52" spans="1:10" ht="15.5" x14ac:dyDescent="0.35">
      <c r="A52" s="28" t="s">
        <v>34</v>
      </c>
      <c r="B52" s="26"/>
      <c r="C52" s="26">
        <f>IF(C51&gt;0, $B46,0)</f>
        <v>1761831</v>
      </c>
      <c r="D52" s="26"/>
      <c r="E52" s="26"/>
      <c r="F52" s="26"/>
      <c r="G52" s="26"/>
      <c r="H52" s="26"/>
      <c r="I52" s="26"/>
      <c r="J52" s="26"/>
    </row>
    <row r="57" spans="1:10" x14ac:dyDescent="0.35">
      <c r="A57" s="17" t="s">
        <v>36</v>
      </c>
      <c r="B57" s="17" t="s">
        <v>28</v>
      </c>
      <c r="C57" s="17" t="s">
        <v>35</v>
      </c>
      <c r="D57" s="17" t="s">
        <v>27</v>
      </c>
      <c r="E57" s="7"/>
      <c r="F57" s="7"/>
      <c r="G57" s="7"/>
    </row>
    <row r="58" spans="1:10" x14ac:dyDescent="0.35">
      <c r="A58" s="18" t="s">
        <v>37</v>
      </c>
      <c r="B58" s="29">
        <v>1000000</v>
      </c>
      <c r="C58" s="18" t="s">
        <v>43</v>
      </c>
      <c r="D58" s="29">
        <v>500000</v>
      </c>
      <c r="E58" s="7"/>
      <c r="F58" s="7"/>
      <c r="G58" s="7"/>
    </row>
    <row r="59" spans="1:10" ht="15.5" x14ac:dyDescent="0.35">
      <c r="A59" s="28" t="s">
        <v>41</v>
      </c>
      <c r="B59" s="27">
        <v>0</v>
      </c>
      <c r="C59" s="27">
        <v>1</v>
      </c>
      <c r="D59" s="27">
        <v>2</v>
      </c>
      <c r="E59" s="27">
        <v>3</v>
      </c>
      <c r="F59" s="27">
        <v>4</v>
      </c>
      <c r="G59" s="27">
        <v>5</v>
      </c>
      <c r="H59" s="27">
        <v>6</v>
      </c>
      <c r="I59" s="27">
        <v>7</v>
      </c>
      <c r="J59" s="27">
        <v>8</v>
      </c>
    </row>
    <row r="60" spans="1:10" ht="15.5" x14ac:dyDescent="0.35">
      <c r="A60" s="28" t="s">
        <v>30</v>
      </c>
      <c r="B60" s="25"/>
      <c r="C60" s="25">
        <f>SUM($C$52,$C$40,$C$29,$C$18,$C$8)</f>
        <v>9272793</v>
      </c>
      <c r="D60" s="25">
        <v>0</v>
      </c>
      <c r="E60" s="25">
        <v>0</v>
      </c>
      <c r="F60" s="25">
        <v>0</v>
      </c>
      <c r="G60" s="25">
        <v>0</v>
      </c>
      <c r="H60" s="25">
        <v>0</v>
      </c>
      <c r="I60" s="25">
        <v>0</v>
      </c>
      <c r="J60" s="25">
        <v>0</v>
      </c>
    </row>
    <row r="61" spans="1:10" ht="15.5" x14ac:dyDescent="0.35">
      <c r="A61" s="28" t="s">
        <v>31</v>
      </c>
      <c r="B61" s="25"/>
      <c r="C61" s="25">
        <v>6000000</v>
      </c>
      <c r="D61" s="25"/>
      <c r="E61" s="25">
        <v>4000000</v>
      </c>
      <c r="F61" s="25"/>
      <c r="G61" s="25"/>
      <c r="H61" s="25"/>
      <c r="I61" s="25"/>
      <c r="J61" s="25"/>
    </row>
    <row r="62" spans="1:10" ht="15.5" x14ac:dyDescent="0.35">
      <c r="A62" s="28" t="s">
        <v>32</v>
      </c>
      <c r="B62" s="26">
        <v>5000000</v>
      </c>
      <c r="C62" s="26">
        <f>B62+C64-C60+C61</f>
        <v>1727207</v>
      </c>
      <c r="D62" s="26">
        <f t="shared" ref="D62:J62" si="5">C62+D64-D60+D61</f>
        <v>1727207</v>
      </c>
      <c r="E62" s="26">
        <f t="shared" si="5"/>
        <v>5727207</v>
      </c>
      <c r="F62" s="26">
        <f t="shared" si="5"/>
        <v>5727207</v>
      </c>
      <c r="G62" s="26">
        <f t="shared" si="5"/>
        <v>5727207</v>
      </c>
      <c r="H62" s="26">
        <f t="shared" si="5"/>
        <v>5727207</v>
      </c>
      <c r="I62" s="26">
        <f t="shared" si="5"/>
        <v>5727207</v>
      </c>
      <c r="J62" s="26">
        <f t="shared" si="5"/>
        <v>5727207</v>
      </c>
    </row>
    <row r="63" spans="1:10" ht="15.5" x14ac:dyDescent="0.35">
      <c r="A63" s="28" t="s">
        <v>33</v>
      </c>
      <c r="B63" s="26"/>
      <c r="C63" s="26">
        <f>MAX(C60-B62-C61,0)</f>
        <v>0</v>
      </c>
      <c r="D63" s="26"/>
      <c r="E63" s="26"/>
      <c r="F63" s="26"/>
      <c r="G63" s="26"/>
      <c r="H63" s="26"/>
      <c r="I63" s="26"/>
      <c r="J63" s="26"/>
    </row>
    <row r="64" spans="1:10" ht="15.5" x14ac:dyDescent="0.35">
      <c r="A64" s="28" t="s">
        <v>34</v>
      </c>
      <c r="B64" s="26"/>
      <c r="C64" s="26">
        <f>IF(C63&gt;0, $B58,0)</f>
        <v>0</v>
      </c>
      <c r="D64" s="26"/>
      <c r="E64" s="26"/>
      <c r="F64" s="26"/>
      <c r="G64" s="26"/>
      <c r="H64" s="26"/>
      <c r="I64" s="26"/>
      <c r="J64" s="26"/>
    </row>
    <row r="67" spans="1:10" ht="15" thickBot="1" x14ac:dyDescent="0.4"/>
    <row r="68" spans="1:10" ht="20.5" thickBot="1" x14ac:dyDescent="0.4">
      <c r="A68" s="58" t="s">
        <v>42</v>
      </c>
      <c r="B68" s="59"/>
      <c r="C68" s="59"/>
      <c r="D68" s="59"/>
      <c r="E68" s="59"/>
      <c r="F68" s="59"/>
      <c r="G68" s="59"/>
      <c r="H68" s="59"/>
      <c r="I68" s="59"/>
      <c r="J68" s="60"/>
    </row>
    <row r="70" spans="1:10" x14ac:dyDescent="0.35">
      <c r="A70" s="17" t="s">
        <v>36</v>
      </c>
      <c r="B70" s="17" t="s">
        <v>28</v>
      </c>
      <c r="C70" s="17" t="s">
        <v>35</v>
      </c>
      <c r="D70" s="17" t="s">
        <v>27</v>
      </c>
      <c r="E70" s="7"/>
      <c r="F70" s="7"/>
      <c r="G70" s="7"/>
    </row>
    <row r="71" spans="1:10" x14ac:dyDescent="0.35">
      <c r="A71" s="18" t="s">
        <v>37</v>
      </c>
      <c r="B71" s="29">
        <v>1000000</v>
      </c>
      <c r="C71" s="18" t="s">
        <v>43</v>
      </c>
      <c r="D71" s="29">
        <v>500000</v>
      </c>
      <c r="E71" s="7"/>
      <c r="F71" s="7"/>
      <c r="G71" s="7"/>
    </row>
    <row r="72" spans="1:10" ht="15.5" x14ac:dyDescent="0.35">
      <c r="A72" s="28" t="s">
        <v>41</v>
      </c>
      <c r="B72" s="27">
        <v>0</v>
      </c>
      <c r="C72" s="27">
        <v>1</v>
      </c>
      <c r="D72" s="27">
        <v>2</v>
      </c>
      <c r="E72" s="27">
        <v>3</v>
      </c>
      <c r="F72" s="27">
        <v>4</v>
      </c>
      <c r="G72" s="27">
        <v>5</v>
      </c>
      <c r="H72" s="27">
        <v>6</v>
      </c>
      <c r="I72" s="27">
        <v>7</v>
      </c>
      <c r="J72" s="27">
        <v>8</v>
      </c>
    </row>
    <row r="73" spans="1:10" ht="15.5" x14ac:dyDescent="0.35">
      <c r="A73" s="28" t="s">
        <v>30</v>
      </c>
      <c r="B73" s="25"/>
      <c r="C73" s="25">
        <f>SUM($C$52,$C$40,$C$29,$C$18,$C$8)</f>
        <v>9272793</v>
      </c>
      <c r="D73" s="25">
        <v>0</v>
      </c>
      <c r="E73" s="25">
        <v>0</v>
      </c>
      <c r="F73" s="25">
        <v>0</v>
      </c>
      <c r="G73" s="25">
        <v>0</v>
      </c>
      <c r="H73" s="25">
        <v>0</v>
      </c>
      <c r="I73" s="25">
        <v>0</v>
      </c>
      <c r="J73" s="25">
        <v>0</v>
      </c>
    </row>
    <row r="74" spans="1:10" ht="15.5" x14ac:dyDescent="0.35">
      <c r="A74" s="28" t="s">
        <v>31</v>
      </c>
      <c r="B74" s="25"/>
      <c r="C74" s="25">
        <v>6000000</v>
      </c>
      <c r="D74" s="25"/>
      <c r="E74" s="25">
        <v>4000000</v>
      </c>
      <c r="F74" s="25"/>
      <c r="G74" s="25"/>
      <c r="H74" s="25"/>
      <c r="I74" s="25"/>
      <c r="J74" s="25"/>
    </row>
    <row r="75" spans="1:10" ht="15.5" x14ac:dyDescent="0.35">
      <c r="A75" s="28" t="s">
        <v>32</v>
      </c>
      <c r="B75" s="26">
        <v>4000000</v>
      </c>
      <c r="C75" s="26">
        <f>B75+C77-C73+C74</f>
        <v>727207</v>
      </c>
      <c r="D75" s="26">
        <f t="shared" ref="D75" si="6">C75+D77-D73+D74</f>
        <v>727207</v>
      </c>
      <c r="E75" s="26">
        <f t="shared" ref="E75" si="7">D75+E77-E73+E74</f>
        <v>4727207</v>
      </c>
      <c r="F75" s="26">
        <f t="shared" ref="F75" si="8">E75+F77-F73+F74</f>
        <v>4727207</v>
      </c>
      <c r="G75" s="26">
        <f t="shared" ref="G75" si="9">F75+G77-G73+G74</f>
        <v>4727207</v>
      </c>
      <c r="H75" s="26">
        <f t="shared" ref="H75" si="10">G75+H77-H73+H74</f>
        <v>4727207</v>
      </c>
      <c r="I75" s="26">
        <f t="shared" ref="I75" si="11">H75+I77-I73+I74</f>
        <v>4727207</v>
      </c>
      <c r="J75" s="26">
        <f t="shared" ref="J75" si="12">I75+J77-J73+J74</f>
        <v>4727207</v>
      </c>
    </row>
    <row r="76" spans="1:10" ht="15.5" x14ac:dyDescent="0.35">
      <c r="A76" s="28" t="s">
        <v>33</v>
      </c>
      <c r="B76" s="26"/>
      <c r="C76" s="26">
        <f>MAX(C73-B75-C74,0)</f>
        <v>0</v>
      </c>
      <c r="D76" s="26"/>
      <c r="E76" s="26"/>
      <c r="F76" s="26"/>
      <c r="G76" s="26"/>
      <c r="H76" s="26"/>
      <c r="I76" s="26"/>
      <c r="J76" s="26"/>
    </row>
    <row r="77" spans="1:10" ht="15.5" x14ac:dyDescent="0.35">
      <c r="A77" s="28" t="s">
        <v>34</v>
      </c>
      <c r="B77" s="26"/>
      <c r="C77" s="26"/>
      <c r="D77" s="26"/>
      <c r="E77" s="26"/>
      <c r="F77" s="26"/>
      <c r="G77" s="26"/>
      <c r="H77" s="26"/>
      <c r="I77" s="26"/>
      <c r="J77" s="26"/>
    </row>
    <row r="81" spans="1:10" x14ac:dyDescent="0.35">
      <c r="A81" s="17" t="s">
        <v>36</v>
      </c>
      <c r="B81" s="17" t="s">
        <v>28</v>
      </c>
      <c r="C81" s="17" t="s">
        <v>35</v>
      </c>
      <c r="D81" s="17" t="s">
        <v>27</v>
      </c>
      <c r="E81" s="7"/>
      <c r="F81" s="7"/>
      <c r="G81" s="7"/>
    </row>
    <row r="82" spans="1:10" x14ac:dyDescent="0.35">
      <c r="A82" s="18" t="s">
        <v>37</v>
      </c>
      <c r="B82" s="29">
        <v>1000000</v>
      </c>
      <c r="C82" s="18" t="s">
        <v>43</v>
      </c>
      <c r="D82" s="29">
        <v>500000</v>
      </c>
      <c r="E82" s="7"/>
      <c r="F82" s="7"/>
      <c r="G82" s="7"/>
    </row>
    <row r="83" spans="1:10" ht="15.5" x14ac:dyDescent="0.35">
      <c r="A83" s="28" t="s">
        <v>41</v>
      </c>
      <c r="B83" s="27">
        <v>0</v>
      </c>
      <c r="C83" s="27">
        <v>1</v>
      </c>
      <c r="D83" s="27">
        <v>2</v>
      </c>
      <c r="E83" s="27">
        <v>3</v>
      </c>
      <c r="F83" s="27">
        <v>4</v>
      </c>
      <c r="G83" s="27">
        <v>5</v>
      </c>
      <c r="H83" s="27">
        <v>6</v>
      </c>
      <c r="I83" s="27">
        <v>7</v>
      </c>
      <c r="J83" s="27">
        <v>8</v>
      </c>
    </row>
    <row r="84" spans="1:10" ht="15.5" x14ac:dyDescent="0.35">
      <c r="A84" s="28" t="s">
        <v>30</v>
      </c>
      <c r="B84" s="25"/>
      <c r="C84" s="48">
        <f>SUM($C$52,$C$40,$C$29,$C$18,$C$8)</f>
        <v>9272793</v>
      </c>
      <c r="D84" s="48">
        <f>C87</f>
        <v>272793</v>
      </c>
      <c r="E84" s="48">
        <f>D84</f>
        <v>272793</v>
      </c>
      <c r="F84" s="25">
        <v>0</v>
      </c>
      <c r="G84" s="25">
        <v>0</v>
      </c>
      <c r="H84" s="25">
        <v>0</v>
      </c>
      <c r="I84" s="25">
        <v>0</v>
      </c>
      <c r="J84" s="25">
        <v>0</v>
      </c>
    </row>
    <row r="85" spans="1:10" ht="15.5" x14ac:dyDescent="0.35">
      <c r="A85" s="28" t="s">
        <v>31</v>
      </c>
      <c r="B85" s="25"/>
      <c r="C85" s="25">
        <v>6000000</v>
      </c>
      <c r="D85" s="25"/>
      <c r="E85" s="25">
        <v>4000000</v>
      </c>
      <c r="F85" s="25"/>
      <c r="G85" s="25"/>
      <c r="H85" s="25"/>
      <c r="I85" s="25"/>
      <c r="J85" s="25"/>
    </row>
    <row r="86" spans="1:10" ht="15.5" x14ac:dyDescent="0.35">
      <c r="A86" s="28" t="s">
        <v>32</v>
      </c>
      <c r="B86" s="26">
        <v>3000000</v>
      </c>
      <c r="C86" s="26">
        <f>MAX(B86+C88-C84+C85,0)</f>
        <v>0</v>
      </c>
      <c r="D86" s="26">
        <f t="shared" ref="D86:J86" si="13">MAX(C86+D88-D84+D85,0)</f>
        <v>0</v>
      </c>
      <c r="E86" s="26">
        <f t="shared" si="13"/>
        <v>3727207</v>
      </c>
      <c r="F86" s="26">
        <f t="shared" si="13"/>
        <v>3727207</v>
      </c>
      <c r="G86" s="26">
        <f t="shared" si="13"/>
        <v>3727207</v>
      </c>
      <c r="H86" s="26">
        <f t="shared" si="13"/>
        <v>3727207</v>
      </c>
      <c r="I86" s="26">
        <f t="shared" si="13"/>
        <v>3727207</v>
      </c>
      <c r="J86" s="26">
        <f t="shared" si="13"/>
        <v>3727207</v>
      </c>
    </row>
    <row r="87" spans="1:10" ht="15.5" x14ac:dyDescent="0.35">
      <c r="A87" s="28" t="s">
        <v>33</v>
      </c>
      <c r="B87" s="26"/>
      <c r="C87" s="26">
        <f>MAX(C84-B86-C85,0)</f>
        <v>272793</v>
      </c>
      <c r="D87" s="26">
        <f t="shared" ref="D87:J87" si="14">MAX(D84-C86-D85,0)</f>
        <v>272793</v>
      </c>
      <c r="E87" s="26">
        <f t="shared" si="14"/>
        <v>0</v>
      </c>
      <c r="F87" s="26">
        <f t="shared" si="14"/>
        <v>0</v>
      </c>
      <c r="G87" s="26">
        <f t="shared" si="14"/>
        <v>0</v>
      </c>
      <c r="H87" s="26">
        <f t="shared" si="14"/>
        <v>0</v>
      </c>
      <c r="I87" s="26">
        <f t="shared" si="14"/>
        <v>0</v>
      </c>
      <c r="J87" s="26">
        <f t="shared" si="14"/>
        <v>0</v>
      </c>
    </row>
    <row r="88" spans="1:10" ht="15.5" x14ac:dyDescent="0.35">
      <c r="A88" s="28" t="s">
        <v>34</v>
      </c>
      <c r="B88" s="26"/>
      <c r="C88" s="26"/>
      <c r="D88" s="26"/>
      <c r="E88" s="26"/>
      <c r="F88" s="26"/>
      <c r="G88" s="26"/>
      <c r="H88" s="26"/>
      <c r="I88" s="26"/>
      <c r="J88" s="26"/>
    </row>
    <row r="92" spans="1:10" x14ac:dyDescent="0.35">
      <c r="A92" s="17" t="s">
        <v>36</v>
      </c>
      <c r="B92" s="17" t="s">
        <v>28</v>
      </c>
      <c r="C92" s="17" t="s">
        <v>35</v>
      </c>
      <c r="D92" s="17" t="s">
        <v>27</v>
      </c>
      <c r="E92" s="7"/>
      <c r="F92" s="7"/>
      <c r="G92" s="7"/>
    </row>
    <row r="93" spans="1:10" x14ac:dyDescent="0.35">
      <c r="A93" s="18" t="s">
        <v>37</v>
      </c>
      <c r="B93" s="29">
        <v>1000000</v>
      </c>
      <c r="C93" s="18" t="s">
        <v>43</v>
      </c>
      <c r="D93" s="29">
        <v>500000</v>
      </c>
      <c r="E93" s="7"/>
      <c r="F93" s="7"/>
      <c r="G93" s="7"/>
    </row>
    <row r="94" spans="1:10" ht="15.5" x14ac:dyDescent="0.35">
      <c r="A94" s="28" t="s">
        <v>41</v>
      </c>
      <c r="B94" s="27">
        <v>0</v>
      </c>
      <c r="C94" s="27">
        <v>1</v>
      </c>
      <c r="D94" s="27">
        <v>2</v>
      </c>
      <c r="E94" s="27">
        <v>3</v>
      </c>
      <c r="F94" s="27">
        <v>4</v>
      </c>
      <c r="G94" s="27">
        <v>5</v>
      </c>
      <c r="H94" s="27">
        <v>6</v>
      </c>
      <c r="I94" s="27">
        <v>7</v>
      </c>
      <c r="J94" s="27">
        <v>8</v>
      </c>
    </row>
    <row r="95" spans="1:10" ht="15.5" x14ac:dyDescent="0.35">
      <c r="A95" s="28" t="s">
        <v>30</v>
      </c>
      <c r="B95" s="25"/>
      <c r="C95" s="25">
        <f>SUM($C$52,$C$40,$C$29,$C$18,$C$8)</f>
        <v>9272793</v>
      </c>
      <c r="D95" s="25">
        <v>0</v>
      </c>
      <c r="E95" s="25">
        <v>0</v>
      </c>
      <c r="F95" s="25">
        <v>0</v>
      </c>
      <c r="G95" s="25">
        <v>0</v>
      </c>
      <c r="H95" s="25">
        <v>0</v>
      </c>
      <c r="I95" s="25">
        <v>0</v>
      </c>
      <c r="J95" s="25">
        <v>0</v>
      </c>
    </row>
    <row r="96" spans="1:10" ht="15.5" x14ac:dyDescent="0.35">
      <c r="A96" s="28" t="s">
        <v>31</v>
      </c>
      <c r="B96" s="25"/>
      <c r="C96" s="25">
        <v>6000000</v>
      </c>
      <c r="D96" s="25"/>
      <c r="E96" s="25"/>
      <c r="F96" s="25"/>
      <c r="G96" s="25"/>
      <c r="H96" s="25"/>
      <c r="I96" s="25"/>
      <c r="J96" s="25"/>
    </row>
    <row r="97" spans="1:10" ht="15.5" x14ac:dyDescent="0.35">
      <c r="A97" s="28" t="s">
        <v>32</v>
      </c>
      <c r="B97" s="26">
        <v>5000000</v>
      </c>
      <c r="C97" s="26">
        <f>B97+C99-C95+C96</f>
        <v>1727207</v>
      </c>
      <c r="D97" s="26">
        <f t="shared" ref="D97" si="15">C97+D99-D95+D96</f>
        <v>1727207</v>
      </c>
      <c r="E97" s="26">
        <f t="shared" ref="E97" si="16">D97+E99-E95+E96</f>
        <v>1727207</v>
      </c>
      <c r="F97" s="26">
        <f t="shared" ref="F97" si="17">E97+F99-F95+F96</f>
        <v>1727207</v>
      </c>
      <c r="G97" s="26">
        <f t="shared" ref="G97" si="18">F97+G99-G95+G96</f>
        <v>1727207</v>
      </c>
      <c r="H97" s="26">
        <f t="shared" ref="H97" si="19">G97+H99-H95+H96</f>
        <v>1727207</v>
      </c>
      <c r="I97" s="26">
        <f t="shared" ref="I97" si="20">H97+I99-I95+I96</f>
        <v>1727207</v>
      </c>
      <c r="J97" s="26">
        <f t="shared" ref="J97" si="21">I97+J99-J95+J96</f>
        <v>1727207</v>
      </c>
    </row>
    <row r="98" spans="1:10" ht="15.5" x14ac:dyDescent="0.35">
      <c r="A98" s="28" t="s">
        <v>33</v>
      </c>
      <c r="B98" s="26"/>
      <c r="C98" s="26">
        <f>MAX(C95-B97-C96,0)</f>
        <v>0</v>
      </c>
      <c r="D98" s="26"/>
      <c r="E98" s="26"/>
      <c r="F98" s="26"/>
      <c r="G98" s="26"/>
      <c r="H98" s="26"/>
      <c r="I98" s="26"/>
      <c r="J98" s="26"/>
    </row>
    <row r="99" spans="1:10" ht="15.5" x14ac:dyDescent="0.35">
      <c r="A99" s="28" t="s">
        <v>34</v>
      </c>
      <c r="B99" s="26"/>
      <c r="C99" s="26"/>
      <c r="D99" s="26"/>
      <c r="E99" s="26"/>
      <c r="F99" s="26"/>
      <c r="G99" s="26"/>
      <c r="H99" s="26"/>
      <c r="I99" s="26"/>
      <c r="J99" s="26"/>
    </row>
    <row r="103" spans="1:10" x14ac:dyDescent="0.35">
      <c r="A103" s="17" t="s">
        <v>36</v>
      </c>
      <c r="B103" s="17" t="s">
        <v>28</v>
      </c>
      <c r="C103" s="17" t="s">
        <v>35</v>
      </c>
      <c r="D103" s="17" t="s">
        <v>27</v>
      </c>
      <c r="E103" s="7"/>
      <c r="F103" s="7"/>
      <c r="G103" s="7"/>
    </row>
    <row r="104" spans="1:10" x14ac:dyDescent="0.35">
      <c r="A104" s="18" t="s">
        <v>37</v>
      </c>
      <c r="B104" s="29">
        <v>1000000</v>
      </c>
      <c r="C104" s="18" t="s">
        <v>43</v>
      </c>
      <c r="D104" s="29">
        <v>500000</v>
      </c>
      <c r="E104" s="7"/>
      <c r="F104" s="7"/>
      <c r="G104" s="7"/>
    </row>
    <row r="105" spans="1:10" ht="15.5" x14ac:dyDescent="0.35">
      <c r="A105" s="28" t="s">
        <v>41</v>
      </c>
      <c r="B105" s="27">
        <v>0</v>
      </c>
      <c r="C105" s="27">
        <v>1</v>
      </c>
      <c r="D105" s="27">
        <v>2</v>
      </c>
      <c r="E105" s="27">
        <v>3</v>
      </c>
      <c r="F105" s="27">
        <v>4</v>
      </c>
      <c r="G105" s="27">
        <v>5</v>
      </c>
      <c r="H105" s="27">
        <v>6</v>
      </c>
      <c r="I105" s="27">
        <v>7</v>
      </c>
      <c r="J105" s="27">
        <v>8</v>
      </c>
    </row>
    <row r="106" spans="1:10" ht="15.5" x14ac:dyDescent="0.35">
      <c r="A106" s="28" t="s">
        <v>30</v>
      </c>
      <c r="B106" s="25"/>
      <c r="C106" s="48">
        <f>SUM($C$52,$C$40,$C$29,$C$18,$C$8)</f>
        <v>9272793</v>
      </c>
      <c r="D106" s="48">
        <f>C106-B108-C107</f>
        <v>4272793</v>
      </c>
      <c r="E106" s="48">
        <f>D106-C108-D107</f>
        <v>4272793</v>
      </c>
      <c r="F106" s="48">
        <f>E106-D108-E107</f>
        <v>272793</v>
      </c>
      <c r="G106" s="25"/>
      <c r="H106" s="25"/>
      <c r="I106" s="25"/>
      <c r="J106" s="25"/>
    </row>
    <row r="107" spans="1:10" ht="15.5" x14ac:dyDescent="0.35">
      <c r="A107" s="28" t="s">
        <v>31</v>
      </c>
      <c r="B107" s="25"/>
      <c r="C107" s="25"/>
      <c r="D107" s="25"/>
      <c r="E107" s="25">
        <v>4000000</v>
      </c>
      <c r="F107" s="25"/>
      <c r="G107" s="25"/>
      <c r="H107" s="25"/>
      <c r="I107" s="25"/>
      <c r="J107" s="25"/>
    </row>
    <row r="108" spans="1:10" ht="15.5" x14ac:dyDescent="0.35">
      <c r="A108" s="28" t="s">
        <v>32</v>
      </c>
      <c r="B108" s="26">
        <v>5000000</v>
      </c>
      <c r="C108" s="26">
        <f>MAX(B108+C110-C106+C107,0)</f>
        <v>0</v>
      </c>
      <c r="D108" s="26">
        <f t="shared" ref="D108:E108" si="22">MAX(C108+D110-D106+D107,0)</f>
        <v>0</v>
      </c>
      <c r="E108" s="26">
        <f t="shared" si="22"/>
        <v>0</v>
      </c>
      <c r="F108" s="26">
        <f>MAX(E108+C110-F106+F107,0)</f>
        <v>727207</v>
      </c>
      <c r="G108" s="26">
        <f t="shared" ref="G108:J108" si="23">MAX(F108+D110-G106+G107,0)</f>
        <v>727207</v>
      </c>
      <c r="H108" s="26">
        <f t="shared" si="23"/>
        <v>727207</v>
      </c>
      <c r="I108" s="26">
        <f t="shared" si="23"/>
        <v>727207</v>
      </c>
      <c r="J108" s="26">
        <f t="shared" si="23"/>
        <v>727207</v>
      </c>
    </row>
    <row r="109" spans="1:10" ht="15.5" x14ac:dyDescent="0.35">
      <c r="A109" s="28" t="s">
        <v>33</v>
      </c>
      <c r="B109" s="26"/>
      <c r="C109" s="26">
        <f>MAX(C106-B108-C107,0)</f>
        <v>4272793</v>
      </c>
      <c r="D109" s="26">
        <f>MAX(D106-C108-D107,0)</f>
        <v>4272793</v>
      </c>
      <c r="E109" s="26">
        <f>MAX(E106-D108-E107,0)</f>
        <v>272793</v>
      </c>
      <c r="F109" s="26">
        <f>MAX(F106-E108-F107,0)</f>
        <v>272793</v>
      </c>
      <c r="G109" s="26"/>
      <c r="H109" s="26"/>
      <c r="I109" s="26"/>
      <c r="J109" s="26"/>
    </row>
    <row r="110" spans="1:10" ht="15.5" x14ac:dyDescent="0.35">
      <c r="A110" s="28" t="s">
        <v>34</v>
      </c>
      <c r="B110" s="26"/>
      <c r="C110" s="26">
        <v>1000000</v>
      </c>
      <c r="D110" s="26"/>
      <c r="E110" s="26"/>
      <c r="F110" s="26"/>
      <c r="G110" s="26"/>
      <c r="H110" s="26"/>
      <c r="I110" s="26"/>
      <c r="J110" s="26"/>
    </row>
  </sheetData>
  <mergeCells count="1">
    <mergeCell ref="A68:J6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F8705-11DA-4700-AA37-D556ADDF31ED}">
  <dimension ref="A1:Y34"/>
  <sheetViews>
    <sheetView tabSelected="1" zoomScale="85" zoomScaleNormal="85" workbookViewId="0"/>
  </sheetViews>
  <sheetFormatPr defaultRowHeight="14.5" x14ac:dyDescent="0.35"/>
  <cols>
    <col min="1" max="1" width="29.54296875" bestFit="1" customWidth="1"/>
    <col min="2" max="5" width="12.6328125" bestFit="1" customWidth="1"/>
    <col min="6" max="6" width="13.90625" bestFit="1" customWidth="1"/>
    <col min="7" max="7" width="16.1796875" bestFit="1" customWidth="1"/>
    <col min="8" max="8" width="13.26953125" bestFit="1" customWidth="1"/>
    <col min="9" max="9" width="5.1796875" bestFit="1" customWidth="1"/>
    <col min="10" max="10" width="11" bestFit="1" customWidth="1"/>
    <col min="11" max="11" width="11.81640625" bestFit="1" customWidth="1"/>
    <col min="12" max="12" width="10.81640625" bestFit="1" customWidth="1"/>
    <col min="13" max="13" width="5.1796875" bestFit="1" customWidth="1"/>
    <col min="14" max="14" width="5.7265625" bestFit="1" customWidth="1"/>
    <col min="15" max="15" width="8.1796875" bestFit="1" customWidth="1"/>
    <col min="16" max="16" width="11" bestFit="1" customWidth="1"/>
    <col min="17" max="20" width="5.1796875" bestFit="1" customWidth="1"/>
    <col min="21" max="21" width="11" bestFit="1" customWidth="1"/>
    <col min="22" max="24" width="5.1796875" bestFit="1" customWidth="1"/>
    <col min="25" max="25" width="11" bestFit="1" customWidth="1"/>
  </cols>
  <sheetData>
    <row r="1" spans="1:15" ht="15" x14ac:dyDescent="0.35">
      <c r="A1" s="54" t="s">
        <v>83</v>
      </c>
      <c r="K1" s="61" t="s">
        <v>79</v>
      </c>
      <c r="L1" s="61"/>
      <c r="M1" s="61"/>
      <c r="N1" s="61"/>
      <c r="O1" s="61"/>
    </row>
    <row r="2" spans="1:15" ht="17" x14ac:dyDescent="0.35">
      <c r="A2" s="28" t="s">
        <v>44</v>
      </c>
      <c r="B2" s="28" t="s">
        <v>19</v>
      </c>
      <c r="C2" s="28" t="s">
        <v>45</v>
      </c>
      <c r="D2" s="28" t="s">
        <v>46</v>
      </c>
      <c r="E2" s="28" t="s">
        <v>47</v>
      </c>
      <c r="F2" s="28" t="s">
        <v>48</v>
      </c>
      <c r="G2" s="28" t="s">
        <v>49</v>
      </c>
      <c r="H2" s="28" t="s">
        <v>50</v>
      </c>
      <c r="K2" s="62" t="s">
        <v>78</v>
      </c>
      <c r="L2" s="62" t="s">
        <v>77</v>
      </c>
      <c r="N2" s="62" t="s">
        <v>78</v>
      </c>
      <c r="O2" s="62" t="s">
        <v>80</v>
      </c>
    </row>
    <row r="3" spans="1:15" ht="17" x14ac:dyDescent="0.35">
      <c r="A3" s="28" t="s">
        <v>51</v>
      </c>
      <c r="B3" s="26">
        <f>'Lot Size'!J2</f>
        <v>278183.74914810824</v>
      </c>
      <c r="C3" s="26">
        <v>100</v>
      </c>
      <c r="D3" s="53" t="s">
        <v>59</v>
      </c>
      <c r="E3" s="26">
        <v>10</v>
      </c>
      <c r="F3" s="53">
        <f>E3/B3</f>
        <v>3.5947462893225601E-5</v>
      </c>
      <c r="G3" s="53">
        <f>(26*21/4)/'Lot Size'!$D$2</f>
        <v>1.8958333333333334E-5</v>
      </c>
      <c r="H3" s="53">
        <f>SUM(F3:G3)</f>
        <v>5.4905796226558933E-5</v>
      </c>
      <c r="K3" s="64" t="s">
        <v>51</v>
      </c>
      <c r="L3" s="63" t="s">
        <v>72</v>
      </c>
      <c r="N3" s="64">
        <v>100</v>
      </c>
      <c r="O3" s="38" t="s">
        <v>58</v>
      </c>
    </row>
    <row r="4" spans="1:15" ht="17" x14ac:dyDescent="0.35">
      <c r="A4" s="28" t="s">
        <v>52</v>
      </c>
      <c r="B4" s="26">
        <f>'Lot Size'!J3</f>
        <v>3338204.9897772991</v>
      </c>
      <c r="C4" s="26">
        <v>100</v>
      </c>
      <c r="D4" s="53" t="s">
        <v>59</v>
      </c>
      <c r="E4" s="26">
        <v>9</v>
      </c>
      <c r="F4" s="53">
        <f t="shared" ref="F4:F7" si="0">E4/B4</f>
        <v>2.6960597169919199E-6</v>
      </c>
      <c r="G4" s="53">
        <f>(26*21/4)/'Lot Size'!$D$2</f>
        <v>1.8958333333333334E-5</v>
      </c>
      <c r="H4" s="53">
        <f t="shared" ref="H4:H9" si="1">SUM(F4:G4)</f>
        <v>2.1654393050325254E-5</v>
      </c>
      <c r="K4" s="64" t="s">
        <v>52</v>
      </c>
      <c r="L4" s="63" t="s">
        <v>73</v>
      </c>
      <c r="N4" s="64">
        <v>200</v>
      </c>
      <c r="O4" s="38" t="s">
        <v>63</v>
      </c>
    </row>
    <row r="5" spans="1:15" ht="17" x14ac:dyDescent="0.35">
      <c r="A5" s="28" t="s">
        <v>53</v>
      </c>
      <c r="B5" s="26">
        <f>'Lot Size'!J4</f>
        <v>1390918.745740541</v>
      </c>
      <c r="C5" s="26">
        <v>100</v>
      </c>
      <c r="D5" s="53" t="s">
        <v>59</v>
      </c>
      <c r="E5" s="26">
        <v>8</v>
      </c>
      <c r="F5" s="53">
        <f t="shared" si="0"/>
        <v>5.7515940629160966E-6</v>
      </c>
      <c r="G5" s="53">
        <f>(26*21/4)/'Lot Size'!$D$2</f>
        <v>1.8958333333333334E-5</v>
      </c>
      <c r="H5" s="53">
        <f t="shared" si="1"/>
        <v>2.4709927396249432E-5</v>
      </c>
      <c r="K5" s="64" t="s">
        <v>53</v>
      </c>
      <c r="L5" s="63" t="s">
        <v>74</v>
      </c>
      <c r="N5" s="64">
        <v>300</v>
      </c>
      <c r="O5" s="38" t="s">
        <v>61</v>
      </c>
    </row>
    <row r="6" spans="1:15" ht="17" x14ac:dyDescent="0.35">
      <c r="A6" s="28" t="s">
        <v>54</v>
      </c>
      <c r="B6" s="26">
        <f>'Lot Size'!J5</f>
        <v>2503653.7423329744</v>
      </c>
      <c r="C6" s="26">
        <v>100</v>
      </c>
      <c r="D6" s="53" t="s">
        <v>59</v>
      </c>
      <c r="E6" s="26">
        <v>7</v>
      </c>
      <c r="F6" s="53">
        <f t="shared" si="0"/>
        <v>2.7959137805842132E-6</v>
      </c>
      <c r="G6" s="53">
        <f>(26*21/4)/'Lot Size'!$D$2</f>
        <v>1.8958333333333334E-5</v>
      </c>
      <c r="H6" s="53">
        <f t="shared" si="1"/>
        <v>2.1754247113917547E-5</v>
      </c>
      <c r="K6" s="64" t="s">
        <v>54</v>
      </c>
      <c r="L6" s="63" t="s">
        <v>75</v>
      </c>
    </row>
    <row r="7" spans="1:15" ht="17" x14ac:dyDescent="0.35">
      <c r="A7" s="28" t="s">
        <v>55</v>
      </c>
      <c r="B7" s="26">
        <f>'Lot Size'!J6</f>
        <v>1761830.4112713521</v>
      </c>
      <c r="C7" s="26">
        <v>100</v>
      </c>
      <c r="D7" s="53" t="s">
        <v>59</v>
      </c>
      <c r="E7" s="26">
        <v>6</v>
      </c>
      <c r="F7" s="53">
        <f t="shared" si="0"/>
        <v>3.4055491162003205E-6</v>
      </c>
      <c r="G7" s="53">
        <f>(26*21/4)/'Lot Size'!$D$2</f>
        <v>1.8958333333333334E-5</v>
      </c>
      <c r="H7" s="53">
        <f t="shared" si="1"/>
        <v>2.2363882449533655E-5</v>
      </c>
      <c r="K7" s="64" t="s">
        <v>55</v>
      </c>
      <c r="L7" s="63" t="s">
        <v>76</v>
      </c>
    </row>
    <row r="8" spans="1:15" ht="17" x14ac:dyDescent="0.35">
      <c r="A8" s="28" t="s">
        <v>56</v>
      </c>
      <c r="B8" s="26">
        <v>1000000</v>
      </c>
      <c r="C8" s="26">
        <v>200</v>
      </c>
      <c r="D8" s="53" t="s">
        <v>62</v>
      </c>
      <c r="E8" s="26">
        <v>20</v>
      </c>
      <c r="F8" s="53">
        <f>E8/B8</f>
        <v>2.0000000000000002E-5</v>
      </c>
      <c r="G8" s="53">
        <f>(26*21/2)/'Lot Size'!$D$2</f>
        <v>3.7916666666666669E-5</v>
      </c>
      <c r="H8" s="53">
        <f t="shared" si="1"/>
        <v>5.7916666666666674E-5</v>
      </c>
      <c r="K8" s="64" t="s">
        <v>56</v>
      </c>
      <c r="L8" s="63" t="s">
        <v>57</v>
      </c>
    </row>
    <row r="9" spans="1:15" ht="15.5" x14ac:dyDescent="0.35">
      <c r="A9" s="28" t="s">
        <v>56</v>
      </c>
      <c r="B9" s="26">
        <v>1000000</v>
      </c>
      <c r="C9" s="26">
        <v>300</v>
      </c>
      <c r="D9" s="53" t="s">
        <v>60</v>
      </c>
      <c r="E9" s="26">
        <v>24</v>
      </c>
      <c r="F9" s="53">
        <f>E9/B9</f>
        <v>2.4000000000000001E-5</v>
      </c>
      <c r="G9" s="53">
        <f>(26*21/4)/'Lot Size'!$D$2</f>
        <v>1.8958333333333334E-5</v>
      </c>
      <c r="H9" s="53">
        <f t="shared" si="1"/>
        <v>4.2958333333333338E-5</v>
      </c>
    </row>
    <row r="12" spans="1:15" ht="15" x14ac:dyDescent="0.35">
      <c r="A12" s="54" t="s">
        <v>81</v>
      </c>
    </row>
    <row r="13" spans="1:15" ht="15.5" x14ac:dyDescent="0.35">
      <c r="A13" s="28" t="s">
        <v>45</v>
      </c>
      <c r="B13" s="28" t="s">
        <v>64</v>
      </c>
      <c r="C13" s="28" t="s">
        <v>65</v>
      </c>
      <c r="D13" s="28" t="s">
        <v>66</v>
      </c>
      <c r="E13" s="28" t="s">
        <v>67</v>
      </c>
      <c r="F13" s="28" t="s">
        <v>68</v>
      </c>
    </row>
    <row r="14" spans="1:15" ht="15.5" x14ac:dyDescent="0.35">
      <c r="A14" s="28">
        <v>100</v>
      </c>
      <c r="B14" s="53">
        <f>H3</f>
        <v>5.4905796226558933E-5</v>
      </c>
      <c r="C14" s="53">
        <f>H4</f>
        <v>2.1654393050325254E-5</v>
      </c>
      <c r="D14" s="53">
        <f>H5</f>
        <v>2.4709927396249432E-5</v>
      </c>
      <c r="E14" s="53">
        <f>H6</f>
        <v>2.1754247113917547E-5</v>
      </c>
      <c r="F14" s="53">
        <f>H7</f>
        <v>2.2363882449533655E-5</v>
      </c>
      <c r="K14" s="65"/>
    </row>
    <row r="15" spans="1:15" ht="15.5" x14ac:dyDescent="0.35">
      <c r="A15" s="28">
        <v>200</v>
      </c>
      <c r="B15" s="53">
        <f>$H$8</f>
        <v>5.7916666666666674E-5</v>
      </c>
      <c r="C15" s="53">
        <f t="shared" ref="C15:F15" si="2">$H$8</f>
        <v>5.7916666666666674E-5</v>
      </c>
      <c r="D15" s="53">
        <f t="shared" si="2"/>
        <v>5.7916666666666674E-5</v>
      </c>
      <c r="E15" s="53">
        <f t="shared" si="2"/>
        <v>5.7916666666666674E-5</v>
      </c>
      <c r="F15" s="53">
        <f t="shared" si="2"/>
        <v>5.7916666666666674E-5</v>
      </c>
    </row>
    <row r="16" spans="1:15" ht="15.5" x14ac:dyDescent="0.35">
      <c r="A16" s="28">
        <v>300</v>
      </c>
      <c r="B16" s="53">
        <f>$H$9</f>
        <v>4.2958333333333338E-5</v>
      </c>
      <c r="C16" s="53">
        <f t="shared" ref="C16:F16" si="3">$H$9</f>
        <v>4.2958333333333338E-5</v>
      </c>
      <c r="D16" s="53">
        <f t="shared" si="3"/>
        <v>4.2958333333333338E-5</v>
      </c>
      <c r="E16" s="53">
        <f t="shared" si="3"/>
        <v>4.2958333333333338E-5</v>
      </c>
      <c r="F16" s="53">
        <f t="shared" si="3"/>
        <v>4.2958333333333338E-5</v>
      </c>
    </row>
    <row r="20" spans="1:25" ht="15" x14ac:dyDescent="0.35">
      <c r="A20" s="54" t="s">
        <v>24</v>
      </c>
    </row>
    <row r="21" spans="1:25" ht="15.5" x14ac:dyDescent="0.35">
      <c r="A21" s="28" t="s">
        <v>41</v>
      </c>
      <c r="B21" s="28">
        <v>1</v>
      </c>
      <c r="C21" s="28">
        <v>2</v>
      </c>
      <c r="D21" s="28">
        <v>3</v>
      </c>
      <c r="E21" s="28">
        <v>4</v>
      </c>
      <c r="F21" s="28">
        <v>5</v>
      </c>
      <c r="G21" s="28">
        <v>6</v>
      </c>
      <c r="H21" s="28">
        <v>7</v>
      </c>
      <c r="I21" s="28">
        <v>8</v>
      </c>
      <c r="J21" s="28">
        <v>9</v>
      </c>
      <c r="K21" s="28">
        <v>10</v>
      </c>
      <c r="L21" s="28">
        <v>11</v>
      </c>
      <c r="M21" s="28">
        <v>12</v>
      </c>
      <c r="N21" s="28">
        <v>13</v>
      </c>
      <c r="O21" s="28">
        <v>14</v>
      </c>
      <c r="P21" s="28">
        <v>15</v>
      </c>
      <c r="Q21" s="28">
        <v>16</v>
      </c>
      <c r="R21" s="28">
        <v>17</v>
      </c>
      <c r="S21" s="28">
        <v>18</v>
      </c>
      <c r="T21" s="28">
        <v>19</v>
      </c>
      <c r="U21" s="28">
        <v>20</v>
      </c>
      <c r="V21" s="28">
        <v>21</v>
      </c>
      <c r="W21" s="28">
        <v>22</v>
      </c>
      <c r="X21" s="28">
        <v>23</v>
      </c>
      <c r="Y21" s="28">
        <v>24</v>
      </c>
    </row>
    <row r="22" spans="1:25" ht="15.5" x14ac:dyDescent="0.35">
      <c r="A22" s="28" t="s">
        <v>64</v>
      </c>
      <c r="B22" s="26">
        <f>MS!B9</f>
        <v>278184</v>
      </c>
      <c r="C22" s="66">
        <f>MS!C9</f>
        <v>0</v>
      </c>
      <c r="D22" s="66">
        <f>MS!D9</f>
        <v>0</v>
      </c>
      <c r="E22" s="66">
        <f>MS!E9</f>
        <v>0</v>
      </c>
      <c r="F22" s="66">
        <f>MS!F9</f>
        <v>0</v>
      </c>
      <c r="G22" s="66">
        <f>MS!G9</f>
        <v>0</v>
      </c>
      <c r="H22" s="66">
        <f>MS!H9</f>
        <v>0</v>
      </c>
      <c r="I22" s="66">
        <f>MS!I9</f>
        <v>0</v>
      </c>
      <c r="J22" s="26">
        <f>MS!J9</f>
        <v>278184</v>
      </c>
      <c r="K22" s="66">
        <f>MS!K9</f>
        <v>0</v>
      </c>
      <c r="L22" s="66">
        <f>MS!L9</f>
        <v>0</v>
      </c>
      <c r="M22" s="66">
        <f>MS!M9</f>
        <v>0</v>
      </c>
      <c r="N22" s="66">
        <f>MS!N9</f>
        <v>0</v>
      </c>
      <c r="O22" s="66">
        <f>MS!O9</f>
        <v>0</v>
      </c>
      <c r="P22" s="26">
        <f>MS!P9</f>
        <v>278184</v>
      </c>
      <c r="Q22" s="66">
        <f>MS!Q9</f>
        <v>0</v>
      </c>
      <c r="R22" s="66">
        <f>MS!R9</f>
        <v>0</v>
      </c>
      <c r="S22" s="66">
        <f>MS!S9</f>
        <v>0</v>
      </c>
      <c r="T22" s="66">
        <f>MS!T9</f>
        <v>0</v>
      </c>
      <c r="U22" s="26">
        <f>MS!U9</f>
        <v>278184</v>
      </c>
      <c r="V22" s="66">
        <f>MS!V9</f>
        <v>0</v>
      </c>
      <c r="W22" s="66">
        <f>MS!W9</f>
        <v>0</v>
      </c>
      <c r="X22" s="66">
        <f>MS!X9</f>
        <v>0</v>
      </c>
      <c r="Y22" s="66">
        <f>MS!Y9</f>
        <v>0</v>
      </c>
    </row>
    <row r="23" spans="1:25" ht="15.5" x14ac:dyDescent="0.35">
      <c r="A23" s="28" t="s">
        <v>65</v>
      </c>
      <c r="B23" s="26">
        <f>MS!B23</f>
        <v>3338205</v>
      </c>
      <c r="C23" s="67">
        <f>MS!C23</f>
        <v>0</v>
      </c>
      <c r="D23" s="66">
        <f>MS!D23</f>
        <v>0</v>
      </c>
      <c r="E23" s="66">
        <f>MS!E23</f>
        <v>0</v>
      </c>
      <c r="F23" s="66">
        <f>MS!F23</f>
        <v>0</v>
      </c>
      <c r="G23" s="66">
        <f>MS!G23</f>
        <v>0</v>
      </c>
      <c r="H23" s="66">
        <f>MS!H23</f>
        <v>0</v>
      </c>
      <c r="I23" s="66">
        <f>MS!I23</f>
        <v>0</v>
      </c>
      <c r="J23" s="26">
        <f>MS!J23</f>
        <v>3338205</v>
      </c>
      <c r="K23" s="66">
        <f>MS!K23</f>
        <v>0</v>
      </c>
      <c r="L23" s="66">
        <f>MS!L23</f>
        <v>0</v>
      </c>
      <c r="M23" s="66">
        <f>MS!M23</f>
        <v>0</v>
      </c>
      <c r="N23" s="66">
        <f>MS!N23</f>
        <v>0</v>
      </c>
      <c r="O23" s="66">
        <f>MS!O23</f>
        <v>0</v>
      </c>
      <c r="P23" s="26">
        <f>MS!P23</f>
        <v>3338205</v>
      </c>
      <c r="Q23" s="66">
        <f>MS!Q23</f>
        <v>0</v>
      </c>
      <c r="R23" s="66">
        <f>MS!R23</f>
        <v>0</v>
      </c>
      <c r="S23" s="66">
        <f>MS!S23</f>
        <v>0</v>
      </c>
      <c r="T23" s="66">
        <f>MS!T23</f>
        <v>0</v>
      </c>
      <c r="U23" s="26">
        <f>MS!U23</f>
        <v>3338205</v>
      </c>
      <c r="V23" s="66">
        <f>MS!V23</f>
        <v>0</v>
      </c>
      <c r="W23" s="66">
        <f>MS!W23</f>
        <v>0</v>
      </c>
      <c r="X23" s="66">
        <f>MS!X23</f>
        <v>0</v>
      </c>
      <c r="Y23" s="66">
        <f>MS!Y23</f>
        <v>0</v>
      </c>
    </row>
    <row r="24" spans="1:25" ht="15.5" x14ac:dyDescent="0.35">
      <c r="A24" s="28" t="s">
        <v>66</v>
      </c>
      <c r="B24" s="26">
        <f>MS!B37</f>
        <v>1390919</v>
      </c>
      <c r="C24" s="66">
        <f>MS!C37</f>
        <v>0</v>
      </c>
      <c r="D24" s="66">
        <f>MS!D37</f>
        <v>0</v>
      </c>
      <c r="E24" s="66">
        <f>MS!E37</f>
        <v>0</v>
      </c>
      <c r="F24" s="66">
        <f>MS!F37</f>
        <v>0</v>
      </c>
      <c r="G24" s="66">
        <f>MS!G37</f>
        <v>0</v>
      </c>
      <c r="H24" s="66">
        <f>MS!H37</f>
        <v>0</v>
      </c>
      <c r="I24" s="66">
        <f>MS!I37</f>
        <v>0</v>
      </c>
      <c r="J24" s="26">
        <f>MS!J37</f>
        <v>1390919</v>
      </c>
      <c r="K24" s="66">
        <f>MS!K37</f>
        <v>0</v>
      </c>
      <c r="L24" s="66">
        <f>MS!L37</f>
        <v>0</v>
      </c>
      <c r="M24" s="66">
        <f>MS!M37</f>
        <v>0</v>
      </c>
      <c r="N24" s="66">
        <f>MS!N37</f>
        <v>0</v>
      </c>
      <c r="O24" s="66">
        <f>MS!O37</f>
        <v>0</v>
      </c>
      <c r="P24" s="26">
        <f>MS!P37</f>
        <v>1390919</v>
      </c>
      <c r="Q24" s="66">
        <f>MS!Q37</f>
        <v>0</v>
      </c>
      <c r="R24" s="66">
        <f>MS!R37</f>
        <v>0</v>
      </c>
      <c r="S24" s="66">
        <f>MS!S37</f>
        <v>0</v>
      </c>
      <c r="T24" s="66">
        <f>MS!T37</f>
        <v>0</v>
      </c>
      <c r="U24" s="26">
        <f>MS!U37</f>
        <v>1390919</v>
      </c>
      <c r="V24" s="66">
        <f>MS!V37</f>
        <v>0</v>
      </c>
      <c r="W24" s="66">
        <f>MS!W37</f>
        <v>0</v>
      </c>
      <c r="X24" s="66">
        <f>MS!X37</f>
        <v>0</v>
      </c>
      <c r="Y24" s="66">
        <f>MS!Y37</f>
        <v>0</v>
      </c>
    </row>
    <row r="25" spans="1:25" ht="15.5" x14ac:dyDescent="0.35">
      <c r="A25" s="28" t="s">
        <v>67</v>
      </c>
      <c r="B25" s="26">
        <f>MS!B50</f>
        <v>2503654</v>
      </c>
      <c r="C25" s="66">
        <f>MS!C50</f>
        <v>0</v>
      </c>
      <c r="D25" s="66">
        <f>MS!D50</f>
        <v>0</v>
      </c>
      <c r="E25" s="66">
        <f>MS!E50</f>
        <v>0</v>
      </c>
      <c r="F25" s="66">
        <f>MS!F50</f>
        <v>0</v>
      </c>
      <c r="G25" s="66">
        <f>MS!G50</f>
        <v>0</v>
      </c>
      <c r="H25" s="66">
        <f>MS!H50</f>
        <v>0</v>
      </c>
      <c r="I25" s="66">
        <f>MS!I50</f>
        <v>0</v>
      </c>
      <c r="J25" s="26">
        <f>MS!J50</f>
        <v>2503654</v>
      </c>
      <c r="K25" s="66">
        <f>MS!K50</f>
        <v>0</v>
      </c>
      <c r="L25" s="66">
        <f>MS!L50</f>
        <v>0</v>
      </c>
      <c r="M25" s="66">
        <f>MS!M50</f>
        <v>0</v>
      </c>
      <c r="N25" s="66">
        <f>MS!N50</f>
        <v>0</v>
      </c>
      <c r="O25" s="66">
        <f>MS!O50</f>
        <v>0</v>
      </c>
      <c r="P25" s="26">
        <f>MS!P50</f>
        <v>2503654</v>
      </c>
      <c r="Q25" s="66">
        <f>MS!Q50</f>
        <v>0</v>
      </c>
      <c r="R25" s="66">
        <f>MS!R50</f>
        <v>0</v>
      </c>
      <c r="S25" s="66">
        <f>MS!S50</f>
        <v>0</v>
      </c>
      <c r="T25" s="66">
        <f>MS!T50</f>
        <v>0</v>
      </c>
      <c r="U25" s="26">
        <f>MS!U50</f>
        <v>2503654</v>
      </c>
      <c r="V25" s="66">
        <f>MS!V50</f>
        <v>0</v>
      </c>
      <c r="W25" s="66">
        <f>MS!W50</f>
        <v>0</v>
      </c>
      <c r="X25" s="66">
        <f>MS!X50</f>
        <v>0</v>
      </c>
      <c r="Y25" s="66">
        <f>MS!Y50</f>
        <v>0</v>
      </c>
    </row>
    <row r="26" spans="1:25" ht="15.5" x14ac:dyDescent="0.35">
      <c r="A26" s="28" t="s">
        <v>68</v>
      </c>
      <c r="B26" s="26">
        <f>MS!B63</f>
        <v>1761831</v>
      </c>
      <c r="C26" s="66">
        <f>MS!C63</f>
        <v>0</v>
      </c>
      <c r="D26" s="66">
        <f>MS!D63</f>
        <v>0</v>
      </c>
      <c r="E26" s="66">
        <f>MS!E63</f>
        <v>0</v>
      </c>
      <c r="F26" s="66">
        <f>MS!F63</f>
        <v>0</v>
      </c>
      <c r="G26" s="66">
        <f>MS!G63</f>
        <v>0</v>
      </c>
      <c r="H26" s="66">
        <f>MS!H63</f>
        <v>0</v>
      </c>
      <c r="I26" s="66">
        <f>MS!I63</f>
        <v>0</v>
      </c>
      <c r="J26" s="26">
        <f>MS!J63</f>
        <v>1761831</v>
      </c>
      <c r="K26" s="66">
        <f>MS!K63</f>
        <v>0</v>
      </c>
      <c r="L26" s="66">
        <f>MS!L63</f>
        <v>0</v>
      </c>
      <c r="M26" s="66">
        <f>MS!M63</f>
        <v>0</v>
      </c>
      <c r="N26" s="66">
        <f>MS!N63</f>
        <v>0</v>
      </c>
      <c r="O26" s="66">
        <f>MS!O63</f>
        <v>0</v>
      </c>
      <c r="P26" s="26">
        <f>MS!P63</f>
        <v>1761831</v>
      </c>
      <c r="Q26" s="66">
        <f>MS!Q63</f>
        <v>0</v>
      </c>
      <c r="R26" s="66">
        <f>MS!R63</f>
        <v>0</v>
      </c>
      <c r="S26" s="66">
        <f>MS!S63</f>
        <v>0</v>
      </c>
      <c r="T26" s="66">
        <f>MS!T63</f>
        <v>0</v>
      </c>
      <c r="U26" s="26">
        <f>MS!U63</f>
        <v>1761831</v>
      </c>
      <c r="V26" s="66">
        <f>MS!V63</f>
        <v>0</v>
      </c>
      <c r="W26" s="66">
        <f>MS!W63</f>
        <v>0</v>
      </c>
      <c r="X26" s="66">
        <f>MS!X63</f>
        <v>0</v>
      </c>
      <c r="Y26" s="26">
        <f>MS!Y63</f>
        <v>1761831</v>
      </c>
    </row>
    <row r="30" spans="1:25" ht="15" x14ac:dyDescent="0.35">
      <c r="A30" s="54" t="s">
        <v>82</v>
      </c>
    </row>
    <row r="31" spans="1:25" ht="15.5" x14ac:dyDescent="0.35">
      <c r="A31" s="28" t="s">
        <v>41</v>
      </c>
      <c r="B31" s="28">
        <v>1</v>
      </c>
      <c r="C31" s="28">
        <v>2</v>
      </c>
      <c r="D31" s="28">
        <v>3</v>
      </c>
      <c r="E31" s="28">
        <v>4</v>
      </c>
      <c r="F31" s="28">
        <v>5</v>
      </c>
      <c r="G31" s="28">
        <v>6</v>
      </c>
      <c r="H31" s="28">
        <v>7</v>
      </c>
      <c r="I31" s="28">
        <v>8</v>
      </c>
      <c r="J31" s="28">
        <v>9</v>
      </c>
      <c r="K31" s="28">
        <v>10</v>
      </c>
      <c r="L31" s="28">
        <v>11</v>
      </c>
      <c r="M31" s="28">
        <v>12</v>
      </c>
      <c r="N31" s="28">
        <v>13</v>
      </c>
      <c r="O31" s="28">
        <v>14</v>
      </c>
      <c r="P31" s="28">
        <v>15</v>
      </c>
      <c r="Q31" s="28">
        <v>16</v>
      </c>
      <c r="R31" s="28">
        <v>17</v>
      </c>
      <c r="S31" s="28">
        <v>18</v>
      </c>
      <c r="T31" s="28">
        <v>19</v>
      </c>
      <c r="U31" s="28">
        <v>20</v>
      </c>
      <c r="V31" s="28">
        <v>21</v>
      </c>
      <c r="W31" s="28">
        <v>22</v>
      </c>
      <c r="X31" s="28">
        <v>23</v>
      </c>
      <c r="Y31" s="28">
        <v>24</v>
      </c>
    </row>
    <row r="32" spans="1:25" ht="15.5" x14ac:dyDescent="0.35">
      <c r="A32" s="28" t="s">
        <v>69</v>
      </c>
      <c r="B32" s="26" cm="1">
        <f t="array" ref="B32">SUMPRODUCT($B14:$F14,TRANSPOSE(B$22:B$26))</f>
        <v>215.7967138578064</v>
      </c>
      <c r="C32" s="66">
        <v>0</v>
      </c>
      <c r="D32" s="66">
        <v>0</v>
      </c>
      <c r="E32" s="66" cm="1">
        <f t="array" ref="E32">SUMPRODUCT($B14:$F14,TRANSPOSE(E$22:E$26))</f>
        <v>0</v>
      </c>
      <c r="F32" s="66" cm="1">
        <f t="array" ref="F32">SUMPRODUCT($B14:$F14,TRANSPOSE(F$22:F$26))</f>
        <v>0</v>
      </c>
      <c r="G32" s="66" cm="1">
        <f t="array" ref="G32">SUMPRODUCT($B14:$F14,TRANSPOSE(G$22:G$26))</f>
        <v>0</v>
      </c>
      <c r="H32" s="66" cm="1">
        <f t="array" ref="H32">SUMPRODUCT($B14:$F14,TRANSPOSE(H$22:H$26))</f>
        <v>0</v>
      </c>
      <c r="I32" s="66" cm="1">
        <f t="array" ref="I32">SUMPRODUCT($B14:$F14,TRANSPOSE(I$22:I$26))</f>
        <v>0</v>
      </c>
      <c r="J32" s="26" cm="1">
        <f t="array" ref="J32">SUMPRODUCT($B14:$F14,TRANSPOSE(J$22:J$26))</f>
        <v>215.7967138578064</v>
      </c>
      <c r="K32" s="66" cm="1">
        <f t="array" ref="K32">SUMPRODUCT($B14:$F14,TRANSPOSE(K$22:K$26))</f>
        <v>0</v>
      </c>
      <c r="L32" s="66" cm="1">
        <f t="array" ref="L32">SUMPRODUCT($B14:$F14,TRANSPOSE(L$22:L$26))</f>
        <v>0</v>
      </c>
      <c r="M32" s="66" cm="1">
        <f t="array" ref="M32">SUMPRODUCT($B14:$F14,TRANSPOSE(M$22:M$26))</f>
        <v>0</v>
      </c>
      <c r="N32" s="66" cm="1">
        <f t="array" ref="N32">SUMPRODUCT($B14:$F14,TRANSPOSE(N$22:N$26))</f>
        <v>0</v>
      </c>
      <c r="O32" s="66" cm="1">
        <f t="array" ref="O32">SUMPRODUCT($B14:$F14,TRANSPOSE(O$22:O$26))</f>
        <v>0</v>
      </c>
      <c r="P32" s="26" cm="1">
        <f t="array" ref="P32">SUMPRODUCT($B14:$F14,TRANSPOSE(P$22:P$26))</f>
        <v>215.7967138578064</v>
      </c>
      <c r="Q32" s="66" cm="1">
        <f t="array" ref="Q32">SUMPRODUCT($B14:$F14,TRANSPOSE(Q$22:Q$26))</f>
        <v>0</v>
      </c>
      <c r="R32" s="66" cm="1">
        <f t="array" ref="R32">SUMPRODUCT($B14:$F14,TRANSPOSE(R$22:R$26))</f>
        <v>0</v>
      </c>
      <c r="S32" s="66" cm="1">
        <f t="array" ref="S32">SUMPRODUCT($B14:$F14,TRANSPOSE(S$22:S$26))</f>
        <v>0</v>
      </c>
      <c r="T32" s="66" cm="1">
        <f t="array" ref="T32">SUMPRODUCT($B14:$F14,TRANSPOSE(T$22:T$26))</f>
        <v>0</v>
      </c>
      <c r="U32" s="26" cm="1">
        <f t="array" ref="U32">SUMPRODUCT($B14:$F14,TRANSPOSE(U$22:U$26))</f>
        <v>215.7967138578064</v>
      </c>
      <c r="V32" s="66" cm="1">
        <f t="array" ref="V32">SUMPRODUCT($B14:$F14,TRANSPOSE(V$22:V$26))</f>
        <v>0</v>
      </c>
      <c r="W32" s="66" cm="1">
        <f t="array" ref="W32">SUMPRODUCT($B14:$F14,TRANSPOSE(W$22:W$26))</f>
        <v>0</v>
      </c>
      <c r="X32" s="66" cm="1">
        <f t="array" ref="X32">SUMPRODUCT($B14:$F14,TRANSPOSE(X$22:X$26))</f>
        <v>0</v>
      </c>
      <c r="Y32" s="26" cm="1">
        <f t="array" ref="Y32">SUMPRODUCT($B14:$F14,TRANSPOSE(Y$22:Y$26))</f>
        <v>39.401381379944326</v>
      </c>
    </row>
    <row r="33" spans="1:25" ht="15.5" x14ac:dyDescent="0.35">
      <c r="A33" s="28" t="s">
        <v>70</v>
      </c>
      <c r="B33" s="26" cm="1">
        <f t="array" ref="B33">SUMPRODUCT($B15:$F15,TRANSPOSE(B$22:B$26))</f>
        <v>537.04926124999997</v>
      </c>
      <c r="C33" s="66" cm="1">
        <f t="array" ref="C33">SUMPRODUCT($B15:$F15,TRANSPOSE(C$22:C$26))</f>
        <v>0</v>
      </c>
      <c r="D33" s="66" cm="1">
        <f t="array" ref="D33">SUMPRODUCT($B15:$F15,TRANSPOSE(D$22:D$26))</f>
        <v>0</v>
      </c>
      <c r="E33" s="66" cm="1">
        <f t="array" ref="E33">SUMPRODUCT($B15:$F15,TRANSPOSE(E$22:E$26))</f>
        <v>0</v>
      </c>
      <c r="F33" s="66" cm="1">
        <f t="array" ref="F33">SUMPRODUCT($B15:$F15,TRANSPOSE(F$22:F$26))</f>
        <v>0</v>
      </c>
      <c r="G33" s="66" cm="1">
        <f t="array" ref="G33">SUMPRODUCT($B15:$F15,TRANSPOSE(G$22:G$26))</f>
        <v>0</v>
      </c>
      <c r="H33" s="66" cm="1">
        <f t="array" ref="H33">SUMPRODUCT($B15:$F15,TRANSPOSE(H$22:H$26))</f>
        <v>0</v>
      </c>
      <c r="I33" s="66" cm="1">
        <f t="array" ref="I33">SUMPRODUCT($B15:$F15,TRANSPOSE(I$22:I$26))</f>
        <v>0</v>
      </c>
      <c r="J33" s="26" cm="1">
        <f t="array" ref="J33">SUMPRODUCT($B15:$F15,TRANSPOSE(J$22:J$26))</f>
        <v>537.04926124999997</v>
      </c>
      <c r="K33" s="66" cm="1">
        <f t="array" ref="K33">SUMPRODUCT($B15:$F15,TRANSPOSE(K$22:K$26))</f>
        <v>0</v>
      </c>
      <c r="L33" s="66" cm="1">
        <f t="array" ref="L33">SUMPRODUCT($B15:$F15,TRANSPOSE(L$22:L$26))</f>
        <v>0</v>
      </c>
      <c r="M33" s="66" cm="1">
        <f t="array" ref="M33">SUMPRODUCT($B15:$F15,TRANSPOSE(M$22:M$26))</f>
        <v>0</v>
      </c>
      <c r="N33" s="66" cm="1">
        <f t="array" ref="N33">SUMPRODUCT($B15:$F15,TRANSPOSE(N$22:N$26))</f>
        <v>0</v>
      </c>
      <c r="O33" s="66" cm="1">
        <f t="array" ref="O33">SUMPRODUCT($B15:$F15,TRANSPOSE(O$22:O$26))</f>
        <v>0</v>
      </c>
      <c r="P33" s="26" cm="1">
        <f t="array" ref="P33">SUMPRODUCT($B15:$F15,TRANSPOSE(P$22:P$26))</f>
        <v>537.04926124999997</v>
      </c>
      <c r="Q33" s="66" cm="1">
        <f t="array" ref="Q33">SUMPRODUCT($B15:$F15,TRANSPOSE(Q$22:Q$26))</f>
        <v>0</v>
      </c>
      <c r="R33" s="66" cm="1">
        <f t="array" ref="R33">SUMPRODUCT($B15:$F15,TRANSPOSE(R$22:R$26))</f>
        <v>0</v>
      </c>
      <c r="S33" s="66" cm="1">
        <f t="array" ref="S33">SUMPRODUCT($B15:$F15,TRANSPOSE(S$22:S$26))</f>
        <v>0</v>
      </c>
      <c r="T33" s="66" cm="1">
        <f t="array" ref="T33">SUMPRODUCT($B15:$F15,TRANSPOSE(T$22:T$26))</f>
        <v>0</v>
      </c>
      <c r="U33" s="26" cm="1">
        <f t="array" ref="U33">SUMPRODUCT($B15:$F15,TRANSPOSE(U$22:U$26))</f>
        <v>537.04926124999997</v>
      </c>
      <c r="V33" s="66" cm="1">
        <f t="array" ref="V33">SUMPRODUCT($B15:$F15,TRANSPOSE(V$22:V$26))</f>
        <v>0</v>
      </c>
      <c r="W33" s="66" cm="1">
        <f t="array" ref="W33">SUMPRODUCT($B15:$F15,TRANSPOSE(W$22:W$26))</f>
        <v>0</v>
      </c>
      <c r="X33" s="66" cm="1">
        <f t="array" ref="X33">SUMPRODUCT($B15:$F15,TRANSPOSE(X$22:X$26))</f>
        <v>0</v>
      </c>
      <c r="Y33" s="26" cm="1">
        <f t="array" ref="Y33">SUMPRODUCT($B15:$F15,TRANSPOSE(Y$22:Y$26))</f>
        <v>102.03937875000001</v>
      </c>
    </row>
    <row r="34" spans="1:25" ht="15.5" x14ac:dyDescent="0.35">
      <c r="A34" s="28" t="s">
        <v>71</v>
      </c>
      <c r="B34" s="26" cm="1">
        <f t="array" ref="B34">SUMPRODUCT($B16:$F16,TRANSPOSE(B$22:B$26))</f>
        <v>398.34373262500003</v>
      </c>
      <c r="C34" s="66" cm="1">
        <f t="array" ref="C34">SUMPRODUCT($B16:$F16,TRANSPOSE(C$22:C$26))</f>
        <v>0</v>
      </c>
      <c r="D34" s="66" cm="1">
        <f t="array" ref="D34">SUMPRODUCT($B16:$F16,TRANSPOSE(D$22:D$26))</f>
        <v>0</v>
      </c>
      <c r="E34" s="66" cm="1">
        <f t="array" ref="E34">SUMPRODUCT($B16:$F16,TRANSPOSE(E$22:E$26))</f>
        <v>0</v>
      </c>
      <c r="F34" s="66" cm="1">
        <f t="array" ref="F34">SUMPRODUCT($B16:$F16,TRANSPOSE(F$22:F$26))</f>
        <v>0</v>
      </c>
      <c r="G34" s="66" cm="1">
        <f t="array" ref="G34">SUMPRODUCT($B16:$F16,TRANSPOSE(G$22:G$26))</f>
        <v>0</v>
      </c>
      <c r="H34" s="66" cm="1">
        <f t="array" ref="H34">SUMPRODUCT($B16:$F16,TRANSPOSE(H$22:H$26))</f>
        <v>0</v>
      </c>
      <c r="I34" s="66" cm="1">
        <f t="array" ref="I34">SUMPRODUCT($B16:$F16,TRANSPOSE(I$22:I$26))</f>
        <v>0</v>
      </c>
      <c r="J34" s="26" cm="1">
        <f t="array" ref="J34">SUMPRODUCT($B16:$F16,TRANSPOSE(J$22:J$26))</f>
        <v>398.34373262500003</v>
      </c>
      <c r="K34" s="66" cm="1">
        <f t="array" ref="K34">SUMPRODUCT($B16:$F16,TRANSPOSE(K$22:K$26))</f>
        <v>0</v>
      </c>
      <c r="L34" s="66" cm="1">
        <f t="array" ref="L34">SUMPRODUCT($B16:$F16,TRANSPOSE(L$22:L$26))</f>
        <v>0</v>
      </c>
      <c r="M34" s="66" cm="1">
        <f t="array" ref="M34">SUMPRODUCT($B16:$F16,TRANSPOSE(M$22:M$26))</f>
        <v>0</v>
      </c>
      <c r="N34" s="66" cm="1">
        <f t="array" ref="N34">SUMPRODUCT($B16:$F16,TRANSPOSE(N$22:N$26))</f>
        <v>0</v>
      </c>
      <c r="O34" s="66" cm="1">
        <f t="array" ref="O34">SUMPRODUCT($B16:$F16,TRANSPOSE(O$22:O$26))</f>
        <v>0</v>
      </c>
      <c r="P34" s="26" cm="1">
        <f t="array" ref="P34">SUMPRODUCT($B16:$F16,TRANSPOSE(P$22:P$26))</f>
        <v>398.34373262500003</v>
      </c>
      <c r="Q34" s="66" cm="1">
        <f t="array" ref="Q34">SUMPRODUCT($B16:$F16,TRANSPOSE(Q$22:Q$26))</f>
        <v>0</v>
      </c>
      <c r="R34" s="66" cm="1">
        <f t="array" ref="R34">SUMPRODUCT($B16:$F16,TRANSPOSE(R$22:R$26))</f>
        <v>0</v>
      </c>
      <c r="S34" s="66" cm="1">
        <f t="array" ref="S34">SUMPRODUCT($B16:$F16,TRANSPOSE(S$22:S$26))</f>
        <v>0</v>
      </c>
      <c r="T34" s="66" cm="1">
        <f t="array" ref="T34">SUMPRODUCT($B16:$F16,TRANSPOSE(T$22:T$26))</f>
        <v>0</v>
      </c>
      <c r="U34" s="26" cm="1">
        <f t="array" ref="U34">SUMPRODUCT($B16:$F16,TRANSPOSE(U$22:U$26))</f>
        <v>398.34373262500003</v>
      </c>
      <c r="V34" s="66" cm="1">
        <f t="array" ref="V34">SUMPRODUCT($B16:$F16,TRANSPOSE(V$22:V$26))</f>
        <v>0</v>
      </c>
      <c r="W34" s="66" cm="1">
        <f t="array" ref="W34">SUMPRODUCT($B16:$F16,TRANSPOSE(W$22:W$26))</f>
        <v>0</v>
      </c>
      <c r="X34" s="66" cm="1">
        <f t="array" ref="X34">SUMPRODUCT($B16:$F16,TRANSPOSE(X$22:X$26))</f>
        <v>0</v>
      </c>
      <c r="Y34" s="26" cm="1">
        <f t="array" ref="Y34">SUMPRODUCT($B16:$F16,TRANSPOSE(Y$22:Y$26))</f>
        <v>75.68532337500001</v>
      </c>
    </row>
  </sheetData>
  <mergeCells count="1">
    <mergeCell ref="K1:O1"/>
  </mergeCells>
  <phoneticPr fontId="13" type="noConversion"/>
  <pageMargins left="0.7" right="0.7" top="0.75" bottom="0.75" header="0.3" footer="0.3"/>
  <ignoredErrors>
    <ignoredError sqref="G8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Forecast</vt:lpstr>
      <vt:lpstr>Lot Size</vt:lpstr>
      <vt:lpstr>MS</vt:lpstr>
      <vt:lpstr>MRP</vt:lpstr>
      <vt:lpstr>Capacity 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Peiro</dc:creator>
  <cp:lastModifiedBy>Pedram Peiro</cp:lastModifiedBy>
  <dcterms:created xsi:type="dcterms:W3CDTF">2015-06-05T18:17:20Z</dcterms:created>
  <dcterms:modified xsi:type="dcterms:W3CDTF">2023-01-13T09:58:32Z</dcterms:modified>
</cp:coreProperties>
</file>