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mara\OneDrive - Instituto Nacional de Telecomunicações\M109\1º Sem 2022\Materiais de Aula\Apresentações\Aula 3\Turma L2\"/>
    </mc:Choice>
  </mc:AlternateContent>
  <xr:revisionPtr revIDLastSave="1" documentId="11_73C427405B2FDF3C4D82EC8777702E8A952E76D4" xr6:coauthVersionLast="36" xr6:coauthVersionMax="36" xr10:uidLastSave="{B7DB70CE-7A70-46E9-A9E2-09FA60F35CDC}"/>
  <bookViews>
    <workbookView xWindow="480" yWindow="105" windowWidth="14880" windowHeight="8025" tabRatio="814" xr2:uid="{00000000-000D-0000-FFFF-FFFF00000000}"/>
  </bookViews>
  <sheets>
    <sheet name="Início" sheetId="16" r:id="rId1"/>
    <sheet name="Dados" sheetId="1" r:id="rId2"/>
    <sheet name="Estados" sheetId="23" r:id="rId3"/>
    <sheet name="Sangue_Casa" sheetId="3" r:id="rId4"/>
    <sheet name="Fumo_Casa" sheetId="25" r:id="rId5"/>
    <sheet name="Peso_Casa" sheetId="27" r:id="rId6"/>
    <sheet name="Altura" sheetId="5" r:id="rId7"/>
    <sheet name="Idade_Casa" sheetId="26" r:id="rId8"/>
    <sheet name="Medidas 1" sheetId="6" state="hidden" r:id="rId9"/>
    <sheet name="Medidas 2" sheetId="15" state="hidden" r:id="rId10"/>
  </sheets>
  <calcPr calcId="191029"/>
</workbook>
</file>

<file path=xl/calcChain.xml><?xml version="1.0" encoding="utf-8"?>
<calcChain xmlns="http://schemas.openxmlformats.org/spreadsheetml/2006/main">
  <c r="C4" i="3" l="1"/>
  <c r="H4" i="5"/>
  <c r="O4" i="5" s="1"/>
  <c r="E2" i="1"/>
  <c r="E15" i="6" l="1"/>
  <c r="E14" i="6"/>
  <c r="E13" i="6"/>
  <c r="B13" i="6"/>
  <c r="E12" i="6"/>
  <c r="B12" i="6"/>
  <c r="E11" i="6"/>
  <c r="B11" i="6"/>
  <c r="E10" i="6"/>
  <c r="E9" i="6"/>
  <c r="E8" i="6"/>
  <c r="H7" i="6"/>
  <c r="E7" i="6"/>
  <c r="H6" i="6"/>
  <c r="E6" i="6"/>
  <c r="B6" i="6" a="1"/>
  <c r="B8" i="6" s="1"/>
  <c r="H5" i="6"/>
  <c r="E5" i="6"/>
  <c r="B5" i="6"/>
  <c r="H4" i="6"/>
  <c r="E4" i="6"/>
  <c r="B4" i="6"/>
  <c r="H3" i="6"/>
  <c r="H2" i="6"/>
  <c r="H8" i="5"/>
  <c r="O8" i="5" s="1"/>
  <c r="H7" i="5"/>
  <c r="O7" i="5" s="1"/>
  <c r="H6" i="5"/>
  <c r="O6" i="5" s="1"/>
  <c r="H5" i="5"/>
  <c r="O5" i="5" s="1"/>
  <c r="B4" i="5"/>
  <c r="B2" i="5"/>
  <c r="B1" i="5"/>
  <c r="C11" i="3"/>
  <c r="C10" i="3"/>
  <c r="C9" i="3"/>
  <c r="C8" i="3"/>
  <c r="C7" i="3"/>
  <c r="C6" i="3"/>
  <c r="C5" i="3"/>
  <c r="D4" i="3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3" i="6" l="1"/>
  <c r="B3" i="5"/>
  <c r="B8" i="5" s="1"/>
  <c r="C8" i="5" s="1"/>
  <c r="D5" i="3"/>
  <c r="D6" i="3" s="1"/>
  <c r="D7" i="3" s="1"/>
  <c r="D8" i="3" s="1"/>
  <c r="D9" i="3" s="1"/>
  <c r="D10" i="3" s="1"/>
  <c r="D11" i="3" s="1"/>
  <c r="C12" i="3"/>
  <c r="E6" i="3" s="1"/>
  <c r="E4" i="5"/>
  <c r="I4" i="5"/>
  <c r="I5" i="5" s="1"/>
  <c r="I6" i="5" s="1"/>
  <c r="I7" i="5" s="1"/>
  <c r="I8" i="5" s="1"/>
  <c r="H9" i="5"/>
  <c r="J6" i="5" s="1"/>
  <c r="B9" i="6"/>
  <c r="B6" i="6"/>
  <c r="B7" i="6"/>
  <c r="G4" i="5" l="1"/>
  <c r="M4" i="5" s="1"/>
  <c r="N4" i="5"/>
  <c r="E5" i="5"/>
  <c r="B10" i="5"/>
  <c r="C10" i="5" s="1"/>
  <c r="B7" i="5"/>
  <c r="C7" i="5" s="1"/>
  <c r="B9" i="5"/>
  <c r="C9" i="5" s="1"/>
  <c r="B11" i="5"/>
  <c r="C11" i="5" s="1"/>
  <c r="J5" i="5"/>
  <c r="J7" i="5"/>
  <c r="E7" i="3"/>
  <c r="E10" i="3"/>
  <c r="E5" i="3"/>
  <c r="J4" i="5"/>
  <c r="E8" i="3"/>
  <c r="E4" i="3"/>
  <c r="E11" i="3"/>
  <c r="E9" i="3"/>
  <c r="J8" i="5"/>
  <c r="E12" i="3" l="1"/>
  <c r="F4" i="3"/>
  <c r="F5" i="3" s="1"/>
  <c r="F6" i="3" s="1"/>
  <c r="F7" i="3" s="1"/>
  <c r="F8" i="3" s="1"/>
  <c r="F9" i="3" s="1"/>
  <c r="F10" i="3" s="1"/>
  <c r="F11" i="3" s="1"/>
  <c r="K4" i="5"/>
  <c r="K5" i="5" s="1"/>
  <c r="K6" i="5" s="1"/>
  <c r="K7" i="5" s="1"/>
  <c r="K8" i="5" s="1"/>
  <c r="J9" i="5"/>
  <c r="G5" i="5"/>
  <c r="N5" i="5" s="1"/>
  <c r="E6" i="5"/>
  <c r="M6" i="5" l="1"/>
  <c r="M5" i="5"/>
  <c r="E7" i="5"/>
  <c r="G6" i="5"/>
  <c r="N6" i="5" s="1"/>
  <c r="M7" i="5" l="1"/>
  <c r="E8" i="5"/>
  <c r="G7" i="5"/>
  <c r="N7" i="5" s="1"/>
  <c r="N8" i="5" l="1"/>
  <c r="G8" i="5"/>
  <c r="M8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sharedStrings.xml><?xml version="1.0" encoding="utf-8"?>
<sst xmlns="http://schemas.openxmlformats.org/spreadsheetml/2006/main" count="1233" uniqueCount="217">
  <si>
    <t>Sexo</t>
  </si>
  <si>
    <t>Idade</t>
  </si>
  <si>
    <t>Peso</t>
  </si>
  <si>
    <t>Altura</t>
  </si>
  <si>
    <t>Cintura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</si>
  <si>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</si>
  <si>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</si>
  <si>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</si>
  <si>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</si>
  <si>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</si>
  <si>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</si>
  <si>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</si>
  <si>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</si>
  <si>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</si>
  <si>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</si>
  <si>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</si>
  <si>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</si>
  <si>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</si>
  <si>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</si>
  <si>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</si>
  <si>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</si>
  <si>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</si>
  <si>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</si>
  <si>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</si>
  <si>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</si>
  <si>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</si>
  <si>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</si>
  <si>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</si>
  <si>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</si>
  <si>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</si>
  <si>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</si>
  <si>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</si>
  <si>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</si>
  <si>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</si>
  <si>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</si>
  <si>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</si>
  <si>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</si>
  <si>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</si>
  <si>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</si>
  <si>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</si>
  <si>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</si>
  <si>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</si>
  <si>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</si>
  <si>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</si>
  <si>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</si>
  <si>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</si>
  <si>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</si>
  <si>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</si>
  <si>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</si>
  <si>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</si>
  <si>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</si>
  <si>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</si>
  <si>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</si>
  <si>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</si>
  <si>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</si>
  <si>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</si>
  <si>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</si>
  <si>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</si>
  <si>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</si>
  <si>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</si>
  <si>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</si>
  <si>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</si>
  <si>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</si>
  <si>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</si>
  <si>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</si>
  <si>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</si>
  <si>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</si>
  <si>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</si>
  <si>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</si>
  <si>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</si>
  <si>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</si>
  <si>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</si>
  <si>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</si>
  <si>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</si>
  <si>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</si>
  <si>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</si>
  <si>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</si>
  <si>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</si>
  <si>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</si>
  <si>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</si>
  <si>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</si>
  <si>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IMC</t>
  </si>
  <si>
    <t>fa</t>
  </si>
  <si>
    <t>fA</t>
  </si>
  <si>
    <t>fr</t>
  </si>
  <si>
    <t>fR</t>
  </si>
  <si>
    <t>B-</t>
  </si>
  <si>
    <t>Total</t>
  </si>
  <si>
    <t>De 1-10/dia</t>
  </si>
  <si>
    <t>x</t>
  </si>
  <si>
    <t>Tipo
 sanguineo</t>
  </si>
  <si>
    <t>Valor Mínimo</t>
  </si>
  <si>
    <t>Valor Máximo</t>
  </si>
  <si>
    <t>Número de indivíduos (N)</t>
  </si>
  <si>
    <t>Amplitude Total (AT)</t>
  </si>
  <si>
    <t>C</t>
  </si>
  <si>
    <t>I</t>
  </si>
  <si>
    <t>R</t>
  </si>
  <si>
    <t>-</t>
  </si>
  <si>
    <t>Idade
[anos]</t>
  </si>
  <si>
    <t>Altura [m]</t>
  </si>
  <si>
    <t>Ponto médio
 da classe</t>
  </si>
  <si>
    <t>Medidas Características</t>
  </si>
  <si>
    <t>Medidas de tendência central</t>
  </si>
  <si>
    <t>Média</t>
  </si>
  <si>
    <t>Mediana</t>
  </si>
  <si>
    <t>Moda</t>
  </si>
  <si>
    <t>Medidas de variabilidade</t>
  </si>
  <si>
    <t>Amplitude total</t>
  </si>
  <si>
    <t>Variância</t>
  </si>
  <si>
    <t>Desvio padrão</t>
  </si>
  <si>
    <t>Separatrizes</t>
  </si>
  <si>
    <t>kg</t>
  </si>
  <si>
    <t>kg2</t>
  </si>
  <si>
    <t>Quartil - Q1</t>
  </si>
  <si>
    <t>Q2</t>
  </si>
  <si>
    <t>Q3</t>
  </si>
  <si>
    <t>Decil D1</t>
  </si>
  <si>
    <t>D7</t>
  </si>
  <si>
    <t>D2</t>
  </si>
  <si>
    <t>D3</t>
  </si>
  <si>
    <t>D4</t>
  </si>
  <si>
    <t>D5</t>
  </si>
  <si>
    <t>D6</t>
  </si>
  <si>
    <t>D8</t>
  </si>
  <si>
    <t>D9</t>
  </si>
  <si>
    <t>Percentil P1</t>
  </si>
  <si>
    <t>P5</t>
  </si>
  <si>
    <t>P20</t>
  </si>
  <si>
    <t>P37</t>
  </si>
  <si>
    <t>P78</t>
  </si>
  <si>
    <t>P95</t>
  </si>
  <si>
    <t>Santa Rita do Sapucaí</t>
  </si>
  <si>
    <t>Brasília</t>
  </si>
  <si>
    <t>DF</t>
  </si>
  <si>
    <t>Muay Thai</t>
  </si>
  <si>
    <t>Anápolis</t>
  </si>
  <si>
    <t>GO</t>
  </si>
  <si>
    <t>Ciclismo</t>
  </si>
  <si>
    <t>Elói Mendes</t>
  </si>
  <si>
    <t>Capitão Leônidas</t>
  </si>
  <si>
    <t>PR</t>
  </si>
  <si>
    <t>Corrida</t>
  </si>
  <si>
    <t>Turvolândia</t>
  </si>
  <si>
    <t>Leopoldina</t>
  </si>
  <si>
    <t>Aeróbico</t>
  </si>
  <si>
    <t>Formiga</t>
  </si>
  <si>
    <t>Alfenas</t>
  </si>
  <si>
    <t>Escalada</t>
  </si>
  <si>
    <t>Ipuiúna</t>
  </si>
  <si>
    <t>Musculação e Futebol</t>
  </si>
  <si>
    <t>Fonte: o próprio autor</t>
  </si>
  <si>
    <t>Tabela 1 - Tipo sanguíneo de 85 amigos e parentes dos alunos de Estatística do Inatel, 2018</t>
  </si>
  <si>
    <t>Tabela 2. Consumo de cigarros de 85 amigos e parentes de alunos de Estatística
doInatel, 2018</t>
  </si>
  <si>
    <t>Tabela 3 - Idade, em anos, de 85 amigos e parentes dos alunos de Estatística do Inatel em 2018</t>
  </si>
  <si>
    <t>Tabela 4 - peso, em kg,  de 85 amigos e parentes dos alunos de Estatística do Inatel em 2018</t>
  </si>
  <si>
    <t>Peso
[kg]</t>
  </si>
  <si>
    <t>Tabela 5 - altura, em metros,  de 85 amigos e parentes dos alunos de Estatística do Inatel em 2018</t>
  </si>
  <si>
    <t>Variável: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</si>
  <si>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</si>
  <si>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</si>
  <si>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</si>
  <si>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</si>
  <si>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</si>
  <si>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</si>
  <si>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</si>
  <si>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</si>
  <si>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</si>
  <si>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</si>
  <si>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</si>
  <si>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</si>
  <si>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</si>
  <si>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</si>
  <si>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</si>
  <si>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</si>
  <si>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Maranhão</t>
  </si>
  <si>
    <t>MA</t>
  </si>
  <si>
    <t>Mato Grosso</t>
  </si>
  <si>
    <t>MT</t>
  </si>
  <si>
    <t>Mato Grosso do Sul</t>
  </si>
  <si>
    <t>MS</t>
  </si>
  <si>
    <t>Minas Gerais</t>
  </si>
  <si>
    <t>Pará</t>
  </si>
  <si>
    <t>PA</t>
  </si>
  <si>
    <t>Paraíba</t>
  </si>
  <si>
    <t>PB</t>
  </si>
  <si>
    <t>Paraná</t>
  </si>
  <si>
    <t>Pernambuco</t>
  </si>
  <si>
    <t>PE</t>
  </si>
  <si>
    <t>Piauí</t>
  </si>
  <si>
    <t>PI</t>
  </si>
  <si>
    <t>Rio de Janeiro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</si>
  <si>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</si>
  <si>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</si>
  <si>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</si>
  <si>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</si>
  <si>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</si>
  <si>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</si>
  <si>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</si>
  <si>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</si>
  <si>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</si>
  <si>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</si>
  <si>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</si>
  <si>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Sergipe</t>
  </si>
  <si>
    <t>SE</t>
  </si>
  <si>
    <t>Tocantins</t>
  </si>
  <si>
    <t>TO</t>
  </si>
  <si>
    <t>Distrito Federal</t>
  </si>
  <si>
    <t>ID</t>
  </si>
  <si>
    <t>Nome</t>
  </si>
  <si>
    <t>Valor</t>
  </si>
  <si>
    <t>Comissão</t>
  </si>
  <si>
    <t>Maria</t>
  </si>
  <si>
    <t>Antônio</t>
  </si>
  <si>
    <t>Jussara</t>
  </si>
  <si>
    <t>Clóvis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</si>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</sst>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4">
    <xf numFmtId="0" fontId="0" fillId="0" borderId="0" xfId="0"/>
    <xf numFmtId="0" fontId="0" fillId="14" borderId="1" xfId="0" applyFill="1" applyBorder="1"/>
    <xf numFmtId="0" fontId="0" fillId="3" borderId="1" xfId="0" applyFill="1" applyBorder="1"/>
    <xf numFmtId="0" fontId="0" fillId="13" borderId="1" xfId="0" applyFill="1" applyBorder="1"/>
    <xf numFmtId="2" fontId="8" fillId="14" borderId="1" xfId="0" applyNumberFormat="1" applyFont="1" applyFill="1" applyBorder="1"/>
    <xf numFmtId="0" fontId="9" fillId="14" borderId="1" xfId="0" applyFont="1" applyFill="1" applyBorder="1"/>
    <xf numFmtId="0" fontId="10" fillId="14" borderId="1" xfId="0" applyFont="1" applyFill="1" applyBorder="1"/>
    <xf numFmtId="0" fontId="11" fillId="14" borderId="1" xfId="0" applyFont="1" applyFill="1" applyBorder="1"/>
    <xf numFmtId="164" fontId="0" fillId="13" borderId="1" xfId="0" applyNumberFormat="1" applyFill="1" applyBorder="1"/>
    <xf numFmtId="0" fontId="0" fillId="13" borderId="2" xfId="0" applyFill="1" applyBorder="1"/>
    <xf numFmtId="0" fontId="0" fillId="0" borderId="0" xfId="0" applyFill="1" applyBorder="1"/>
    <xf numFmtId="0" fontId="0" fillId="12" borderId="1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 applyProtection="1">
      <alignment horizontal="left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3" fillId="6" borderId="2" xfId="0" applyFont="1" applyFill="1" applyBorder="1" applyAlignment="1" applyProtection="1">
      <alignment horizontal="center" vertical="center"/>
      <protection locked="0"/>
    </xf>
    <xf numFmtId="0" fontId="3" fillId="6" borderId="6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6" borderId="3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2" fontId="3" fillId="7" borderId="5" xfId="0" applyNumberFormat="1" applyFont="1" applyFill="1" applyBorder="1" applyAlignment="1" applyProtection="1">
      <alignment horizontal="left" vertical="center"/>
      <protection locked="0"/>
    </xf>
    <xf numFmtId="0" fontId="3" fillId="7" borderId="5" xfId="0" applyFont="1" applyFill="1" applyBorder="1" applyAlignment="1" applyProtection="1">
      <alignment horizontal="left" vertical="center"/>
      <protection locked="0"/>
    </xf>
    <xf numFmtId="2" fontId="3" fillId="7" borderId="2" xfId="0" applyNumberFormat="1" applyFont="1" applyFill="1" applyBorder="1" applyAlignment="1" applyProtection="1">
      <alignment horizontal="left" vertical="center"/>
      <protection locked="0"/>
    </xf>
    <xf numFmtId="0" fontId="3" fillId="7" borderId="1" xfId="0" applyFont="1" applyFill="1" applyBorder="1" applyAlignment="1" applyProtection="1">
      <alignment horizontal="center" vertical="center"/>
      <protection locked="0"/>
    </xf>
    <xf numFmtId="9" fontId="3" fillId="7" borderId="1" xfId="0" applyNumberFormat="1" applyFont="1" applyFill="1" applyBorder="1" applyAlignment="1" applyProtection="1">
      <alignment horizontal="center" vertical="center"/>
      <protection locked="0"/>
    </xf>
    <xf numFmtId="9" fontId="3" fillId="7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2" fontId="0" fillId="0" borderId="1" xfId="0" applyNumberFormat="1" applyFont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0" fontId="7" fillId="7" borderId="5" xfId="0" applyFont="1" applyFill="1" applyBorder="1" applyAlignment="1" applyProtection="1">
      <alignment horizontal="left"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9" fontId="3" fillId="6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4" fontId="0" fillId="0" borderId="0" xfId="2" applyFont="1" applyAlignment="1" applyProtection="1">
      <alignment horizontal="center" vertical="center"/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4" fillId="0" borderId="4" xfId="0" applyFont="1" applyBorder="1" applyAlignment="1" applyProtection="1">
      <alignment horizontal="left" wrapText="1"/>
      <protection locked="0"/>
    </xf>
    <xf numFmtId="0" fontId="0" fillId="0" borderId="0" xfId="0" applyNumberFormat="1" applyProtection="1">
      <protection locked="0"/>
    </xf>
    <xf numFmtId="0" fontId="5" fillId="8" borderId="2" xfId="0" applyFont="1" applyFill="1" applyBorder="1" applyAlignment="1" applyProtection="1">
      <alignment horizontal="center" vertical="center" wrapText="1"/>
      <protection locked="0"/>
    </xf>
    <xf numFmtId="0" fontId="5" fillId="8" borderId="1" xfId="0" applyFont="1" applyFill="1" applyBorder="1" applyAlignment="1" applyProtection="1">
      <alignment horizontal="center" vertical="center"/>
      <protection locked="0"/>
    </xf>
    <xf numFmtId="0" fontId="5" fillId="8" borderId="3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9" fontId="3" fillId="2" borderId="1" xfId="1" applyNumberFormat="1" applyFont="1" applyFill="1" applyBorder="1" applyAlignment="1" applyProtection="1">
      <alignment horizontal="center" vertical="center"/>
      <protection locked="0"/>
    </xf>
    <xf numFmtId="9" fontId="3" fillId="2" borderId="3" xfId="0" applyNumberFormat="1" applyFont="1" applyFill="1" applyBorder="1" applyAlignment="1" applyProtection="1">
      <alignment horizontal="center" vertical="center"/>
      <protection locked="0"/>
    </xf>
    <xf numFmtId="0" fontId="5" fillId="8" borderId="2" xfId="0" applyFont="1" applyFill="1" applyBorder="1" applyAlignment="1" applyProtection="1">
      <alignment horizontal="center"/>
      <protection locked="0"/>
    </xf>
    <xf numFmtId="9" fontId="5" fillId="8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left" wrapText="1"/>
      <protection locked="0"/>
    </xf>
    <xf numFmtId="0" fontId="0" fillId="0" borderId="8" xfId="0" applyBorder="1" applyAlignment="1" applyProtection="1">
      <alignment horizontal="left"/>
      <protection locked="0"/>
    </xf>
    <xf numFmtId="0" fontId="5" fillId="15" borderId="9" xfId="0" applyFont="1" applyFill="1" applyBorder="1" applyProtection="1">
      <protection locked="0"/>
    </xf>
    <xf numFmtId="0" fontId="5" fillId="15" borderId="10" xfId="0" applyFont="1" applyFill="1" applyBorder="1" applyAlignment="1" applyProtection="1">
      <alignment horizontal="center"/>
      <protection locked="0"/>
    </xf>
    <xf numFmtId="0" fontId="5" fillId="15" borderId="11" xfId="0" applyFont="1" applyFill="1" applyBorder="1" applyAlignment="1" applyProtection="1">
      <alignment horizontal="center"/>
      <protection locked="0"/>
    </xf>
    <xf numFmtId="0" fontId="3" fillId="16" borderId="12" xfId="0" applyFont="1" applyFill="1" applyBorder="1" applyProtection="1">
      <protection locked="0"/>
    </xf>
    <xf numFmtId="0" fontId="3" fillId="16" borderId="7" xfId="0" applyFont="1" applyFill="1" applyBorder="1" applyAlignment="1" applyProtection="1">
      <alignment horizontal="center"/>
      <protection locked="0"/>
    </xf>
    <xf numFmtId="9" fontId="3" fillId="16" borderId="7" xfId="1" applyFont="1" applyFill="1" applyBorder="1" applyAlignment="1" applyProtection="1">
      <alignment horizontal="center"/>
      <protection locked="0"/>
    </xf>
    <xf numFmtId="9" fontId="3" fillId="16" borderId="13" xfId="0" applyNumberFormat="1" applyFont="1" applyFill="1" applyBorder="1" applyAlignment="1" applyProtection="1">
      <alignment horizontal="center"/>
      <protection locked="0"/>
    </xf>
    <xf numFmtId="0" fontId="3" fillId="16" borderId="2" xfId="0" applyFont="1" applyFill="1" applyBorder="1" applyProtection="1">
      <protection locked="0"/>
    </xf>
    <xf numFmtId="9" fontId="3" fillId="16" borderId="3" xfId="0" applyNumberFormat="1" applyFont="1" applyFill="1" applyBorder="1" applyAlignment="1" applyProtection="1">
      <alignment horizontal="center"/>
      <protection locked="0"/>
    </xf>
    <xf numFmtId="0" fontId="3" fillId="16" borderId="14" xfId="0" applyFont="1" applyFill="1" applyBorder="1" applyProtection="1">
      <protection locked="0"/>
    </xf>
    <xf numFmtId="9" fontId="3" fillId="16" borderId="15" xfId="0" applyNumberFormat="1" applyFont="1" applyFill="1" applyBorder="1" applyAlignment="1" applyProtection="1">
      <alignment horizontal="center"/>
      <protection locked="0"/>
    </xf>
    <xf numFmtId="9" fontId="5" fillId="15" borderId="1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0" fillId="9" borderId="1" xfId="0" applyFill="1" applyBorder="1" applyAlignment="1" applyProtection="1">
      <alignment horizontal="left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9" borderId="7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12" fillId="17" borderId="1" xfId="0" applyFont="1" applyFill="1" applyBorder="1" applyAlignment="1" applyProtection="1">
      <alignment horizontal="center" vertical="center" wrapText="1"/>
      <protection locked="0"/>
    </xf>
    <xf numFmtId="0" fontId="12" fillId="17" borderId="1" xfId="0" applyFont="1" applyFill="1" applyBorder="1" applyAlignment="1" applyProtection="1">
      <alignment horizontal="center" vertical="center"/>
      <protection locked="0"/>
    </xf>
    <xf numFmtId="0" fontId="12" fillId="17" borderId="1" xfId="0" applyFont="1" applyFill="1" applyBorder="1" applyAlignment="1" applyProtection="1">
      <alignment horizontal="center" vertical="center"/>
      <protection locked="0"/>
    </xf>
    <xf numFmtId="0" fontId="12" fillId="17" borderId="3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0" fillId="9" borderId="1" xfId="0" applyFill="1" applyBorder="1" applyProtection="1">
      <protection locked="0"/>
    </xf>
    <xf numFmtId="0" fontId="0" fillId="9" borderId="7" xfId="0" applyFill="1" applyBorder="1" applyAlignment="1" applyProtection="1">
      <alignment horizontal="center" vertical="center"/>
      <protection locked="0"/>
    </xf>
    <xf numFmtId="0" fontId="3" fillId="19" borderId="5" xfId="0" applyFont="1" applyFill="1" applyBorder="1" applyAlignment="1" applyProtection="1">
      <alignment horizontal="center" vertical="center"/>
      <protection locked="0"/>
    </xf>
    <xf numFmtId="0" fontId="3" fillId="19" borderId="2" xfId="0" applyFont="1" applyFill="1" applyBorder="1" applyAlignment="1" applyProtection="1">
      <alignment horizontal="center" vertical="center"/>
      <protection locked="0"/>
    </xf>
    <xf numFmtId="0" fontId="3" fillId="19" borderId="1" xfId="0" applyFont="1" applyFill="1" applyBorder="1" applyAlignment="1" applyProtection="1">
      <alignment horizontal="center" vertical="center"/>
      <protection locked="0"/>
    </xf>
    <xf numFmtId="9" fontId="3" fillId="19" borderId="1" xfId="1" applyFont="1" applyFill="1" applyBorder="1" applyAlignment="1" applyProtection="1">
      <alignment horizontal="center" vertical="center"/>
      <protection locked="0"/>
    </xf>
    <xf numFmtId="9" fontId="3" fillId="19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6" fillId="18" borderId="1" xfId="0" applyFont="1" applyFill="1" applyBorder="1" applyAlignment="1" applyProtection="1">
      <alignment horizontal="center" vertical="center"/>
      <protection locked="0"/>
    </xf>
    <xf numFmtId="9" fontId="12" fillId="17" borderId="1" xfId="0" applyNumberFormat="1" applyFont="1" applyFill="1" applyBorder="1" applyAlignment="1" applyProtection="1">
      <alignment horizontal="center" vertical="center"/>
      <protection locked="0"/>
    </xf>
    <xf numFmtId="0" fontId="12" fillId="17" borderId="3" xfId="0" applyNumberFormat="1" applyFont="1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5" fillId="5" borderId="3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9" fontId="3" fillId="3" borderId="1" xfId="0" applyNumberFormat="1" applyFont="1" applyFill="1" applyBorder="1" applyAlignment="1" applyProtection="1">
      <alignment horizontal="center" vertical="center"/>
      <protection locked="0"/>
    </xf>
    <xf numFmtId="9" fontId="3" fillId="3" borderId="3" xfId="0" applyNumberFormat="1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9" fontId="5" fillId="5" borderId="1" xfId="0" applyNumberFormat="1" applyFont="1" applyFill="1" applyBorder="1" applyAlignment="1" applyProtection="1">
      <alignment horizontal="center" vertical="center"/>
      <protection locked="0"/>
    </xf>
    <xf numFmtId="9" fontId="5" fillId="5" borderId="3" xfId="0" applyNumberFormat="1" applyFont="1" applyFill="1" applyBorder="1" applyAlignment="1" applyProtection="1">
      <alignment horizontal="center" vertical="center"/>
      <protection locked="0"/>
    </xf>
  </cellXfs>
  <cellStyles count="3">
    <cellStyle name="Moeda" xfId="2" builtinId="4"/>
    <cellStyle name="Normal" xfId="0" builtinId="0"/>
    <cellStyle name="Porcentagem" xfId="1" builtinId="5"/>
  </cellStyles>
  <dxfs count="24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mruColors>
      <color rgb="FF00FF00"/>
      <color rgb="FF9BFF9B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Altura!$O$3</c:f>
              <c:strCache>
                <c:ptCount val="1"/>
                <c:pt idx="0">
                  <c:v>fa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Altura!$M$4:$M$8</c:f>
              <c:strCache>
                <c:ptCount val="5"/>
                <c:pt idx="0">
                  <c:v>1,5-1,58</c:v>
                </c:pt>
                <c:pt idx="1">
                  <c:v>1,59-1,67</c:v>
                </c:pt>
                <c:pt idx="2">
                  <c:v>1,68-1,76</c:v>
                </c:pt>
                <c:pt idx="3">
                  <c:v>1,77-1,85</c:v>
                </c:pt>
                <c:pt idx="4">
                  <c:v>1,86-1,94</c:v>
                </c:pt>
              </c:strCache>
            </c:strRef>
          </c:cat>
          <c:val>
            <c:numRef>
              <c:f>Altura!$O$4:$O$8</c:f>
              <c:numCache>
                <c:formatCode>General</c:formatCode>
                <c:ptCount val="5"/>
                <c:pt idx="0">
                  <c:v>19</c:v>
                </c:pt>
                <c:pt idx="1">
                  <c:v>23</c:v>
                </c:pt>
                <c:pt idx="2">
                  <c:v>27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6-464A-82EF-812A3DE613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781568"/>
        <c:axId val="230083584"/>
      </c:barChart>
      <c:catAx>
        <c:axId val="19678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Altura [m]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083584"/>
        <c:crosses val="autoZero"/>
        <c:auto val="1"/>
        <c:lblAlgn val="ctr"/>
        <c:lblOffset val="100"/>
        <c:noMultiLvlLbl val="0"/>
      </c:catAx>
      <c:valAx>
        <c:axId val="230083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81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Altura x Peso</c:v>
          </c:tx>
          <c:spPr>
            <a:ln w="28575">
              <a:noFill/>
            </a:ln>
          </c:spP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  <c:trendlineLbl>
              <c:layout>
                <c:manualLayout>
                  <c:x val="0.1583781106484769"/>
                  <c:y val="1.088108778069408E-2"/>
                </c:manualLayout>
              </c:layout>
              <c:numFmt formatCode="General" sourceLinked="0"/>
              <c:spPr>
                <a:ln>
                  <a:noFill/>
                </a:ln>
              </c:spPr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pt-BR"/>
                </a:p>
              </c:txPr>
            </c:trendlineLbl>
          </c:trendline>
          <c:xVal>
            <c:numRef>
              <c:f>Dados!$D$2:$D$86</c:f>
              <c:numCache>
                <c:formatCode>0.00</c:formatCode>
                <c:ptCount val="85"/>
                <c:pt idx="0">
                  <c:v>1.72</c:v>
                </c:pt>
                <c:pt idx="1">
                  <c:v>1.58</c:v>
                </c:pt>
                <c:pt idx="2">
                  <c:v>1.74</c:v>
                </c:pt>
                <c:pt idx="3">
                  <c:v>1.53</c:v>
                </c:pt>
                <c:pt idx="4">
                  <c:v>1.5</c:v>
                </c:pt>
                <c:pt idx="5">
                  <c:v>1.8</c:v>
                </c:pt>
                <c:pt idx="6">
                  <c:v>1.56</c:v>
                </c:pt>
                <c:pt idx="7">
                  <c:v>1.56</c:v>
                </c:pt>
                <c:pt idx="8">
                  <c:v>1.63</c:v>
                </c:pt>
                <c:pt idx="9">
                  <c:v>1.65</c:v>
                </c:pt>
                <c:pt idx="10">
                  <c:v>1.7</c:v>
                </c:pt>
                <c:pt idx="11">
                  <c:v>1.69</c:v>
                </c:pt>
                <c:pt idx="12">
                  <c:v>1.7</c:v>
                </c:pt>
                <c:pt idx="13">
                  <c:v>1.73</c:v>
                </c:pt>
                <c:pt idx="14">
                  <c:v>1.78</c:v>
                </c:pt>
                <c:pt idx="15">
                  <c:v>1.62</c:v>
                </c:pt>
                <c:pt idx="16">
                  <c:v>1.65</c:v>
                </c:pt>
                <c:pt idx="17">
                  <c:v>1.72</c:v>
                </c:pt>
                <c:pt idx="18">
                  <c:v>1.57</c:v>
                </c:pt>
                <c:pt idx="19">
                  <c:v>1.7</c:v>
                </c:pt>
                <c:pt idx="20">
                  <c:v>1.56</c:v>
                </c:pt>
                <c:pt idx="21">
                  <c:v>1.53</c:v>
                </c:pt>
                <c:pt idx="22">
                  <c:v>1.9</c:v>
                </c:pt>
                <c:pt idx="23">
                  <c:v>1.75</c:v>
                </c:pt>
                <c:pt idx="24">
                  <c:v>1.53</c:v>
                </c:pt>
                <c:pt idx="25">
                  <c:v>1.73</c:v>
                </c:pt>
                <c:pt idx="26">
                  <c:v>1.89</c:v>
                </c:pt>
                <c:pt idx="27">
                  <c:v>1.72</c:v>
                </c:pt>
                <c:pt idx="28">
                  <c:v>1.82</c:v>
                </c:pt>
                <c:pt idx="29">
                  <c:v>1.63</c:v>
                </c:pt>
                <c:pt idx="30">
                  <c:v>1.6</c:v>
                </c:pt>
                <c:pt idx="31">
                  <c:v>1.72</c:v>
                </c:pt>
                <c:pt idx="32">
                  <c:v>1.66</c:v>
                </c:pt>
                <c:pt idx="33">
                  <c:v>1.58</c:v>
                </c:pt>
                <c:pt idx="34">
                  <c:v>1.55</c:v>
                </c:pt>
                <c:pt idx="35">
                  <c:v>1.7</c:v>
                </c:pt>
                <c:pt idx="36">
                  <c:v>1.55</c:v>
                </c:pt>
                <c:pt idx="37">
                  <c:v>1.64</c:v>
                </c:pt>
                <c:pt idx="38">
                  <c:v>1.74</c:v>
                </c:pt>
                <c:pt idx="39">
                  <c:v>1.63</c:v>
                </c:pt>
                <c:pt idx="40">
                  <c:v>1.83</c:v>
                </c:pt>
                <c:pt idx="41">
                  <c:v>1.73</c:v>
                </c:pt>
                <c:pt idx="42">
                  <c:v>1.82</c:v>
                </c:pt>
                <c:pt idx="43">
                  <c:v>1.81</c:v>
                </c:pt>
                <c:pt idx="44">
                  <c:v>1.61</c:v>
                </c:pt>
                <c:pt idx="45">
                  <c:v>1.7</c:v>
                </c:pt>
                <c:pt idx="46">
                  <c:v>1.58</c:v>
                </c:pt>
                <c:pt idx="47">
                  <c:v>1.71</c:v>
                </c:pt>
                <c:pt idx="48">
                  <c:v>1.55</c:v>
                </c:pt>
                <c:pt idx="49">
                  <c:v>1.69</c:v>
                </c:pt>
                <c:pt idx="50">
                  <c:v>1.65</c:v>
                </c:pt>
                <c:pt idx="51">
                  <c:v>1.73</c:v>
                </c:pt>
                <c:pt idx="52">
                  <c:v>1.53</c:v>
                </c:pt>
                <c:pt idx="53">
                  <c:v>1.55</c:v>
                </c:pt>
                <c:pt idx="54">
                  <c:v>1.8</c:v>
                </c:pt>
                <c:pt idx="55">
                  <c:v>1.6</c:v>
                </c:pt>
                <c:pt idx="56">
                  <c:v>1.63</c:v>
                </c:pt>
                <c:pt idx="57">
                  <c:v>1.67</c:v>
                </c:pt>
                <c:pt idx="58">
                  <c:v>1.75</c:v>
                </c:pt>
                <c:pt idx="59">
                  <c:v>1.71</c:v>
                </c:pt>
                <c:pt idx="60">
                  <c:v>1.79</c:v>
                </c:pt>
                <c:pt idx="61">
                  <c:v>1.76</c:v>
                </c:pt>
                <c:pt idx="62">
                  <c:v>1.85</c:v>
                </c:pt>
                <c:pt idx="63">
                  <c:v>1.5</c:v>
                </c:pt>
                <c:pt idx="64">
                  <c:v>1.75</c:v>
                </c:pt>
                <c:pt idx="65">
                  <c:v>1.85</c:v>
                </c:pt>
                <c:pt idx="66">
                  <c:v>1.58</c:v>
                </c:pt>
                <c:pt idx="67">
                  <c:v>1.71</c:v>
                </c:pt>
                <c:pt idx="68">
                  <c:v>1.58</c:v>
                </c:pt>
                <c:pt idx="69">
                  <c:v>1.67</c:v>
                </c:pt>
                <c:pt idx="70">
                  <c:v>1.6</c:v>
                </c:pt>
                <c:pt idx="71">
                  <c:v>1.68</c:v>
                </c:pt>
                <c:pt idx="72">
                  <c:v>1.86</c:v>
                </c:pt>
                <c:pt idx="73">
                  <c:v>1.7</c:v>
                </c:pt>
                <c:pt idx="74">
                  <c:v>1.62</c:v>
                </c:pt>
                <c:pt idx="75">
                  <c:v>1.67</c:v>
                </c:pt>
                <c:pt idx="76">
                  <c:v>1.64</c:v>
                </c:pt>
                <c:pt idx="77">
                  <c:v>1.67</c:v>
                </c:pt>
                <c:pt idx="78">
                  <c:v>1.7</c:v>
                </c:pt>
                <c:pt idx="79">
                  <c:v>1.66</c:v>
                </c:pt>
                <c:pt idx="80">
                  <c:v>1.86</c:v>
                </c:pt>
                <c:pt idx="81">
                  <c:v>1.78</c:v>
                </c:pt>
                <c:pt idx="82">
                  <c:v>1.67</c:v>
                </c:pt>
                <c:pt idx="83">
                  <c:v>1.94</c:v>
                </c:pt>
                <c:pt idx="84">
                  <c:v>1.6</c:v>
                </c:pt>
              </c:numCache>
            </c:numRef>
          </c:xVal>
          <c:y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E-480B-B50C-1FB95E3E2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90496"/>
        <c:axId val="216088960"/>
      </c:scatterChart>
      <c:valAx>
        <c:axId val="216090496"/>
        <c:scaling>
          <c:orientation val="minMax"/>
          <c:min val="1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Altura [m]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6088960"/>
        <c:crosses val="autoZero"/>
        <c:crossBetween val="midCat"/>
      </c:valAx>
      <c:valAx>
        <c:axId val="216088960"/>
        <c:scaling>
          <c:orientation val="minMax"/>
          <c:min val="4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90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93408"/>
        <c:axId val="193799296"/>
      </c:scatterChart>
      <c:valAx>
        <c:axId val="193793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3799296"/>
        <c:crosses val="autoZero"/>
        <c:crossBetween val="midCat"/>
        <c:majorUnit val="5"/>
      </c:valAx>
      <c:valAx>
        <c:axId val="193799296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793408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9</xdr:row>
      <xdr:rowOff>75010</xdr:rowOff>
    </xdr:from>
    <xdr:to>
      <xdr:col>12</xdr:col>
      <xdr:colOff>517922</xdr:colOff>
      <xdr:row>23</xdr:row>
      <xdr:rowOff>151210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613171</xdr:colOff>
      <xdr:row>24</xdr:row>
      <xdr:rowOff>57150</xdr:rowOff>
    </xdr:from>
    <xdr:to>
      <xdr:col>12</xdr:col>
      <xdr:colOff>511968</xdr:colOff>
      <xdr:row>38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257800" y="215900"/>
          <a:ext cx="3956050" cy="28575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V86" totalsRowShown="0" headerRowDxfId="1" dataDxfId="0">
  <autoFilter ref="A1:V86" xr:uid="{00000000-0009-0000-0100-000002000000}"/>
  <tableColumns count="22">
    <tableColumn id="1" xr3:uid="{00000000-0010-0000-0000-000001000000}" name="Sexo" dataDxfId="23"/>
    <tableColumn id="2" xr3:uid="{00000000-0010-0000-0000-000002000000}" name="Idade" dataDxfId="22"/>
    <tableColumn id="3" xr3:uid="{00000000-0010-0000-0000-000003000000}" name="Peso" dataDxfId="21"/>
    <tableColumn id="4" xr3:uid="{00000000-0010-0000-0000-000004000000}" name="Altura" dataDxfId="20"/>
    <tableColumn id="23" xr3:uid="{00000000-0010-0000-0000-000017000000}" name="IMC" dataDxfId="19">
      <calculatedColumnFormula>Tabela2[[#This Row],[Peso]]/Tabela2[[#This Row],[Altura]]^2</calculatedColumnFormula>
    </tableColumn>
    <tableColumn id="5" xr3:uid="{00000000-0010-0000-0000-000005000000}" name="Cintura" dataDxfId="18"/>
    <tableColumn id="6" xr3:uid="{00000000-0010-0000-0000-000006000000}" name="Cidade" dataDxfId="17"/>
    <tableColumn id="7" xr3:uid="{00000000-0010-0000-0000-000007000000}" name="Estado" dataDxfId="16"/>
    <tableColumn id="8" xr3:uid="{00000000-0010-0000-0000-000008000000}" name="Sangue" dataDxfId="15"/>
    <tableColumn id="9" xr3:uid="{00000000-0010-0000-0000-000009000000}" name="Óculo" dataDxfId="14"/>
    <tableColumn id="10" xr3:uid="{00000000-0010-0000-0000-00000A000000}" name="Miopia" dataDxfId="13"/>
    <tableColumn id="11" xr3:uid="{00000000-0010-0000-0000-00000B000000}" name="Hiperm" dataDxfId="12"/>
    <tableColumn id="12" xr3:uid="{00000000-0010-0000-0000-00000C000000}" name="Astig" dataDxfId="11"/>
    <tableColumn id="13" xr3:uid="{00000000-0010-0000-0000-00000D000000}" name="Outros" dataDxfId="10"/>
    <tableColumn id="14" xr3:uid="{00000000-0010-0000-0000-00000E000000}" name="Alimentação" dataDxfId="9"/>
    <tableColumn id="15" xr3:uid="{00000000-0010-0000-0000-00000F000000}" name="Fumo" dataDxfId="8"/>
    <tableColumn id="16" xr3:uid="{00000000-0010-0000-0000-000010000000}" name="Álcool" dataDxfId="7"/>
    <tableColumn id="17" xr3:uid="{00000000-0010-0000-0000-000011000000}" name="Prato" dataDxfId="6"/>
    <tableColumn id="18" xr3:uid="{00000000-0010-0000-0000-000012000000}" name="Bebida na comida" dataDxfId="5"/>
    <tableColumn id="19" xr3:uid="{00000000-0010-0000-0000-000013000000}" name="Esporte" dataDxfId="4"/>
    <tableColumn id="20" xr3:uid="{00000000-0010-0000-0000-000014000000}" name="Qual" dataDxfId="3"/>
    <tableColumn id="21" xr3:uid="{00000000-0010-0000-0000-000015000000}" name="Freq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N8" sqref="N8"/>
    </sheetView>
  </sheetViews>
  <sheetFormatPr defaultRowHeight="15" x14ac:dyDescent="0.25"/>
  <cols>
    <col min="1" max="1" width="9.140625" style="47"/>
    <col min="2" max="3" width="10.28515625" style="47" customWidth="1"/>
    <col min="4" max="4" width="12.140625" style="47" bestFit="1" customWidth="1"/>
    <col min="5" max="5" width="10.28515625" style="47" customWidth="1"/>
    <col min="6" max="6" width="9.5703125" style="47" customWidth="1"/>
    <col min="7" max="7" width="9.28515625" style="47" customWidth="1"/>
    <col min="8" max="8" width="9.140625" style="47"/>
    <col min="9" max="9" width="9.5703125" style="47" customWidth="1"/>
    <col min="10" max="10" width="9.140625" style="47"/>
    <col min="11" max="11" width="9.28515625" style="47" customWidth="1"/>
    <col min="12" max="12" width="9.7109375" style="47" customWidth="1"/>
    <col min="13" max="14" width="9.140625" style="47"/>
    <col min="15" max="15" width="14.28515625" style="47" customWidth="1"/>
    <col min="16" max="18" width="9.140625" style="47"/>
    <col min="19" max="19" width="18.7109375" style="47" customWidth="1"/>
    <col min="20" max="20" width="9.85546875" style="47" customWidth="1"/>
    <col min="21" max="16384" width="9.140625" style="47"/>
  </cols>
  <sheetData>
    <row r="2" spans="2:5" x14ac:dyDescent="0.25">
      <c r="B2" s="46" t="s">
        <v>208</v>
      </c>
      <c r="C2" s="46" t="s">
        <v>209</v>
      </c>
      <c r="D2" s="46" t="s">
        <v>210</v>
      </c>
      <c r="E2" s="46" t="s">
        <v>211</v>
      </c>
    </row>
    <row r="3" spans="2:5" x14ac:dyDescent="0.25">
      <c r="B3" s="46">
        <v>1</v>
      </c>
      <c r="C3" s="46" t="s">
        <v>212</v>
      </c>
      <c r="D3" s="48">
        <v>1000</v>
      </c>
      <c r="E3" s="46"/>
    </row>
    <row r="4" spans="2:5" x14ac:dyDescent="0.25">
      <c r="B4" s="46">
        <v>2</v>
      </c>
      <c r="C4" s="46" t="s">
        <v>213</v>
      </c>
      <c r="D4" s="48">
        <v>2000</v>
      </c>
      <c r="E4" s="46"/>
    </row>
    <row r="5" spans="2:5" x14ac:dyDescent="0.25">
      <c r="B5" s="46">
        <v>3</v>
      </c>
      <c r="C5" s="46" t="s">
        <v>214</v>
      </c>
      <c r="D5" s="48">
        <v>3000</v>
      </c>
      <c r="E5" s="46"/>
    </row>
    <row r="6" spans="2:5" x14ac:dyDescent="0.25">
      <c r="B6" s="46">
        <v>4</v>
      </c>
      <c r="C6" s="46" t="s">
        <v>215</v>
      </c>
      <c r="D6" s="48">
        <v>4000</v>
      </c>
      <c r="E6" s="4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"/>
  <sheetViews>
    <sheetView zoomScale="120" zoomScaleNormal="120" workbookViewId="0">
      <pane ySplit="1" topLeftCell="A68" activePane="bottomLeft" state="frozen"/>
      <selection pane="bottomLeft" sqref="A1:XFD1048576"/>
    </sheetView>
  </sheetViews>
  <sheetFormatPr defaultRowHeight="15" x14ac:dyDescent="0.25"/>
  <cols>
    <col min="1" max="1" width="10.140625" style="47" customWidth="1"/>
    <col min="2" max="6" width="9.140625" style="47"/>
    <col min="7" max="7" width="22.7109375" style="47" bestFit="1" customWidth="1"/>
    <col min="8" max="14" width="9.140625" style="47"/>
    <col min="15" max="15" width="14.42578125" style="47" bestFit="1" customWidth="1"/>
    <col min="16" max="16" width="14" style="47" bestFit="1" customWidth="1"/>
    <col min="17" max="17" width="16.28515625" style="47" bestFit="1" customWidth="1"/>
    <col min="18" max="20" width="9.140625" style="47"/>
    <col min="21" max="21" width="25.5703125" style="47" bestFit="1" customWidth="1"/>
    <col min="22" max="16384" width="9.140625" style="47"/>
  </cols>
  <sheetData>
    <row r="1" spans="1:22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81</v>
      </c>
      <c r="F1" s="47" t="s">
        <v>4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  <c r="N1" s="47" t="s">
        <v>12</v>
      </c>
      <c r="O1" s="47" t="s">
        <v>13</v>
      </c>
      <c r="P1" s="47" t="s">
        <v>14</v>
      </c>
      <c r="Q1" s="47" t="s">
        <v>15</v>
      </c>
      <c r="R1" s="47" t="s">
        <v>16</v>
      </c>
      <c r="S1" s="47" t="s">
        <v>17</v>
      </c>
      <c r="T1" s="47" t="s">
        <v>18</v>
      </c>
      <c r="U1" s="47" t="s">
        <v>19</v>
      </c>
      <c r="V1" s="47" t="s">
        <v>20</v>
      </c>
    </row>
    <row r="2" spans="1:22" x14ac:dyDescent="0.25">
      <c r="A2" s="47" t="s">
        <v>21</v>
      </c>
      <c r="B2" s="47">
        <v>22</v>
      </c>
      <c r="C2" s="47">
        <v>53</v>
      </c>
      <c r="D2" s="49">
        <v>1.72</v>
      </c>
      <c r="E2" s="50">
        <f>Tabela2[[#This Row],[Peso]]/Tabela2[[#This Row],[Altura]]^2</f>
        <v>17.915089237425637</v>
      </c>
      <c r="F2" s="47">
        <v>74</v>
      </c>
      <c r="G2" s="47" t="s">
        <v>132</v>
      </c>
      <c r="H2" s="47" t="s">
        <v>22</v>
      </c>
      <c r="I2" s="47" t="s">
        <v>23</v>
      </c>
      <c r="J2" s="47" t="s">
        <v>24</v>
      </c>
      <c r="K2" s="47" t="s">
        <v>25</v>
      </c>
      <c r="M2" s="47" t="s">
        <v>25</v>
      </c>
      <c r="O2" s="47" t="s">
        <v>26</v>
      </c>
      <c r="P2" s="47" t="s">
        <v>27</v>
      </c>
      <c r="Q2" s="47" t="s">
        <v>28</v>
      </c>
      <c r="R2" s="47">
        <v>300</v>
      </c>
      <c r="S2" s="47" t="s">
        <v>29</v>
      </c>
      <c r="T2" s="47" t="s">
        <v>24</v>
      </c>
      <c r="U2" s="47" t="s">
        <v>30</v>
      </c>
      <c r="V2" s="47">
        <v>2</v>
      </c>
    </row>
    <row r="3" spans="1:22" x14ac:dyDescent="0.25">
      <c r="A3" s="47" t="s">
        <v>21</v>
      </c>
      <c r="B3" s="47">
        <v>58</v>
      </c>
      <c r="C3" s="47">
        <v>60</v>
      </c>
      <c r="D3" s="49">
        <v>1.58</v>
      </c>
      <c r="E3" s="50">
        <f>Tabela2[[#This Row],[Peso]]/Tabela2[[#This Row],[Altura]]^2</f>
        <v>24.034609838166958</v>
      </c>
      <c r="F3" s="47">
        <v>90</v>
      </c>
      <c r="G3" s="47" t="s">
        <v>31</v>
      </c>
      <c r="H3" s="47" t="s">
        <v>22</v>
      </c>
      <c r="I3" s="47" t="s">
        <v>32</v>
      </c>
      <c r="J3" s="47" t="s">
        <v>24</v>
      </c>
      <c r="K3" s="47" t="s">
        <v>25</v>
      </c>
      <c r="M3" s="47" t="s">
        <v>25</v>
      </c>
      <c r="O3" s="47" t="s">
        <v>26</v>
      </c>
      <c r="P3" s="47" t="s">
        <v>27</v>
      </c>
      <c r="Q3" s="47" t="s">
        <v>28</v>
      </c>
      <c r="R3" s="47">
        <v>250</v>
      </c>
      <c r="S3" s="47" t="s">
        <v>33</v>
      </c>
      <c r="T3" s="47" t="s">
        <v>24</v>
      </c>
      <c r="U3" s="47" t="s">
        <v>34</v>
      </c>
      <c r="V3" s="47">
        <v>3</v>
      </c>
    </row>
    <row r="4" spans="1:22" x14ac:dyDescent="0.25">
      <c r="A4" s="47" t="s">
        <v>35</v>
      </c>
      <c r="B4" s="47">
        <v>51</v>
      </c>
      <c r="C4" s="47">
        <v>88</v>
      </c>
      <c r="D4" s="49">
        <v>1.74</v>
      </c>
      <c r="E4" s="50">
        <f>Tabela2[[#This Row],[Peso]]/Tabela2[[#This Row],[Altura]]^2</f>
        <v>29.065926806711587</v>
      </c>
      <c r="F4" s="47">
        <v>109</v>
      </c>
      <c r="G4" s="47" t="s">
        <v>36</v>
      </c>
      <c r="H4" s="47" t="s">
        <v>37</v>
      </c>
      <c r="I4" s="47" t="s">
        <v>32</v>
      </c>
      <c r="J4" s="47" t="s">
        <v>24</v>
      </c>
      <c r="N4" s="47" t="s">
        <v>25</v>
      </c>
      <c r="O4" s="47" t="s">
        <v>26</v>
      </c>
      <c r="P4" s="47" t="s">
        <v>88</v>
      </c>
      <c r="Q4" s="47" t="s">
        <v>38</v>
      </c>
      <c r="R4" s="47">
        <v>350</v>
      </c>
      <c r="S4" s="47" t="s">
        <v>33</v>
      </c>
      <c r="T4" s="47" t="s">
        <v>39</v>
      </c>
      <c r="V4" s="47">
        <v>0</v>
      </c>
    </row>
    <row r="5" spans="1:22" x14ac:dyDescent="0.25">
      <c r="A5" s="47" t="s">
        <v>21</v>
      </c>
      <c r="B5" s="47">
        <v>21</v>
      </c>
      <c r="C5" s="47">
        <v>51</v>
      </c>
      <c r="D5" s="49">
        <v>1.53</v>
      </c>
      <c r="E5" s="50">
        <f>Tabela2[[#This Row],[Peso]]/Tabela2[[#This Row],[Altura]]^2</f>
        <v>21.786492374727668</v>
      </c>
      <c r="F5" s="47">
        <v>70</v>
      </c>
      <c r="G5" s="47" t="s">
        <v>132</v>
      </c>
      <c r="H5" s="47" t="s">
        <v>22</v>
      </c>
      <c r="I5" s="47" t="s">
        <v>32</v>
      </c>
      <c r="J5" s="47" t="s">
        <v>24</v>
      </c>
      <c r="K5" s="47" t="s">
        <v>25</v>
      </c>
      <c r="M5" s="47" t="s">
        <v>25</v>
      </c>
      <c r="O5" s="47" t="s">
        <v>26</v>
      </c>
      <c r="P5" s="47" t="s">
        <v>27</v>
      </c>
      <c r="Q5" s="47" t="s">
        <v>28</v>
      </c>
      <c r="R5" s="47">
        <v>250</v>
      </c>
      <c r="S5" s="47" t="s">
        <v>40</v>
      </c>
      <c r="T5" s="47" t="s">
        <v>24</v>
      </c>
      <c r="U5" s="47" t="s">
        <v>30</v>
      </c>
      <c r="V5" s="47">
        <v>3</v>
      </c>
    </row>
    <row r="6" spans="1:22" x14ac:dyDescent="0.25">
      <c r="A6" s="47" t="s">
        <v>21</v>
      </c>
      <c r="B6" s="47">
        <v>52</v>
      </c>
      <c r="C6" s="47">
        <v>65</v>
      </c>
      <c r="D6" s="49">
        <v>1.5</v>
      </c>
      <c r="E6" s="50">
        <f>Tabela2[[#This Row],[Peso]]/Tabela2[[#This Row],[Altura]]^2</f>
        <v>28.888888888888889</v>
      </c>
      <c r="F6" s="47">
        <v>60</v>
      </c>
      <c r="G6" s="47" t="s">
        <v>132</v>
      </c>
      <c r="H6" s="47" t="s">
        <v>22</v>
      </c>
      <c r="I6" s="47" t="s">
        <v>41</v>
      </c>
      <c r="J6" s="47" t="s">
        <v>39</v>
      </c>
      <c r="O6" s="47" t="s">
        <v>26</v>
      </c>
      <c r="P6" s="47" t="s">
        <v>27</v>
      </c>
      <c r="Q6" s="47" t="s">
        <v>27</v>
      </c>
      <c r="R6" s="47">
        <v>500</v>
      </c>
      <c r="S6" s="47" t="s">
        <v>33</v>
      </c>
      <c r="T6" s="47" t="s">
        <v>39</v>
      </c>
      <c r="V6" s="47">
        <v>0</v>
      </c>
    </row>
    <row r="7" spans="1:22" x14ac:dyDescent="0.25">
      <c r="A7" s="47" t="s">
        <v>35</v>
      </c>
      <c r="B7" s="47">
        <v>25</v>
      </c>
      <c r="C7" s="47">
        <v>78</v>
      </c>
      <c r="D7" s="49">
        <v>1.8</v>
      </c>
      <c r="E7" s="50">
        <f>Tabela2[[#This Row],[Peso]]/Tabela2[[#This Row],[Altura]]^2</f>
        <v>24.074074074074073</v>
      </c>
      <c r="F7" s="47">
        <v>70</v>
      </c>
      <c r="G7" s="47" t="s">
        <v>42</v>
      </c>
      <c r="H7" s="47" t="s">
        <v>43</v>
      </c>
      <c r="I7" s="47" t="s">
        <v>23</v>
      </c>
      <c r="J7" s="47" t="s">
        <v>39</v>
      </c>
      <c r="O7" s="47" t="s">
        <v>26</v>
      </c>
      <c r="P7" s="47" t="s">
        <v>27</v>
      </c>
      <c r="Q7" s="47" t="s">
        <v>28</v>
      </c>
      <c r="R7" s="47">
        <v>1000</v>
      </c>
      <c r="S7" s="47" t="s">
        <v>40</v>
      </c>
      <c r="T7" s="47" t="s">
        <v>24</v>
      </c>
      <c r="U7" s="47" t="s">
        <v>44</v>
      </c>
      <c r="V7" s="47">
        <v>2</v>
      </c>
    </row>
    <row r="8" spans="1:22" x14ac:dyDescent="0.25">
      <c r="A8" s="47" t="s">
        <v>21</v>
      </c>
      <c r="B8" s="47">
        <v>18</v>
      </c>
      <c r="C8" s="47">
        <v>50</v>
      </c>
      <c r="D8" s="49">
        <v>1.56</v>
      </c>
      <c r="E8" s="50">
        <f>Tabela2[[#This Row],[Peso]]/Tabela2[[#This Row],[Altura]]^2</f>
        <v>20.5456936226167</v>
      </c>
      <c r="F8" s="47">
        <v>52</v>
      </c>
      <c r="G8" s="47" t="s">
        <v>132</v>
      </c>
      <c r="H8" s="47" t="s">
        <v>22</v>
      </c>
      <c r="I8" s="47" t="s">
        <v>32</v>
      </c>
      <c r="J8" s="47" t="s">
        <v>24</v>
      </c>
      <c r="K8" s="47" t="s">
        <v>25</v>
      </c>
      <c r="O8" s="47" t="s">
        <v>45</v>
      </c>
      <c r="P8" s="47" t="s">
        <v>27</v>
      </c>
      <c r="Q8" s="47" t="s">
        <v>28</v>
      </c>
      <c r="R8" s="47">
        <v>350</v>
      </c>
      <c r="S8" s="47" t="s">
        <v>29</v>
      </c>
      <c r="T8" s="47" t="s">
        <v>39</v>
      </c>
      <c r="V8" s="47">
        <v>0</v>
      </c>
    </row>
    <row r="9" spans="1:22" x14ac:dyDescent="0.25">
      <c r="A9" s="47" t="s">
        <v>21</v>
      </c>
      <c r="B9" s="47">
        <v>20</v>
      </c>
      <c r="C9" s="47">
        <v>47</v>
      </c>
      <c r="D9" s="49">
        <v>1.56</v>
      </c>
      <c r="E9" s="50">
        <f>Tabela2[[#This Row],[Peso]]/Tabela2[[#This Row],[Altura]]^2</f>
        <v>19.312952005259696</v>
      </c>
      <c r="F9" s="47">
        <v>60</v>
      </c>
      <c r="G9" s="47" t="s">
        <v>31</v>
      </c>
      <c r="H9" s="47" t="s">
        <v>22</v>
      </c>
      <c r="I9" s="47" t="s">
        <v>41</v>
      </c>
      <c r="J9" s="47" t="s">
        <v>24</v>
      </c>
      <c r="K9" s="47" t="s">
        <v>25</v>
      </c>
      <c r="M9" s="47" t="s">
        <v>25</v>
      </c>
      <c r="O9" s="47" t="s">
        <v>26</v>
      </c>
      <c r="P9" s="47" t="s">
        <v>27</v>
      </c>
      <c r="Q9" s="47" t="s">
        <v>27</v>
      </c>
      <c r="R9" s="47">
        <v>300</v>
      </c>
      <c r="S9" s="47" t="s">
        <v>29</v>
      </c>
      <c r="T9" s="47" t="s">
        <v>39</v>
      </c>
      <c r="V9" s="47">
        <v>0</v>
      </c>
    </row>
    <row r="10" spans="1:22" x14ac:dyDescent="0.25">
      <c r="A10" s="47" t="s">
        <v>21</v>
      </c>
      <c r="B10" s="47">
        <v>25</v>
      </c>
      <c r="C10" s="47">
        <v>65</v>
      </c>
      <c r="D10" s="49">
        <v>1.63</v>
      </c>
      <c r="E10" s="50">
        <f>Tabela2[[#This Row],[Peso]]/Tabela2[[#This Row],[Altura]]^2</f>
        <v>24.464601603372351</v>
      </c>
      <c r="F10" s="47">
        <v>83</v>
      </c>
      <c r="G10" s="47" t="s">
        <v>31</v>
      </c>
      <c r="H10" s="47" t="s">
        <v>22</v>
      </c>
      <c r="I10" s="47" t="s">
        <v>32</v>
      </c>
      <c r="J10" s="47" t="s">
        <v>24</v>
      </c>
      <c r="K10" s="47" t="s">
        <v>25</v>
      </c>
      <c r="O10" s="47" t="s">
        <v>26</v>
      </c>
      <c r="P10" s="47" t="s">
        <v>27</v>
      </c>
      <c r="Q10" s="47" t="s">
        <v>27</v>
      </c>
      <c r="R10" s="47">
        <v>300</v>
      </c>
      <c r="S10" s="47" t="s">
        <v>33</v>
      </c>
      <c r="T10" s="47" t="s">
        <v>24</v>
      </c>
      <c r="U10" s="47" t="s">
        <v>46</v>
      </c>
      <c r="V10" s="47">
        <v>2</v>
      </c>
    </row>
    <row r="11" spans="1:22" x14ac:dyDescent="0.25">
      <c r="A11" s="47" t="s">
        <v>21</v>
      </c>
      <c r="B11" s="47">
        <v>21</v>
      </c>
      <c r="C11" s="47">
        <v>55</v>
      </c>
      <c r="D11" s="49">
        <v>1.65</v>
      </c>
      <c r="E11" s="50">
        <f>Tabela2[[#This Row],[Peso]]/Tabela2[[#This Row],[Altura]]^2</f>
        <v>20.202020202020204</v>
      </c>
      <c r="F11" s="47">
        <v>67</v>
      </c>
      <c r="G11" s="47" t="s">
        <v>47</v>
      </c>
      <c r="H11" s="47" t="s">
        <v>22</v>
      </c>
      <c r="I11" s="47" t="s">
        <v>23</v>
      </c>
      <c r="J11" s="47" t="s">
        <v>24</v>
      </c>
      <c r="K11" s="47" t="s">
        <v>25</v>
      </c>
      <c r="M11" s="47" t="s">
        <v>25</v>
      </c>
      <c r="O11" s="47" t="s">
        <v>26</v>
      </c>
      <c r="P11" s="47" t="s">
        <v>48</v>
      </c>
      <c r="Q11" s="47" t="s">
        <v>38</v>
      </c>
      <c r="R11" s="47">
        <v>300</v>
      </c>
      <c r="S11" s="47" t="s">
        <v>29</v>
      </c>
      <c r="T11" s="47" t="s">
        <v>24</v>
      </c>
      <c r="U11" s="47" t="s">
        <v>49</v>
      </c>
      <c r="V11" s="47">
        <v>2</v>
      </c>
    </row>
    <row r="12" spans="1:22" x14ac:dyDescent="0.25">
      <c r="A12" s="47" t="s">
        <v>21</v>
      </c>
      <c r="B12" s="47">
        <v>41</v>
      </c>
      <c r="C12" s="47">
        <v>92</v>
      </c>
      <c r="D12" s="49">
        <v>1.7</v>
      </c>
      <c r="E12" s="50">
        <f>Tabela2[[#This Row],[Peso]]/Tabela2[[#This Row],[Altura]]^2</f>
        <v>31.833910034602081</v>
      </c>
      <c r="F12" s="47">
        <v>90</v>
      </c>
      <c r="G12" s="47" t="s">
        <v>47</v>
      </c>
      <c r="H12" s="47" t="s">
        <v>22</v>
      </c>
      <c r="I12" s="47" t="s">
        <v>23</v>
      </c>
      <c r="J12" s="47" t="s">
        <v>39</v>
      </c>
      <c r="O12" s="47" t="s">
        <v>26</v>
      </c>
      <c r="P12" s="47" t="s">
        <v>27</v>
      </c>
      <c r="Q12" s="47" t="s">
        <v>27</v>
      </c>
      <c r="R12" s="47">
        <v>300</v>
      </c>
      <c r="S12" s="47" t="s">
        <v>29</v>
      </c>
      <c r="T12" s="47" t="s">
        <v>39</v>
      </c>
      <c r="V12" s="47">
        <v>0</v>
      </c>
    </row>
    <row r="13" spans="1:22" x14ac:dyDescent="0.25">
      <c r="A13" s="47" t="s">
        <v>35</v>
      </c>
      <c r="B13" s="47">
        <v>70</v>
      </c>
      <c r="C13" s="47">
        <v>70</v>
      </c>
      <c r="D13" s="49">
        <v>1.69</v>
      </c>
      <c r="E13" s="50">
        <f>Tabela2[[#This Row],[Peso]]/Tabela2[[#This Row],[Altura]]^2</f>
        <v>24.508945765204302</v>
      </c>
      <c r="F13" s="47">
        <v>70</v>
      </c>
      <c r="G13" s="47" t="s">
        <v>50</v>
      </c>
      <c r="H13" s="47" t="s">
        <v>22</v>
      </c>
      <c r="I13" s="47" t="s">
        <v>23</v>
      </c>
      <c r="J13" s="47" t="s">
        <v>24</v>
      </c>
      <c r="K13" s="47" t="s">
        <v>25</v>
      </c>
      <c r="M13" s="47" t="s">
        <v>25</v>
      </c>
      <c r="O13" s="47" t="s">
        <v>26</v>
      </c>
      <c r="P13" s="47" t="s">
        <v>51</v>
      </c>
      <c r="Q13" s="47" t="s">
        <v>27</v>
      </c>
      <c r="R13" s="47">
        <v>350</v>
      </c>
      <c r="S13" s="47" t="s">
        <v>29</v>
      </c>
      <c r="T13" s="47" t="s">
        <v>39</v>
      </c>
      <c r="V13" s="47">
        <v>0</v>
      </c>
    </row>
    <row r="14" spans="1:22" x14ac:dyDescent="0.25">
      <c r="A14" s="47" t="s">
        <v>35</v>
      </c>
      <c r="B14" s="47">
        <v>21</v>
      </c>
      <c r="C14" s="47">
        <v>72</v>
      </c>
      <c r="D14" s="49">
        <v>1.7</v>
      </c>
      <c r="E14" s="50">
        <f>Tabela2[[#This Row],[Peso]]/Tabela2[[#This Row],[Altura]]^2</f>
        <v>24.913494809688583</v>
      </c>
      <c r="F14" s="47">
        <v>105</v>
      </c>
      <c r="G14" s="47" t="s">
        <v>52</v>
      </c>
      <c r="H14" s="47" t="s">
        <v>22</v>
      </c>
      <c r="I14" s="47" t="s">
        <v>23</v>
      </c>
      <c r="J14" s="47" t="s">
        <v>24</v>
      </c>
      <c r="K14" s="47" t="s">
        <v>25</v>
      </c>
      <c r="O14" s="47" t="s">
        <v>26</v>
      </c>
      <c r="P14" s="47" t="s">
        <v>27</v>
      </c>
      <c r="Q14" s="47" t="s">
        <v>28</v>
      </c>
      <c r="R14" s="47">
        <v>450</v>
      </c>
      <c r="S14" s="47" t="s">
        <v>29</v>
      </c>
      <c r="T14" s="47" t="s">
        <v>39</v>
      </c>
      <c r="V14" s="47">
        <v>0</v>
      </c>
    </row>
    <row r="15" spans="1:22" x14ac:dyDescent="0.25">
      <c r="A15" s="47" t="s">
        <v>35</v>
      </c>
      <c r="B15" s="47">
        <v>22</v>
      </c>
      <c r="C15" s="47">
        <v>61</v>
      </c>
      <c r="D15" s="49">
        <v>1.73</v>
      </c>
      <c r="E15" s="50">
        <f>Tabela2[[#This Row],[Peso]]/Tabela2[[#This Row],[Altura]]^2</f>
        <v>20.381569714992146</v>
      </c>
      <c r="F15" s="47">
        <v>60</v>
      </c>
      <c r="G15" s="47" t="s">
        <v>132</v>
      </c>
      <c r="H15" s="47" t="s">
        <v>22</v>
      </c>
      <c r="I15" s="47" t="s">
        <v>32</v>
      </c>
      <c r="J15" s="47" t="s">
        <v>39</v>
      </c>
      <c r="O15" s="47" t="s">
        <v>26</v>
      </c>
      <c r="P15" s="47" t="s">
        <v>48</v>
      </c>
      <c r="Q15" s="47" t="s">
        <v>38</v>
      </c>
      <c r="R15" s="47">
        <v>500</v>
      </c>
      <c r="S15" s="47" t="s">
        <v>29</v>
      </c>
      <c r="T15" s="47" t="s">
        <v>39</v>
      </c>
      <c r="V15" s="47">
        <v>0</v>
      </c>
    </row>
    <row r="16" spans="1:22" x14ac:dyDescent="0.25">
      <c r="A16" s="47" t="s">
        <v>35</v>
      </c>
      <c r="B16" s="47">
        <v>25</v>
      </c>
      <c r="C16" s="47">
        <v>92</v>
      </c>
      <c r="D16" s="49">
        <v>1.78</v>
      </c>
      <c r="E16" s="50">
        <f>Tabela2[[#This Row],[Peso]]/Tabela2[[#This Row],[Altura]]^2</f>
        <v>29.036737785633125</v>
      </c>
      <c r="F16" s="47">
        <v>92</v>
      </c>
      <c r="G16" s="47" t="s">
        <v>50</v>
      </c>
      <c r="H16" s="47" t="s">
        <v>22</v>
      </c>
      <c r="I16" s="47" t="s">
        <v>23</v>
      </c>
      <c r="J16" s="47" t="s">
        <v>39</v>
      </c>
      <c r="O16" s="47" t="s">
        <v>26</v>
      </c>
      <c r="P16" s="47" t="s">
        <v>53</v>
      </c>
      <c r="Q16" s="47" t="s">
        <v>54</v>
      </c>
      <c r="R16" s="47">
        <v>700</v>
      </c>
      <c r="S16" s="47" t="s">
        <v>29</v>
      </c>
      <c r="T16" s="47" t="s">
        <v>24</v>
      </c>
      <c r="U16" s="47" t="s">
        <v>46</v>
      </c>
      <c r="V16" s="47">
        <v>1</v>
      </c>
    </row>
    <row r="17" spans="1:22" x14ac:dyDescent="0.25">
      <c r="A17" s="47" t="s">
        <v>21</v>
      </c>
      <c r="B17" s="47">
        <v>20</v>
      </c>
      <c r="C17" s="47">
        <v>62</v>
      </c>
      <c r="D17" s="49">
        <v>1.62</v>
      </c>
      <c r="E17" s="50">
        <f>Tabela2[[#This Row],[Peso]]/Tabela2[[#This Row],[Altura]]^2</f>
        <v>23.624447492760247</v>
      </c>
      <c r="F17" s="47">
        <v>74</v>
      </c>
      <c r="G17" s="47" t="s">
        <v>132</v>
      </c>
      <c r="H17" s="47" t="s">
        <v>22</v>
      </c>
      <c r="I17" s="47" t="s">
        <v>41</v>
      </c>
      <c r="J17" s="47" t="s">
        <v>24</v>
      </c>
      <c r="K17" s="47" t="s">
        <v>25</v>
      </c>
      <c r="M17" s="47" t="s">
        <v>25</v>
      </c>
      <c r="O17" s="47" t="s">
        <v>26</v>
      </c>
      <c r="P17" s="47" t="s">
        <v>27</v>
      </c>
      <c r="Q17" s="47" t="s">
        <v>27</v>
      </c>
      <c r="R17" s="47">
        <v>150</v>
      </c>
      <c r="S17" s="47" t="s">
        <v>55</v>
      </c>
      <c r="T17" s="47" t="s">
        <v>24</v>
      </c>
      <c r="U17" s="47" t="s">
        <v>56</v>
      </c>
      <c r="V17" s="47">
        <v>2</v>
      </c>
    </row>
    <row r="18" spans="1:22" x14ac:dyDescent="0.25">
      <c r="A18" s="47" t="s">
        <v>21</v>
      </c>
      <c r="B18" s="47">
        <v>58</v>
      </c>
      <c r="C18" s="47">
        <v>78</v>
      </c>
      <c r="D18" s="49">
        <v>1.65</v>
      </c>
      <c r="E18" s="50">
        <f>Tabela2[[#This Row],[Peso]]/Tabela2[[#This Row],[Altura]]^2</f>
        <v>28.650137741046834</v>
      </c>
      <c r="F18" s="47">
        <v>98</v>
      </c>
      <c r="G18" s="47" t="s">
        <v>132</v>
      </c>
      <c r="H18" s="47" t="s">
        <v>22</v>
      </c>
      <c r="I18" s="47" t="s">
        <v>41</v>
      </c>
      <c r="J18" s="47" t="s">
        <v>24</v>
      </c>
      <c r="K18" s="47" t="s">
        <v>25</v>
      </c>
      <c r="O18" s="47" t="s">
        <v>26</v>
      </c>
      <c r="P18" s="47" t="s">
        <v>51</v>
      </c>
      <c r="Q18" s="47" t="s">
        <v>38</v>
      </c>
      <c r="R18" s="47">
        <v>200</v>
      </c>
      <c r="S18" s="47" t="s">
        <v>29</v>
      </c>
      <c r="T18" s="47" t="s">
        <v>39</v>
      </c>
      <c r="V18" s="47">
        <v>0</v>
      </c>
    </row>
    <row r="19" spans="1:22" x14ac:dyDescent="0.25">
      <c r="A19" s="47" t="s">
        <v>35</v>
      </c>
      <c r="B19" s="47">
        <v>24</v>
      </c>
      <c r="C19" s="47">
        <v>68</v>
      </c>
      <c r="D19" s="49">
        <v>1.72</v>
      </c>
      <c r="E19" s="50">
        <f>Tabela2[[#This Row],[Peso]]/Tabela2[[#This Row],[Altura]]^2</f>
        <v>22.985397512168742</v>
      </c>
      <c r="F19" s="47">
        <v>75</v>
      </c>
      <c r="G19" s="47" t="s">
        <v>132</v>
      </c>
      <c r="H19" s="47" t="s">
        <v>22</v>
      </c>
      <c r="I19" s="47" t="s">
        <v>23</v>
      </c>
      <c r="J19" s="47" t="s">
        <v>39</v>
      </c>
      <c r="O19" s="47" t="s">
        <v>26</v>
      </c>
      <c r="P19" s="47" t="s">
        <v>27</v>
      </c>
      <c r="Q19" s="47" t="s">
        <v>28</v>
      </c>
      <c r="R19" s="47">
        <v>500</v>
      </c>
      <c r="S19" s="47" t="s">
        <v>33</v>
      </c>
      <c r="T19" s="47" t="s">
        <v>39</v>
      </c>
      <c r="V19" s="47">
        <v>0</v>
      </c>
    </row>
    <row r="20" spans="1:22" x14ac:dyDescent="0.25">
      <c r="A20" s="47" t="s">
        <v>21</v>
      </c>
      <c r="B20" s="47">
        <v>21</v>
      </c>
      <c r="C20" s="47">
        <v>45</v>
      </c>
      <c r="D20" s="49">
        <v>1.57</v>
      </c>
      <c r="E20" s="50">
        <f>Tabela2[[#This Row],[Peso]]/Tabela2[[#This Row],[Altura]]^2</f>
        <v>18.25631871475516</v>
      </c>
      <c r="F20" s="47">
        <v>65</v>
      </c>
      <c r="G20" s="47" t="s">
        <v>132</v>
      </c>
      <c r="H20" s="47" t="s">
        <v>22</v>
      </c>
      <c r="I20" s="47" t="s">
        <v>23</v>
      </c>
      <c r="J20" s="47" t="s">
        <v>39</v>
      </c>
      <c r="O20" s="47" t="s">
        <v>26</v>
      </c>
      <c r="P20" s="47" t="s">
        <v>27</v>
      </c>
      <c r="Q20" s="47" t="s">
        <v>28</v>
      </c>
      <c r="R20" s="47">
        <v>400</v>
      </c>
      <c r="S20" s="47" t="s">
        <v>33</v>
      </c>
      <c r="T20" s="47" t="s">
        <v>39</v>
      </c>
      <c r="V20" s="47">
        <v>0</v>
      </c>
    </row>
    <row r="21" spans="1:22" x14ac:dyDescent="0.25">
      <c r="A21" s="47" t="s">
        <v>35</v>
      </c>
      <c r="B21" s="47">
        <v>40</v>
      </c>
      <c r="C21" s="47">
        <v>70</v>
      </c>
      <c r="D21" s="49">
        <v>1.7</v>
      </c>
      <c r="E21" s="50">
        <f>Tabela2[[#This Row],[Peso]]/Tabela2[[#This Row],[Altura]]^2</f>
        <v>24.221453287197235</v>
      </c>
      <c r="F21" s="47">
        <v>70</v>
      </c>
      <c r="G21" s="47" t="s">
        <v>132</v>
      </c>
      <c r="H21" s="47" t="s">
        <v>22</v>
      </c>
      <c r="I21" s="47" t="s">
        <v>23</v>
      </c>
      <c r="J21" s="47" t="s">
        <v>39</v>
      </c>
      <c r="O21" s="47" t="s">
        <v>26</v>
      </c>
      <c r="P21" s="47" t="s">
        <v>27</v>
      </c>
      <c r="Q21" s="47" t="s">
        <v>27</v>
      </c>
      <c r="R21" s="47">
        <v>500</v>
      </c>
      <c r="S21" s="47" t="s">
        <v>29</v>
      </c>
      <c r="T21" s="47" t="s">
        <v>39</v>
      </c>
      <c r="V21" s="47">
        <v>0</v>
      </c>
    </row>
    <row r="22" spans="1:22" x14ac:dyDescent="0.25">
      <c r="A22" s="47" t="s">
        <v>21</v>
      </c>
      <c r="B22" s="47">
        <v>21</v>
      </c>
      <c r="C22" s="47">
        <v>45</v>
      </c>
      <c r="D22" s="49">
        <v>1.56</v>
      </c>
      <c r="E22" s="50">
        <f>Tabela2[[#This Row],[Peso]]/Tabela2[[#This Row],[Altura]]^2</f>
        <v>18.491124260355029</v>
      </c>
      <c r="F22" s="47">
        <v>63</v>
      </c>
      <c r="G22" s="47" t="s">
        <v>132</v>
      </c>
      <c r="H22" s="47" t="s">
        <v>22</v>
      </c>
      <c r="I22" s="47" t="s">
        <v>23</v>
      </c>
      <c r="J22" s="47" t="s">
        <v>24</v>
      </c>
      <c r="L22" s="47" t="s">
        <v>25</v>
      </c>
      <c r="M22" s="47" t="s">
        <v>25</v>
      </c>
      <c r="O22" s="47" t="s">
        <v>45</v>
      </c>
      <c r="P22" s="47" t="s">
        <v>48</v>
      </c>
      <c r="Q22" s="47" t="s">
        <v>28</v>
      </c>
      <c r="R22" s="47">
        <v>500</v>
      </c>
      <c r="S22" s="47" t="s">
        <v>33</v>
      </c>
      <c r="T22" s="47" t="s">
        <v>24</v>
      </c>
      <c r="U22" s="47" t="s">
        <v>57</v>
      </c>
      <c r="V22" s="47">
        <v>3</v>
      </c>
    </row>
    <row r="23" spans="1:22" x14ac:dyDescent="0.25">
      <c r="A23" s="47" t="s">
        <v>21</v>
      </c>
      <c r="B23" s="47">
        <v>51</v>
      </c>
      <c r="C23" s="47">
        <v>56</v>
      </c>
      <c r="D23" s="49">
        <v>1.53</v>
      </c>
      <c r="E23" s="50">
        <f>Tabela2[[#This Row],[Peso]]/Tabela2[[#This Row],[Altura]]^2</f>
        <v>23.92242299970097</v>
      </c>
      <c r="F23" s="47">
        <v>78</v>
      </c>
      <c r="G23" s="47" t="s">
        <v>132</v>
      </c>
      <c r="H23" s="47" t="s">
        <v>22</v>
      </c>
      <c r="I23" s="47" t="s">
        <v>23</v>
      </c>
      <c r="J23" s="47" t="s">
        <v>24</v>
      </c>
      <c r="K23" s="47" t="s">
        <v>25</v>
      </c>
      <c r="O23" s="47" t="s">
        <v>26</v>
      </c>
      <c r="P23" s="47" t="s">
        <v>27</v>
      </c>
      <c r="Q23" s="47" t="s">
        <v>27</v>
      </c>
      <c r="R23" s="47">
        <v>300</v>
      </c>
      <c r="S23" s="47" t="s">
        <v>29</v>
      </c>
      <c r="T23" s="47" t="s">
        <v>39</v>
      </c>
      <c r="V23" s="47">
        <v>0</v>
      </c>
    </row>
    <row r="24" spans="1:22" x14ac:dyDescent="0.25">
      <c r="A24" s="47" t="s">
        <v>35</v>
      </c>
      <c r="B24" s="47">
        <v>22</v>
      </c>
      <c r="C24" s="47">
        <v>90</v>
      </c>
      <c r="D24" s="49">
        <v>1.9</v>
      </c>
      <c r="E24" s="50">
        <f>Tabela2[[#This Row],[Peso]]/Tabela2[[#This Row],[Altura]]^2</f>
        <v>24.930747922437675</v>
      </c>
      <c r="F24" s="47">
        <v>90</v>
      </c>
      <c r="G24" s="47" t="s">
        <v>132</v>
      </c>
      <c r="H24" s="47" t="s">
        <v>22</v>
      </c>
      <c r="I24" s="47" t="s">
        <v>32</v>
      </c>
      <c r="J24" s="47" t="s">
        <v>39</v>
      </c>
      <c r="O24" s="47" t="s">
        <v>26</v>
      </c>
      <c r="P24" s="47" t="s">
        <v>27</v>
      </c>
      <c r="Q24" s="47" t="s">
        <v>28</v>
      </c>
      <c r="R24" s="47">
        <v>1000</v>
      </c>
      <c r="S24" s="47" t="s">
        <v>29</v>
      </c>
      <c r="T24" s="47" t="s">
        <v>24</v>
      </c>
      <c r="U24" s="47" t="s">
        <v>58</v>
      </c>
      <c r="V24" s="47">
        <v>5</v>
      </c>
    </row>
    <row r="25" spans="1:22" x14ac:dyDescent="0.25">
      <c r="A25" s="47" t="s">
        <v>35</v>
      </c>
      <c r="B25" s="47">
        <v>68</v>
      </c>
      <c r="C25" s="47">
        <v>75</v>
      </c>
      <c r="D25" s="49">
        <v>1.75</v>
      </c>
      <c r="E25" s="50">
        <f>Tabela2[[#This Row],[Peso]]/Tabela2[[#This Row],[Altura]]^2</f>
        <v>24.489795918367346</v>
      </c>
      <c r="F25" s="47">
        <v>70</v>
      </c>
      <c r="G25" s="47" t="s">
        <v>59</v>
      </c>
      <c r="H25" s="47" t="s">
        <v>22</v>
      </c>
      <c r="I25" s="47" t="s">
        <v>32</v>
      </c>
      <c r="J25" s="47" t="s">
        <v>39</v>
      </c>
      <c r="O25" s="47" t="s">
        <v>26</v>
      </c>
      <c r="P25" s="47" t="s">
        <v>53</v>
      </c>
      <c r="Q25" s="47" t="s">
        <v>28</v>
      </c>
      <c r="R25" s="47">
        <v>500</v>
      </c>
      <c r="S25" s="47" t="s">
        <v>29</v>
      </c>
      <c r="T25" s="47" t="s">
        <v>39</v>
      </c>
      <c r="V25" s="47">
        <v>0</v>
      </c>
    </row>
    <row r="26" spans="1:22" x14ac:dyDescent="0.25">
      <c r="A26" s="47" t="s">
        <v>21</v>
      </c>
      <c r="B26" s="47">
        <v>23</v>
      </c>
      <c r="C26" s="47">
        <v>75</v>
      </c>
      <c r="D26" s="49">
        <v>1.53</v>
      </c>
      <c r="E26" s="50">
        <f>Tabela2[[#This Row],[Peso]]/Tabela2[[#This Row],[Altura]]^2</f>
        <v>32.038959374599514</v>
      </c>
      <c r="F26" s="47">
        <v>86</v>
      </c>
      <c r="G26" s="47" t="s">
        <v>60</v>
      </c>
      <c r="H26" s="47" t="s">
        <v>43</v>
      </c>
      <c r="I26" s="47" t="s">
        <v>32</v>
      </c>
      <c r="J26" s="47" t="s">
        <v>24</v>
      </c>
      <c r="K26" s="47" t="s">
        <v>25</v>
      </c>
      <c r="M26" s="47" t="s">
        <v>25</v>
      </c>
      <c r="O26" s="47" t="s">
        <v>26</v>
      </c>
      <c r="P26" s="47" t="s">
        <v>27</v>
      </c>
      <c r="Q26" s="47" t="s">
        <v>38</v>
      </c>
      <c r="R26" s="47">
        <v>300</v>
      </c>
      <c r="S26" s="47" t="s">
        <v>29</v>
      </c>
      <c r="T26" s="47" t="s">
        <v>24</v>
      </c>
      <c r="U26" s="47" t="s">
        <v>61</v>
      </c>
      <c r="V26" s="47">
        <v>3</v>
      </c>
    </row>
    <row r="27" spans="1:22" x14ac:dyDescent="0.25">
      <c r="A27" s="47" t="s">
        <v>21</v>
      </c>
      <c r="B27" s="47">
        <v>51</v>
      </c>
      <c r="C27" s="47">
        <v>80</v>
      </c>
      <c r="D27" s="49">
        <v>1.73</v>
      </c>
      <c r="E27" s="50">
        <f>Tabela2[[#This Row],[Peso]]/Tabela2[[#This Row],[Altura]]^2</f>
        <v>26.729927495071667</v>
      </c>
      <c r="F27" s="47">
        <v>110</v>
      </c>
      <c r="G27" s="47" t="s">
        <v>62</v>
      </c>
      <c r="H27" s="47" t="s">
        <v>43</v>
      </c>
      <c r="I27" s="47" t="s">
        <v>41</v>
      </c>
      <c r="J27" s="47" t="s">
        <v>24</v>
      </c>
      <c r="K27" s="47" t="s">
        <v>25</v>
      </c>
      <c r="M27" s="47" t="s">
        <v>25</v>
      </c>
      <c r="O27" s="47" t="s">
        <v>26</v>
      </c>
      <c r="P27" s="47" t="s">
        <v>27</v>
      </c>
      <c r="Q27" s="47" t="s">
        <v>38</v>
      </c>
      <c r="R27" s="47">
        <v>300</v>
      </c>
      <c r="S27" s="47" t="s">
        <v>29</v>
      </c>
      <c r="T27" s="47" t="s">
        <v>39</v>
      </c>
      <c r="V27" s="47">
        <v>0</v>
      </c>
    </row>
    <row r="28" spans="1:22" x14ac:dyDescent="0.25">
      <c r="A28" s="47" t="s">
        <v>35</v>
      </c>
      <c r="B28" s="47">
        <v>22</v>
      </c>
      <c r="C28" s="47">
        <v>89</v>
      </c>
      <c r="D28" s="49">
        <v>1.89</v>
      </c>
      <c r="E28" s="50">
        <f>Tabela2[[#This Row],[Peso]]/Tabela2[[#This Row],[Altura]]^2</f>
        <v>24.915315920606925</v>
      </c>
      <c r="F28" s="47">
        <v>100</v>
      </c>
      <c r="G28" s="47" t="s">
        <v>63</v>
      </c>
      <c r="H28" s="47" t="s">
        <v>43</v>
      </c>
      <c r="I28" s="47" t="s">
        <v>41</v>
      </c>
      <c r="J28" s="47" t="s">
        <v>24</v>
      </c>
      <c r="K28" s="47" t="s">
        <v>25</v>
      </c>
      <c r="O28" s="47" t="s">
        <v>26</v>
      </c>
      <c r="P28" s="47" t="s">
        <v>48</v>
      </c>
      <c r="Q28" s="47" t="s">
        <v>38</v>
      </c>
      <c r="R28" s="47">
        <v>500</v>
      </c>
      <c r="S28" s="47" t="s">
        <v>40</v>
      </c>
      <c r="T28" s="47" t="s">
        <v>24</v>
      </c>
      <c r="U28" s="47" t="s">
        <v>64</v>
      </c>
      <c r="V28" s="47">
        <v>2</v>
      </c>
    </row>
    <row r="29" spans="1:22" x14ac:dyDescent="0.25">
      <c r="A29" s="47" t="s">
        <v>35</v>
      </c>
      <c r="B29" s="47">
        <v>21</v>
      </c>
      <c r="C29" s="47">
        <v>75</v>
      </c>
      <c r="D29" s="49">
        <v>1.72</v>
      </c>
      <c r="E29" s="50">
        <f>Tabela2[[#This Row],[Peso]]/Tabela2[[#This Row],[Altura]]^2</f>
        <v>25.351541373715524</v>
      </c>
      <c r="F29" s="47">
        <v>60</v>
      </c>
      <c r="G29" s="47" t="s">
        <v>132</v>
      </c>
      <c r="H29" s="47" t="s">
        <v>22</v>
      </c>
      <c r="I29" s="47" t="s">
        <v>23</v>
      </c>
      <c r="J29" s="47" t="s">
        <v>24</v>
      </c>
      <c r="K29" s="47" t="s">
        <v>25</v>
      </c>
      <c r="O29" s="47" t="s">
        <v>26</v>
      </c>
      <c r="P29" s="47" t="s">
        <v>48</v>
      </c>
      <c r="Q29" s="47" t="s">
        <v>28</v>
      </c>
      <c r="R29" s="47">
        <v>700</v>
      </c>
      <c r="S29" s="47" t="s">
        <v>55</v>
      </c>
      <c r="T29" s="47" t="s">
        <v>24</v>
      </c>
      <c r="U29" s="47" t="s">
        <v>30</v>
      </c>
      <c r="V29" s="47">
        <v>4</v>
      </c>
    </row>
    <row r="30" spans="1:22" x14ac:dyDescent="0.25">
      <c r="A30" s="47" t="s">
        <v>35</v>
      </c>
      <c r="B30" s="47">
        <v>52</v>
      </c>
      <c r="C30" s="47">
        <v>90</v>
      </c>
      <c r="D30" s="49">
        <v>1.82</v>
      </c>
      <c r="E30" s="50">
        <f>Tabela2[[#This Row],[Peso]]/Tabela2[[#This Row],[Altura]]^2</f>
        <v>27.170631566235961</v>
      </c>
      <c r="F30" s="47">
        <v>100</v>
      </c>
      <c r="G30" s="47" t="s">
        <v>47</v>
      </c>
      <c r="H30" s="47" t="s">
        <v>22</v>
      </c>
      <c r="I30" s="47" t="s">
        <v>65</v>
      </c>
      <c r="J30" s="47" t="s">
        <v>24</v>
      </c>
      <c r="L30" s="47" t="s">
        <v>25</v>
      </c>
      <c r="O30" s="47" t="s">
        <v>26</v>
      </c>
      <c r="P30" s="47" t="s">
        <v>51</v>
      </c>
      <c r="Q30" s="47" t="s">
        <v>38</v>
      </c>
      <c r="R30" s="47">
        <v>500</v>
      </c>
      <c r="S30" s="47" t="s">
        <v>29</v>
      </c>
      <c r="T30" s="47" t="s">
        <v>39</v>
      </c>
      <c r="V30" s="47">
        <v>0</v>
      </c>
    </row>
    <row r="31" spans="1:22" x14ac:dyDescent="0.25">
      <c r="A31" s="47" t="s">
        <v>21</v>
      </c>
      <c r="B31" s="47">
        <v>21</v>
      </c>
      <c r="C31" s="47">
        <v>60</v>
      </c>
      <c r="D31" s="49">
        <v>1.63</v>
      </c>
      <c r="E31" s="50">
        <f>Tabela2[[#This Row],[Peso]]/Tabela2[[#This Row],[Altura]]^2</f>
        <v>22.582709172343712</v>
      </c>
      <c r="F31" s="47">
        <v>60</v>
      </c>
      <c r="G31" s="47" t="s">
        <v>47</v>
      </c>
      <c r="H31" s="47" t="s">
        <v>22</v>
      </c>
      <c r="I31" s="47" t="s">
        <v>66</v>
      </c>
      <c r="J31" s="47" t="s">
        <v>39</v>
      </c>
      <c r="O31" s="47" t="s">
        <v>26</v>
      </c>
      <c r="P31" s="47" t="s">
        <v>48</v>
      </c>
      <c r="Q31" s="47" t="s">
        <v>28</v>
      </c>
      <c r="R31" s="47">
        <v>400</v>
      </c>
      <c r="S31" s="47" t="s">
        <v>29</v>
      </c>
      <c r="T31" s="47" t="s">
        <v>24</v>
      </c>
      <c r="U31" s="47" t="s">
        <v>67</v>
      </c>
      <c r="V31" s="47">
        <v>1</v>
      </c>
    </row>
    <row r="32" spans="1:22" x14ac:dyDescent="0.25">
      <c r="A32" s="47" t="s">
        <v>21</v>
      </c>
      <c r="B32" s="47">
        <v>45</v>
      </c>
      <c r="C32" s="47">
        <v>60</v>
      </c>
      <c r="D32" s="49">
        <v>1.6</v>
      </c>
      <c r="E32" s="50">
        <f>Tabela2[[#This Row],[Peso]]/Tabela2[[#This Row],[Altura]]^2</f>
        <v>23.437499999999996</v>
      </c>
      <c r="F32" s="47">
        <v>68</v>
      </c>
      <c r="G32" s="47" t="s">
        <v>68</v>
      </c>
      <c r="H32" s="47" t="s">
        <v>22</v>
      </c>
      <c r="I32" s="47" t="s">
        <v>32</v>
      </c>
      <c r="J32" s="47" t="s">
        <v>24</v>
      </c>
      <c r="K32" s="47" t="s">
        <v>25</v>
      </c>
      <c r="M32" s="47" t="s">
        <v>25</v>
      </c>
      <c r="O32" s="47" t="s">
        <v>26</v>
      </c>
      <c r="P32" s="47" t="s">
        <v>27</v>
      </c>
      <c r="Q32" s="47" t="s">
        <v>27</v>
      </c>
      <c r="R32" s="47">
        <v>350</v>
      </c>
      <c r="S32" s="47" t="s">
        <v>29</v>
      </c>
      <c r="T32" s="47" t="s">
        <v>24</v>
      </c>
      <c r="U32" s="47" t="s">
        <v>30</v>
      </c>
      <c r="V32" s="47">
        <v>7</v>
      </c>
    </row>
    <row r="33" spans="1:22" x14ac:dyDescent="0.25">
      <c r="A33" s="47" t="s">
        <v>35</v>
      </c>
      <c r="B33" s="47">
        <v>18</v>
      </c>
      <c r="C33" s="47">
        <v>70</v>
      </c>
      <c r="D33" s="49">
        <v>1.72</v>
      </c>
      <c r="E33" s="50">
        <f>Tabela2[[#This Row],[Peso]]/Tabela2[[#This Row],[Altura]]^2</f>
        <v>23.661438615467823</v>
      </c>
      <c r="F33" s="47">
        <v>72</v>
      </c>
      <c r="G33" s="47" t="s">
        <v>47</v>
      </c>
      <c r="H33" s="47" t="s">
        <v>22</v>
      </c>
      <c r="I33" s="47" t="s">
        <v>32</v>
      </c>
      <c r="J33" s="47" t="s">
        <v>39</v>
      </c>
      <c r="O33" s="47" t="s">
        <v>26</v>
      </c>
      <c r="P33" s="47" t="s">
        <v>88</v>
      </c>
      <c r="Q33" s="47" t="s">
        <v>38</v>
      </c>
      <c r="R33" s="47">
        <v>500</v>
      </c>
      <c r="S33" s="47" t="s">
        <v>29</v>
      </c>
      <c r="T33" s="47" t="s">
        <v>24</v>
      </c>
      <c r="U33" s="47" t="s">
        <v>46</v>
      </c>
      <c r="V33" s="47">
        <v>1</v>
      </c>
    </row>
    <row r="34" spans="1:22" x14ac:dyDescent="0.25">
      <c r="A34" s="47" t="s">
        <v>21</v>
      </c>
      <c r="B34" s="47">
        <v>22</v>
      </c>
      <c r="C34" s="47">
        <v>58</v>
      </c>
      <c r="D34" s="49">
        <v>1.66</v>
      </c>
      <c r="E34" s="50">
        <f>Tabela2[[#This Row],[Peso]]/Tabela2[[#This Row],[Altura]]^2</f>
        <v>21.048047612135289</v>
      </c>
      <c r="F34" s="47">
        <v>68</v>
      </c>
      <c r="G34" s="47" t="s">
        <v>132</v>
      </c>
      <c r="H34" s="47" t="s">
        <v>22</v>
      </c>
      <c r="I34" s="47" t="s">
        <v>32</v>
      </c>
      <c r="J34" s="47" t="s">
        <v>24</v>
      </c>
      <c r="K34" s="47" t="s">
        <v>25</v>
      </c>
      <c r="O34" s="47" t="s">
        <v>26</v>
      </c>
      <c r="P34" s="47" t="s">
        <v>27</v>
      </c>
      <c r="Q34" s="47" t="s">
        <v>38</v>
      </c>
      <c r="R34" s="47">
        <v>350</v>
      </c>
      <c r="S34" s="47" t="s">
        <v>33</v>
      </c>
      <c r="T34" s="47" t="s">
        <v>24</v>
      </c>
      <c r="U34" s="47" t="s">
        <v>64</v>
      </c>
      <c r="V34" s="47">
        <v>1</v>
      </c>
    </row>
    <row r="35" spans="1:22" x14ac:dyDescent="0.25">
      <c r="A35" s="47" t="s">
        <v>21</v>
      </c>
      <c r="B35" s="47">
        <v>21</v>
      </c>
      <c r="C35" s="47">
        <v>63</v>
      </c>
      <c r="D35" s="49">
        <v>1.58</v>
      </c>
      <c r="E35" s="50">
        <f>Tabela2[[#This Row],[Peso]]/Tabela2[[#This Row],[Altura]]^2</f>
        <v>25.236340330075304</v>
      </c>
      <c r="F35" s="47">
        <v>76</v>
      </c>
      <c r="G35" s="47" t="s">
        <v>132</v>
      </c>
      <c r="H35" s="47" t="s">
        <v>22</v>
      </c>
      <c r="I35" s="47" t="s">
        <v>41</v>
      </c>
      <c r="J35" s="47" t="s">
        <v>39</v>
      </c>
      <c r="O35" s="47" t="s">
        <v>26</v>
      </c>
      <c r="P35" s="47" t="s">
        <v>27</v>
      </c>
      <c r="Q35" s="47" t="s">
        <v>28</v>
      </c>
      <c r="R35" s="47">
        <v>500</v>
      </c>
      <c r="S35" s="47" t="s">
        <v>55</v>
      </c>
      <c r="T35" s="47" t="s">
        <v>39</v>
      </c>
      <c r="V35" s="47">
        <v>0</v>
      </c>
    </row>
    <row r="36" spans="1:22" x14ac:dyDescent="0.25">
      <c r="A36" s="47" t="s">
        <v>35</v>
      </c>
      <c r="B36" s="47">
        <v>59</v>
      </c>
      <c r="C36" s="47">
        <v>76</v>
      </c>
      <c r="D36" s="49">
        <v>1.55</v>
      </c>
      <c r="E36" s="50">
        <f>Tabela2[[#This Row],[Peso]]/Tabela2[[#This Row],[Altura]]^2</f>
        <v>31.633714880332981</v>
      </c>
      <c r="F36" s="47">
        <v>90</v>
      </c>
      <c r="G36" s="47" t="s">
        <v>132</v>
      </c>
      <c r="H36" s="47" t="s">
        <v>22</v>
      </c>
      <c r="I36" s="47" t="s">
        <v>41</v>
      </c>
      <c r="J36" s="47" t="s">
        <v>24</v>
      </c>
      <c r="M36" s="47" t="s">
        <v>25</v>
      </c>
      <c r="O36" s="47" t="s">
        <v>26</v>
      </c>
      <c r="P36" s="47" t="s">
        <v>27</v>
      </c>
      <c r="Q36" s="47" t="s">
        <v>27</v>
      </c>
      <c r="R36" s="47">
        <v>500</v>
      </c>
      <c r="S36" s="47" t="s">
        <v>55</v>
      </c>
      <c r="T36" s="47" t="s">
        <v>24</v>
      </c>
      <c r="U36" s="47" t="s">
        <v>69</v>
      </c>
      <c r="V36" s="47">
        <v>3</v>
      </c>
    </row>
    <row r="37" spans="1:22" x14ac:dyDescent="0.25">
      <c r="A37" s="47" t="s">
        <v>35</v>
      </c>
      <c r="B37" s="47">
        <v>19</v>
      </c>
      <c r="C37" s="47">
        <v>70</v>
      </c>
      <c r="D37" s="49">
        <v>1.7</v>
      </c>
      <c r="E37" s="50">
        <f>Tabela2[[#This Row],[Peso]]/Tabela2[[#This Row],[Altura]]^2</f>
        <v>24.221453287197235</v>
      </c>
      <c r="F37" s="47">
        <v>74</v>
      </c>
      <c r="G37" s="47" t="s">
        <v>70</v>
      </c>
      <c r="H37" s="47" t="s">
        <v>22</v>
      </c>
      <c r="I37" s="47" t="s">
        <v>32</v>
      </c>
      <c r="J37" s="47" t="s">
        <v>39</v>
      </c>
      <c r="O37" s="47" t="s">
        <v>26</v>
      </c>
      <c r="P37" s="47" t="s">
        <v>48</v>
      </c>
      <c r="Q37" s="47" t="s">
        <v>28</v>
      </c>
      <c r="R37" s="47">
        <v>800</v>
      </c>
      <c r="S37" s="47" t="s">
        <v>33</v>
      </c>
      <c r="T37" s="47" t="s">
        <v>24</v>
      </c>
      <c r="U37" s="47" t="s">
        <v>71</v>
      </c>
      <c r="V37" s="47">
        <v>7</v>
      </c>
    </row>
    <row r="38" spans="1:22" x14ac:dyDescent="0.25">
      <c r="A38" s="47" t="s">
        <v>21</v>
      </c>
      <c r="B38" s="47">
        <v>22</v>
      </c>
      <c r="C38" s="47">
        <v>51</v>
      </c>
      <c r="D38" s="49">
        <v>1.55</v>
      </c>
      <c r="E38" s="50">
        <f>Tabela2[[#This Row],[Peso]]/Tabela2[[#This Row],[Altura]]^2</f>
        <v>21.227887617065555</v>
      </c>
      <c r="F38" s="47">
        <v>65</v>
      </c>
      <c r="G38" s="47" t="s">
        <v>132</v>
      </c>
      <c r="H38" s="47" t="s">
        <v>22</v>
      </c>
      <c r="I38" s="47" t="s">
        <v>23</v>
      </c>
      <c r="J38" s="47" t="s">
        <v>24</v>
      </c>
      <c r="K38" s="47" t="s">
        <v>25</v>
      </c>
      <c r="O38" s="47" t="s">
        <v>26</v>
      </c>
      <c r="P38" s="47" t="s">
        <v>48</v>
      </c>
      <c r="Q38" s="47" t="s">
        <v>38</v>
      </c>
      <c r="R38" s="47">
        <v>450</v>
      </c>
      <c r="S38" s="47" t="s">
        <v>29</v>
      </c>
      <c r="T38" s="47" t="s">
        <v>24</v>
      </c>
      <c r="U38" s="47" t="s">
        <v>30</v>
      </c>
      <c r="V38" s="47">
        <v>5</v>
      </c>
    </row>
    <row r="39" spans="1:22" x14ac:dyDescent="0.25">
      <c r="A39" s="47" t="s">
        <v>21</v>
      </c>
      <c r="B39" s="47">
        <v>20</v>
      </c>
      <c r="C39" s="47">
        <v>77</v>
      </c>
      <c r="D39" s="49">
        <v>1.64</v>
      </c>
      <c r="E39" s="50">
        <f>Tabela2[[#This Row],[Peso]]/Tabela2[[#This Row],[Altura]]^2</f>
        <v>28.628792385484836</v>
      </c>
      <c r="F39" s="47">
        <v>80</v>
      </c>
      <c r="G39" s="47" t="s">
        <v>132</v>
      </c>
      <c r="H39" s="47" t="s">
        <v>22</v>
      </c>
      <c r="I39" s="47" t="s">
        <v>32</v>
      </c>
      <c r="J39" s="47" t="s">
        <v>24</v>
      </c>
      <c r="K39" s="47" t="s">
        <v>25</v>
      </c>
      <c r="M39" s="47" t="s">
        <v>25</v>
      </c>
      <c r="O39" s="47" t="s">
        <v>26</v>
      </c>
      <c r="P39" s="47" t="s">
        <v>48</v>
      </c>
      <c r="Q39" s="47" t="s">
        <v>38</v>
      </c>
      <c r="R39" s="47">
        <v>300</v>
      </c>
      <c r="S39" s="47" t="s">
        <v>55</v>
      </c>
      <c r="T39" s="47" t="s">
        <v>39</v>
      </c>
      <c r="V39" s="47">
        <v>0</v>
      </c>
    </row>
    <row r="40" spans="1:22" x14ac:dyDescent="0.25">
      <c r="A40" s="47" t="s">
        <v>21</v>
      </c>
      <c r="B40" s="47">
        <v>20</v>
      </c>
      <c r="C40" s="47">
        <v>67</v>
      </c>
      <c r="D40" s="49">
        <v>1.74</v>
      </c>
      <c r="E40" s="50">
        <f>Tabela2[[#This Row],[Peso]]/Tabela2[[#This Row],[Altura]]^2</f>
        <v>22.129739727837229</v>
      </c>
      <c r="F40" s="47">
        <v>70</v>
      </c>
      <c r="G40" s="47" t="s">
        <v>132</v>
      </c>
      <c r="H40" s="47" t="s">
        <v>22</v>
      </c>
      <c r="I40" s="47" t="s">
        <v>72</v>
      </c>
      <c r="J40" s="47" t="s">
        <v>24</v>
      </c>
      <c r="K40" s="47" t="s">
        <v>25</v>
      </c>
      <c r="M40" s="47" t="s">
        <v>25</v>
      </c>
      <c r="O40" s="47" t="s">
        <v>26</v>
      </c>
      <c r="P40" s="47" t="s">
        <v>27</v>
      </c>
      <c r="Q40" s="47" t="s">
        <v>27</v>
      </c>
      <c r="R40" s="47">
        <v>200</v>
      </c>
      <c r="S40" s="47" t="s">
        <v>29</v>
      </c>
      <c r="T40" s="47" t="s">
        <v>24</v>
      </c>
      <c r="U40" s="47" t="s">
        <v>73</v>
      </c>
      <c r="V40" s="47">
        <v>2</v>
      </c>
    </row>
    <row r="41" spans="1:22" x14ac:dyDescent="0.25">
      <c r="A41" s="47" t="s">
        <v>21</v>
      </c>
      <c r="B41" s="47">
        <v>21</v>
      </c>
      <c r="C41" s="47">
        <v>58</v>
      </c>
      <c r="D41" s="49">
        <v>1.63</v>
      </c>
      <c r="E41" s="50">
        <f>Tabela2[[#This Row],[Peso]]/Tabela2[[#This Row],[Altura]]^2</f>
        <v>21.829952199932254</v>
      </c>
      <c r="F41" s="47">
        <v>75</v>
      </c>
      <c r="G41" s="47" t="s">
        <v>74</v>
      </c>
      <c r="H41" s="47" t="s">
        <v>22</v>
      </c>
      <c r="I41" s="47" t="s">
        <v>32</v>
      </c>
      <c r="J41" s="47" t="s">
        <v>24</v>
      </c>
      <c r="K41" s="47" t="s">
        <v>25</v>
      </c>
      <c r="O41" s="47" t="s">
        <v>26</v>
      </c>
      <c r="P41" s="47" t="s">
        <v>27</v>
      </c>
      <c r="Q41" s="47" t="s">
        <v>28</v>
      </c>
      <c r="R41" s="47">
        <v>280</v>
      </c>
      <c r="S41" s="47" t="s">
        <v>29</v>
      </c>
      <c r="T41" s="47" t="s">
        <v>24</v>
      </c>
      <c r="U41" s="47" t="s">
        <v>75</v>
      </c>
      <c r="V41" s="47">
        <v>2</v>
      </c>
    </row>
    <row r="42" spans="1:22" x14ac:dyDescent="0.25">
      <c r="A42" s="47" t="s">
        <v>35</v>
      </c>
      <c r="B42" s="47">
        <v>26</v>
      </c>
      <c r="C42" s="47">
        <v>93</v>
      </c>
      <c r="D42" s="49">
        <v>1.83</v>
      </c>
      <c r="E42" s="50">
        <f>Tabela2[[#This Row],[Peso]]/Tabela2[[#This Row],[Altura]]^2</f>
        <v>27.77031263997133</v>
      </c>
      <c r="F42" s="47">
        <v>94</v>
      </c>
      <c r="G42" s="47" t="s">
        <v>74</v>
      </c>
      <c r="H42" s="47" t="s">
        <v>22</v>
      </c>
      <c r="I42" s="47" t="s">
        <v>32</v>
      </c>
      <c r="J42" s="47" t="s">
        <v>39</v>
      </c>
      <c r="O42" s="47" t="s">
        <v>26</v>
      </c>
      <c r="P42" s="47" t="s">
        <v>27</v>
      </c>
      <c r="Q42" s="47" t="s">
        <v>38</v>
      </c>
      <c r="R42" s="47">
        <v>400</v>
      </c>
      <c r="S42" s="47" t="s">
        <v>40</v>
      </c>
      <c r="T42" s="47" t="s">
        <v>24</v>
      </c>
      <c r="U42" s="47" t="s">
        <v>46</v>
      </c>
      <c r="V42" s="47">
        <v>1</v>
      </c>
    </row>
    <row r="43" spans="1:22" x14ac:dyDescent="0.25">
      <c r="A43" s="47" t="s">
        <v>21</v>
      </c>
      <c r="B43" s="47">
        <v>26</v>
      </c>
      <c r="C43" s="47">
        <v>80</v>
      </c>
      <c r="D43" s="49">
        <v>1.73</v>
      </c>
      <c r="E43" s="50">
        <f>Tabela2[[#This Row],[Peso]]/Tabela2[[#This Row],[Altura]]^2</f>
        <v>26.729927495071667</v>
      </c>
      <c r="F43" s="47">
        <v>80</v>
      </c>
      <c r="G43" s="47" t="s">
        <v>47</v>
      </c>
      <c r="H43" s="47" t="s">
        <v>22</v>
      </c>
      <c r="I43" s="47" t="s">
        <v>23</v>
      </c>
      <c r="J43" s="47" t="s">
        <v>24</v>
      </c>
      <c r="M43" s="47" t="s">
        <v>25</v>
      </c>
      <c r="O43" s="47" t="s">
        <v>26</v>
      </c>
      <c r="P43" s="47" t="s">
        <v>48</v>
      </c>
      <c r="Q43" s="47" t="s">
        <v>38</v>
      </c>
      <c r="R43" s="47">
        <v>500</v>
      </c>
      <c r="S43" s="47" t="s">
        <v>29</v>
      </c>
      <c r="T43" s="47" t="s">
        <v>24</v>
      </c>
      <c r="U43" s="47" t="s">
        <v>73</v>
      </c>
      <c r="V43" s="47">
        <v>2</v>
      </c>
    </row>
    <row r="44" spans="1:22" x14ac:dyDescent="0.25">
      <c r="A44" s="47" t="s">
        <v>35</v>
      </c>
      <c r="B44" s="47">
        <v>19</v>
      </c>
      <c r="C44" s="47">
        <v>81</v>
      </c>
      <c r="D44" s="49">
        <v>1.82</v>
      </c>
      <c r="E44" s="50">
        <f>Tabela2[[#This Row],[Peso]]/Tabela2[[#This Row],[Altura]]^2</f>
        <v>24.453568409612362</v>
      </c>
      <c r="F44" s="47">
        <v>92</v>
      </c>
      <c r="G44" s="47" t="s">
        <v>76</v>
      </c>
      <c r="H44" s="47" t="s">
        <v>22</v>
      </c>
      <c r="I44" s="47" t="s">
        <v>41</v>
      </c>
      <c r="J44" s="47" t="s">
        <v>39</v>
      </c>
      <c r="O44" s="47" t="s">
        <v>12</v>
      </c>
      <c r="P44" s="47" t="s">
        <v>48</v>
      </c>
      <c r="Q44" s="47" t="s">
        <v>54</v>
      </c>
      <c r="R44" s="47">
        <v>600</v>
      </c>
      <c r="S44" s="47" t="s">
        <v>55</v>
      </c>
      <c r="T44" s="47" t="s">
        <v>24</v>
      </c>
      <c r="U44" s="47" t="s">
        <v>77</v>
      </c>
      <c r="V44" s="47">
        <v>7</v>
      </c>
    </row>
    <row r="45" spans="1:22" x14ac:dyDescent="0.25">
      <c r="A45" s="47" t="s">
        <v>35</v>
      </c>
      <c r="B45" s="47">
        <v>25</v>
      </c>
      <c r="C45" s="47">
        <v>90</v>
      </c>
      <c r="D45" s="49">
        <v>1.81</v>
      </c>
      <c r="E45" s="50">
        <f>Tabela2[[#This Row],[Peso]]/Tabela2[[#This Row],[Altura]]^2</f>
        <v>27.471688898385274</v>
      </c>
      <c r="F45" s="47">
        <v>90</v>
      </c>
      <c r="G45" s="47" t="s">
        <v>78</v>
      </c>
      <c r="H45" s="47" t="s">
        <v>22</v>
      </c>
      <c r="I45" s="47" t="s">
        <v>79</v>
      </c>
      <c r="J45" s="47" t="s">
        <v>39</v>
      </c>
      <c r="O45" s="47" t="s">
        <v>26</v>
      </c>
      <c r="P45" s="47" t="s">
        <v>27</v>
      </c>
      <c r="Q45" s="47" t="s">
        <v>27</v>
      </c>
      <c r="R45" s="47">
        <v>280</v>
      </c>
      <c r="S45" s="47" t="s">
        <v>55</v>
      </c>
      <c r="T45" s="47" t="s">
        <v>24</v>
      </c>
      <c r="U45" s="47" t="s">
        <v>30</v>
      </c>
      <c r="V45" s="47">
        <v>3</v>
      </c>
    </row>
    <row r="46" spans="1:22" x14ac:dyDescent="0.25">
      <c r="A46" s="47" t="s">
        <v>21</v>
      </c>
      <c r="B46" s="47">
        <v>22</v>
      </c>
      <c r="C46" s="47">
        <v>71</v>
      </c>
      <c r="D46" s="49">
        <v>1.61</v>
      </c>
      <c r="E46" s="50">
        <f>Tabela2[[#This Row],[Peso]]/Tabela2[[#This Row],[Altura]]^2</f>
        <v>27.390918560240728</v>
      </c>
      <c r="F46" s="47">
        <v>74</v>
      </c>
      <c r="G46" s="47" t="s">
        <v>132</v>
      </c>
      <c r="H46" s="47" t="s">
        <v>22</v>
      </c>
      <c r="I46" s="47" t="s">
        <v>41</v>
      </c>
      <c r="J46" s="47" t="s">
        <v>39</v>
      </c>
      <c r="O46" s="47" t="s">
        <v>26</v>
      </c>
      <c r="P46" s="47" t="s">
        <v>27</v>
      </c>
      <c r="Q46" s="47" t="s">
        <v>28</v>
      </c>
      <c r="R46" s="47">
        <v>400</v>
      </c>
      <c r="S46" s="47" t="s">
        <v>29</v>
      </c>
      <c r="T46" s="47" t="s">
        <v>39</v>
      </c>
      <c r="V46" s="47">
        <v>0</v>
      </c>
    </row>
    <row r="47" spans="1:22" x14ac:dyDescent="0.25">
      <c r="A47" s="47" t="s">
        <v>35</v>
      </c>
      <c r="B47" s="47">
        <v>50</v>
      </c>
      <c r="C47" s="47">
        <v>80</v>
      </c>
      <c r="D47" s="49">
        <v>1.7</v>
      </c>
      <c r="E47" s="50">
        <f>Tabela2[[#This Row],[Peso]]/Tabela2[[#This Row],[Altura]]^2</f>
        <v>27.681660899653981</v>
      </c>
      <c r="F47" s="47">
        <v>95</v>
      </c>
      <c r="G47" s="47" t="s">
        <v>132</v>
      </c>
      <c r="H47" s="47" t="s">
        <v>22</v>
      </c>
      <c r="I47" s="47" t="s">
        <v>72</v>
      </c>
      <c r="J47" s="47" t="s">
        <v>24</v>
      </c>
      <c r="N47" s="47" t="s">
        <v>25</v>
      </c>
      <c r="O47" s="47" t="s">
        <v>26</v>
      </c>
      <c r="P47" s="47" t="s">
        <v>88</v>
      </c>
      <c r="Q47" s="47" t="s">
        <v>38</v>
      </c>
      <c r="R47" s="47">
        <v>400</v>
      </c>
      <c r="S47" s="47" t="s">
        <v>29</v>
      </c>
      <c r="T47" s="47" t="s">
        <v>24</v>
      </c>
      <c r="U47" s="47" t="s">
        <v>80</v>
      </c>
      <c r="V47" s="47">
        <v>2</v>
      </c>
    </row>
    <row r="48" spans="1:22" x14ac:dyDescent="0.25">
      <c r="A48" s="47" t="s">
        <v>21</v>
      </c>
      <c r="B48" s="47">
        <v>22</v>
      </c>
      <c r="C48" s="47">
        <v>52</v>
      </c>
      <c r="D48" s="49">
        <v>1.58</v>
      </c>
      <c r="E48" s="50">
        <f>Tabela2[[#This Row],[Peso]]/Tabela2[[#This Row],[Altura]]^2</f>
        <v>20.82999519307803</v>
      </c>
      <c r="F48" s="47">
        <v>56</v>
      </c>
      <c r="G48" s="47" t="s">
        <v>132</v>
      </c>
      <c r="H48" s="47" t="s">
        <v>22</v>
      </c>
      <c r="I48" s="47" t="s">
        <v>41</v>
      </c>
      <c r="J48" s="47" t="s">
        <v>24</v>
      </c>
      <c r="K48" s="47" t="s">
        <v>25</v>
      </c>
      <c r="O48" s="47" t="s">
        <v>26</v>
      </c>
      <c r="P48" s="47" t="s">
        <v>27</v>
      </c>
      <c r="Q48" s="47" t="s">
        <v>38</v>
      </c>
      <c r="R48" s="47">
        <v>450</v>
      </c>
      <c r="S48" s="47" t="s">
        <v>29</v>
      </c>
      <c r="T48" s="47" t="s">
        <v>24</v>
      </c>
      <c r="U48" s="47" t="s">
        <v>75</v>
      </c>
      <c r="V48" s="47">
        <v>3</v>
      </c>
    </row>
    <row r="49" spans="1:22" x14ac:dyDescent="0.25">
      <c r="A49" s="47" t="s">
        <v>35</v>
      </c>
      <c r="B49" s="47">
        <v>47</v>
      </c>
      <c r="C49" s="47">
        <v>70</v>
      </c>
      <c r="D49" s="49">
        <v>1.71</v>
      </c>
      <c r="E49" s="50">
        <f>Tabela2[[#This Row],[Peso]]/Tabela2[[#This Row],[Altura]]^2</f>
        <v>23.938989774631512</v>
      </c>
      <c r="F49" s="47">
        <v>71</v>
      </c>
      <c r="G49" s="47" t="s">
        <v>132</v>
      </c>
      <c r="H49" s="47" t="s">
        <v>22</v>
      </c>
      <c r="I49" s="47" t="s">
        <v>32</v>
      </c>
      <c r="J49" s="47" t="s">
        <v>39</v>
      </c>
      <c r="O49" s="47" t="s">
        <v>26</v>
      </c>
      <c r="P49" s="47" t="s">
        <v>48</v>
      </c>
      <c r="Q49" s="47" t="s">
        <v>38</v>
      </c>
      <c r="R49" s="47">
        <v>500</v>
      </c>
      <c r="S49" s="47" t="s">
        <v>29</v>
      </c>
      <c r="T49" s="47" t="s">
        <v>24</v>
      </c>
      <c r="U49" s="47" t="s">
        <v>150</v>
      </c>
      <c r="V49" s="47">
        <v>3</v>
      </c>
    </row>
    <row r="50" spans="1:22" x14ac:dyDescent="0.25">
      <c r="A50" s="47" t="s">
        <v>21</v>
      </c>
      <c r="B50" s="47">
        <v>45</v>
      </c>
      <c r="C50" s="47">
        <v>56</v>
      </c>
      <c r="D50" s="49">
        <v>1.55</v>
      </c>
      <c r="E50" s="50">
        <f>Tabela2[[#This Row],[Peso]]/Tabela2[[#This Row],[Altura]]^2</f>
        <v>23.309053069719038</v>
      </c>
      <c r="F50" s="47">
        <v>60</v>
      </c>
      <c r="G50" s="47" t="s">
        <v>132</v>
      </c>
      <c r="H50" s="47" t="s">
        <v>22</v>
      </c>
      <c r="I50" s="47" t="s">
        <v>32</v>
      </c>
      <c r="J50" s="47" t="s">
        <v>24</v>
      </c>
      <c r="K50" s="47" t="s">
        <v>25</v>
      </c>
      <c r="L50" s="47" t="s">
        <v>25</v>
      </c>
      <c r="O50" s="47" t="s">
        <v>26</v>
      </c>
      <c r="P50" s="47" t="s">
        <v>27</v>
      </c>
      <c r="Q50" s="47" t="s">
        <v>28</v>
      </c>
      <c r="R50" s="47">
        <v>400</v>
      </c>
      <c r="S50" s="47" t="s">
        <v>29</v>
      </c>
      <c r="T50" s="47" t="s">
        <v>39</v>
      </c>
      <c r="V50" s="47">
        <v>0</v>
      </c>
    </row>
    <row r="51" spans="1:22" x14ac:dyDescent="0.25">
      <c r="A51" s="47" t="s">
        <v>21</v>
      </c>
      <c r="B51" s="47">
        <v>21</v>
      </c>
      <c r="C51" s="47">
        <v>81</v>
      </c>
      <c r="D51" s="49">
        <v>1.69</v>
      </c>
      <c r="E51" s="50">
        <f>Tabela2[[#This Row],[Peso]]/Tabela2[[#This Row],[Altura]]^2</f>
        <v>28.360351528307834</v>
      </c>
      <c r="F51" s="47">
        <v>92</v>
      </c>
      <c r="G51" s="47" t="s">
        <v>132</v>
      </c>
      <c r="H51" s="47" t="s">
        <v>22</v>
      </c>
      <c r="I51" s="47" t="s">
        <v>66</v>
      </c>
      <c r="J51" s="47" t="s">
        <v>39</v>
      </c>
      <c r="O51" s="47" t="s">
        <v>26</v>
      </c>
      <c r="P51" s="47" t="s">
        <v>27</v>
      </c>
      <c r="Q51" s="47" t="s">
        <v>38</v>
      </c>
      <c r="R51" s="47">
        <v>350</v>
      </c>
      <c r="S51" s="47" t="s">
        <v>40</v>
      </c>
      <c r="T51" s="47" t="s">
        <v>39</v>
      </c>
      <c r="V51" s="47">
        <v>0</v>
      </c>
    </row>
    <row r="52" spans="1:22" x14ac:dyDescent="0.25">
      <c r="A52" s="47" t="s">
        <v>21</v>
      </c>
      <c r="B52" s="47">
        <v>62</v>
      </c>
      <c r="C52" s="47">
        <v>68</v>
      </c>
      <c r="D52" s="49">
        <v>1.65</v>
      </c>
      <c r="E52" s="50">
        <f>Tabela2[[#This Row],[Peso]]/Tabela2[[#This Row],[Altura]]^2</f>
        <v>24.977043158861342</v>
      </c>
      <c r="F52" s="47">
        <v>63</v>
      </c>
      <c r="G52" s="47" t="s">
        <v>132</v>
      </c>
      <c r="H52" s="47" t="s">
        <v>22</v>
      </c>
      <c r="I52" s="47" t="s">
        <v>79</v>
      </c>
      <c r="J52" s="47" t="s">
        <v>24</v>
      </c>
      <c r="K52" s="47" t="s">
        <v>89</v>
      </c>
      <c r="O52" s="47" t="s">
        <v>26</v>
      </c>
      <c r="P52" s="47" t="s">
        <v>88</v>
      </c>
      <c r="Q52" s="47" t="s">
        <v>27</v>
      </c>
      <c r="R52" s="47">
        <v>300</v>
      </c>
      <c r="S52" s="47" t="s">
        <v>55</v>
      </c>
      <c r="T52" s="47" t="s">
        <v>39</v>
      </c>
      <c r="V52" s="47">
        <v>0</v>
      </c>
    </row>
    <row r="53" spans="1:22" x14ac:dyDescent="0.25">
      <c r="A53" s="47" t="s">
        <v>35</v>
      </c>
      <c r="B53" s="47">
        <v>26</v>
      </c>
      <c r="C53" s="47">
        <v>78</v>
      </c>
      <c r="D53" s="49">
        <v>1.73</v>
      </c>
      <c r="E53" s="50">
        <f>Tabela2[[#This Row],[Peso]]/Tabela2[[#This Row],[Altura]]^2</f>
        <v>26.061679307694877</v>
      </c>
      <c r="F53" s="47">
        <v>69</v>
      </c>
      <c r="G53" s="47" t="s">
        <v>132</v>
      </c>
      <c r="H53" s="47" t="s">
        <v>22</v>
      </c>
      <c r="I53" s="47" t="s">
        <v>32</v>
      </c>
      <c r="J53" s="47" t="s">
        <v>39</v>
      </c>
      <c r="O53" s="47" t="s">
        <v>26</v>
      </c>
      <c r="P53" s="47" t="s">
        <v>48</v>
      </c>
      <c r="Q53" s="47" t="s">
        <v>28</v>
      </c>
      <c r="R53" s="47">
        <v>500</v>
      </c>
      <c r="S53" s="47" t="s">
        <v>33</v>
      </c>
      <c r="T53" s="47" t="s">
        <v>24</v>
      </c>
      <c r="U53" s="47" t="s">
        <v>46</v>
      </c>
      <c r="V53" s="47">
        <v>1</v>
      </c>
    </row>
    <row r="54" spans="1:22" x14ac:dyDescent="0.25">
      <c r="A54" s="47" t="s">
        <v>21</v>
      </c>
      <c r="B54" s="47">
        <v>24</v>
      </c>
      <c r="C54" s="47">
        <v>54</v>
      </c>
      <c r="D54" s="49">
        <v>1.53</v>
      </c>
      <c r="E54" s="50">
        <f>Tabela2[[#This Row],[Peso]]/Tabela2[[#This Row],[Altura]]^2</f>
        <v>23.068050749711649</v>
      </c>
      <c r="F54" s="47">
        <v>73</v>
      </c>
      <c r="G54" s="47" t="s">
        <v>132</v>
      </c>
      <c r="H54" s="47" t="s">
        <v>22</v>
      </c>
      <c r="I54" s="47" t="s">
        <v>72</v>
      </c>
      <c r="J54" s="47" t="s">
        <v>24</v>
      </c>
      <c r="L54" s="47" t="s">
        <v>89</v>
      </c>
      <c r="O54" s="47" t="s">
        <v>26</v>
      </c>
      <c r="P54" s="47" t="s">
        <v>27</v>
      </c>
      <c r="Q54" s="47" t="s">
        <v>38</v>
      </c>
      <c r="R54" s="47">
        <v>350</v>
      </c>
      <c r="S54" s="47" t="s">
        <v>29</v>
      </c>
      <c r="T54" s="47" t="s">
        <v>24</v>
      </c>
      <c r="U54" s="47" t="s">
        <v>30</v>
      </c>
      <c r="V54" s="47">
        <v>4</v>
      </c>
    </row>
    <row r="55" spans="1:22" x14ac:dyDescent="0.25">
      <c r="A55" s="47" t="s">
        <v>21</v>
      </c>
      <c r="B55" s="47">
        <v>29</v>
      </c>
      <c r="C55" s="47">
        <v>54</v>
      </c>
      <c r="D55" s="49">
        <v>1.55</v>
      </c>
      <c r="E55" s="50">
        <f>Tabela2[[#This Row],[Peso]]/Tabela2[[#This Row],[Altura]]^2</f>
        <v>22.476586888657646</v>
      </c>
      <c r="F55" s="47">
        <v>61</v>
      </c>
      <c r="G55" s="47" t="s">
        <v>133</v>
      </c>
      <c r="H55" s="47" t="s">
        <v>134</v>
      </c>
      <c r="I55" s="47" t="s">
        <v>23</v>
      </c>
      <c r="J55" s="47" t="s">
        <v>24</v>
      </c>
      <c r="K55" s="47" t="s">
        <v>89</v>
      </c>
      <c r="M55" s="47" t="s">
        <v>89</v>
      </c>
      <c r="O55" s="47" t="s">
        <v>26</v>
      </c>
      <c r="P55" s="47" t="s">
        <v>27</v>
      </c>
      <c r="Q55" s="47" t="s">
        <v>28</v>
      </c>
      <c r="R55" s="47">
        <v>350</v>
      </c>
      <c r="S55" s="47" t="s">
        <v>29</v>
      </c>
      <c r="T55" s="47" t="s">
        <v>24</v>
      </c>
      <c r="U55" s="47" t="s">
        <v>30</v>
      </c>
      <c r="V55" s="47">
        <v>5</v>
      </c>
    </row>
    <row r="56" spans="1:22" x14ac:dyDescent="0.25">
      <c r="A56" s="47" t="s">
        <v>35</v>
      </c>
      <c r="B56" s="47">
        <v>18</v>
      </c>
      <c r="C56" s="47">
        <v>75</v>
      </c>
      <c r="D56" s="49">
        <v>1.8</v>
      </c>
      <c r="E56" s="50">
        <f>Tabela2[[#This Row],[Peso]]/Tabela2[[#This Row],[Altura]]^2</f>
        <v>23.148148148148145</v>
      </c>
      <c r="F56" s="47">
        <v>80</v>
      </c>
      <c r="G56" s="47" t="s">
        <v>132</v>
      </c>
      <c r="H56" s="47" t="s">
        <v>22</v>
      </c>
      <c r="I56" s="47" t="s">
        <v>23</v>
      </c>
      <c r="J56" s="47" t="s">
        <v>39</v>
      </c>
      <c r="O56" s="47" t="s">
        <v>26</v>
      </c>
      <c r="P56" s="47" t="s">
        <v>27</v>
      </c>
      <c r="Q56" s="47" t="s">
        <v>38</v>
      </c>
      <c r="R56" s="47">
        <v>400</v>
      </c>
      <c r="S56" s="47" t="s">
        <v>40</v>
      </c>
      <c r="T56" s="47" t="s">
        <v>24</v>
      </c>
      <c r="U56" s="47" t="s">
        <v>135</v>
      </c>
      <c r="V56" s="47">
        <v>3</v>
      </c>
    </row>
    <row r="57" spans="1:22" x14ac:dyDescent="0.25">
      <c r="A57" s="47" t="s">
        <v>21</v>
      </c>
      <c r="B57" s="47">
        <v>21</v>
      </c>
      <c r="C57" s="47">
        <v>58</v>
      </c>
      <c r="D57" s="49">
        <v>1.6</v>
      </c>
      <c r="E57" s="50">
        <f>Tabela2[[#This Row],[Peso]]/Tabela2[[#This Row],[Altura]]^2</f>
        <v>22.656249999999996</v>
      </c>
      <c r="F57" s="47">
        <v>70</v>
      </c>
      <c r="G57" s="47" t="s">
        <v>47</v>
      </c>
      <c r="H57" s="47" t="s">
        <v>22</v>
      </c>
      <c r="I57" s="47" t="s">
        <v>41</v>
      </c>
      <c r="J57" s="47" t="s">
        <v>24</v>
      </c>
      <c r="K57" s="47" t="s">
        <v>89</v>
      </c>
      <c r="M57" s="47" t="s">
        <v>89</v>
      </c>
      <c r="O57" s="47" t="s">
        <v>26</v>
      </c>
      <c r="P57" s="47" t="s">
        <v>27</v>
      </c>
      <c r="Q57" s="47" t="s">
        <v>38</v>
      </c>
      <c r="R57" s="47">
        <v>400</v>
      </c>
      <c r="S57" s="47" t="s">
        <v>33</v>
      </c>
      <c r="T57" s="47" t="s">
        <v>24</v>
      </c>
      <c r="U57" s="47" t="s">
        <v>67</v>
      </c>
      <c r="V57" s="47">
        <v>1</v>
      </c>
    </row>
    <row r="58" spans="1:22" x14ac:dyDescent="0.25">
      <c r="A58" s="47" t="s">
        <v>21</v>
      </c>
      <c r="B58" s="47">
        <v>22</v>
      </c>
      <c r="C58" s="47">
        <v>56</v>
      </c>
      <c r="D58" s="49">
        <v>1.63</v>
      </c>
      <c r="E58" s="50">
        <f>Tabela2[[#This Row],[Peso]]/Tabela2[[#This Row],[Altura]]^2</f>
        <v>21.077195227520797</v>
      </c>
      <c r="F58" s="47">
        <v>75</v>
      </c>
      <c r="G58" s="47" t="s">
        <v>47</v>
      </c>
      <c r="H58" s="47" t="s">
        <v>22</v>
      </c>
      <c r="I58" s="47" t="s">
        <v>41</v>
      </c>
      <c r="J58" s="47" t="s">
        <v>24</v>
      </c>
      <c r="K58" s="47" t="s">
        <v>89</v>
      </c>
      <c r="L58" s="47" t="s">
        <v>89</v>
      </c>
      <c r="M58" s="47" t="s">
        <v>89</v>
      </c>
      <c r="O58" s="47" t="s">
        <v>26</v>
      </c>
      <c r="P58" s="47" t="s">
        <v>27</v>
      </c>
      <c r="Q58" s="47" t="s">
        <v>38</v>
      </c>
      <c r="R58" s="47">
        <v>350</v>
      </c>
      <c r="S58" s="47" t="s">
        <v>33</v>
      </c>
      <c r="T58" s="47" t="s">
        <v>39</v>
      </c>
      <c r="V58" s="47">
        <v>0</v>
      </c>
    </row>
    <row r="59" spans="1:22" x14ac:dyDescent="0.25">
      <c r="A59" s="47" t="s">
        <v>21</v>
      </c>
      <c r="B59" s="47">
        <v>53</v>
      </c>
      <c r="C59" s="47">
        <v>84</v>
      </c>
      <c r="D59" s="49">
        <v>1.67</v>
      </c>
      <c r="E59" s="50">
        <f>Tabela2[[#This Row],[Peso]]/Tabela2[[#This Row],[Altura]]^2</f>
        <v>30.119401914733409</v>
      </c>
      <c r="F59" s="47">
        <v>90</v>
      </c>
      <c r="G59" s="47" t="s">
        <v>47</v>
      </c>
      <c r="H59" s="47" t="s">
        <v>22</v>
      </c>
      <c r="I59" s="47" t="s">
        <v>32</v>
      </c>
      <c r="J59" s="47" t="s">
        <v>24</v>
      </c>
      <c r="K59" s="47" t="s">
        <v>89</v>
      </c>
      <c r="O59" s="47" t="s">
        <v>26</v>
      </c>
      <c r="P59" s="47" t="s">
        <v>53</v>
      </c>
      <c r="Q59" s="47" t="s">
        <v>38</v>
      </c>
      <c r="R59" s="47">
        <v>350</v>
      </c>
      <c r="S59" s="47" t="s">
        <v>29</v>
      </c>
      <c r="T59" s="47" t="s">
        <v>39</v>
      </c>
      <c r="V59" s="47">
        <v>0</v>
      </c>
    </row>
    <row r="60" spans="1:22" x14ac:dyDescent="0.25">
      <c r="A60" s="47" t="s">
        <v>21</v>
      </c>
      <c r="B60" s="47">
        <v>21</v>
      </c>
      <c r="C60" s="47">
        <v>50</v>
      </c>
      <c r="D60" s="49">
        <v>1.75</v>
      </c>
      <c r="E60" s="50">
        <f>Tabela2[[#This Row],[Peso]]/Tabela2[[#This Row],[Altura]]^2</f>
        <v>16.326530612244898</v>
      </c>
      <c r="F60" s="47">
        <v>65</v>
      </c>
      <c r="G60" s="47" t="s">
        <v>136</v>
      </c>
      <c r="H60" s="47" t="s">
        <v>137</v>
      </c>
      <c r="I60" s="47" t="s">
        <v>32</v>
      </c>
      <c r="J60" s="47" t="s">
        <v>24</v>
      </c>
      <c r="K60" s="47" t="s">
        <v>89</v>
      </c>
      <c r="O60" s="47" t="s">
        <v>26</v>
      </c>
      <c r="P60" s="47" t="s">
        <v>27</v>
      </c>
      <c r="Q60" s="47" t="s">
        <v>38</v>
      </c>
      <c r="R60" s="47">
        <v>400</v>
      </c>
      <c r="S60" s="47" t="s">
        <v>29</v>
      </c>
      <c r="T60" s="47" t="s">
        <v>39</v>
      </c>
      <c r="V60" s="47">
        <v>0</v>
      </c>
    </row>
    <row r="61" spans="1:22" x14ac:dyDescent="0.25">
      <c r="A61" s="47" t="s">
        <v>35</v>
      </c>
      <c r="B61" s="47">
        <v>24</v>
      </c>
      <c r="C61" s="47">
        <v>80</v>
      </c>
      <c r="D61" s="49">
        <v>1.71</v>
      </c>
      <c r="E61" s="50">
        <f>Tabela2[[#This Row],[Peso]]/Tabela2[[#This Row],[Altura]]^2</f>
        <v>27.358845456721728</v>
      </c>
      <c r="F61" s="47">
        <v>90</v>
      </c>
      <c r="G61" s="47" t="s">
        <v>132</v>
      </c>
      <c r="H61" s="47" t="s">
        <v>22</v>
      </c>
      <c r="I61" s="47" t="s">
        <v>41</v>
      </c>
      <c r="J61" s="47" t="s">
        <v>39</v>
      </c>
      <c r="O61" s="47" t="s">
        <v>26</v>
      </c>
      <c r="P61" s="47" t="s">
        <v>27</v>
      </c>
      <c r="Q61" s="47" t="s">
        <v>28</v>
      </c>
      <c r="R61" s="47">
        <v>350</v>
      </c>
      <c r="S61" s="47" t="s">
        <v>29</v>
      </c>
      <c r="T61" s="47" t="s">
        <v>24</v>
      </c>
      <c r="U61" s="47" t="s">
        <v>138</v>
      </c>
      <c r="V61" s="47">
        <v>1</v>
      </c>
    </row>
    <row r="62" spans="1:22" x14ac:dyDescent="0.25">
      <c r="A62" s="47" t="s">
        <v>35</v>
      </c>
      <c r="B62" s="47">
        <v>26</v>
      </c>
      <c r="C62" s="47">
        <v>83</v>
      </c>
      <c r="D62" s="49">
        <v>1.79</v>
      </c>
      <c r="E62" s="50">
        <f>Tabela2[[#This Row],[Peso]]/Tabela2[[#This Row],[Altura]]^2</f>
        <v>25.904310102680942</v>
      </c>
      <c r="F62" s="47">
        <v>75</v>
      </c>
      <c r="G62" s="47" t="s">
        <v>139</v>
      </c>
      <c r="H62" s="47" t="s">
        <v>22</v>
      </c>
      <c r="I62" s="47" t="s">
        <v>41</v>
      </c>
      <c r="J62" s="47" t="s">
        <v>39</v>
      </c>
      <c r="O62" s="47" t="s">
        <v>26</v>
      </c>
      <c r="P62" s="47" t="s">
        <v>88</v>
      </c>
      <c r="Q62" s="47" t="s">
        <v>38</v>
      </c>
      <c r="R62" s="47">
        <v>500</v>
      </c>
      <c r="S62" s="47" t="s">
        <v>33</v>
      </c>
      <c r="T62" s="47" t="s">
        <v>24</v>
      </c>
      <c r="U62" s="47" t="s">
        <v>30</v>
      </c>
      <c r="V62" s="47">
        <v>5</v>
      </c>
    </row>
    <row r="63" spans="1:22" x14ac:dyDescent="0.25">
      <c r="A63" s="47" t="s">
        <v>35</v>
      </c>
      <c r="B63" s="47">
        <v>27</v>
      </c>
      <c r="C63" s="47">
        <v>75</v>
      </c>
      <c r="D63" s="49">
        <v>1.76</v>
      </c>
      <c r="E63" s="50">
        <f>Tabela2[[#This Row],[Peso]]/Tabela2[[#This Row],[Altura]]^2</f>
        <v>24.212293388429753</v>
      </c>
      <c r="F63" s="47">
        <v>75</v>
      </c>
      <c r="G63" s="47" t="s">
        <v>78</v>
      </c>
      <c r="H63" s="47" t="s">
        <v>22</v>
      </c>
      <c r="I63" s="47" t="s">
        <v>23</v>
      </c>
      <c r="J63" s="47" t="s">
        <v>39</v>
      </c>
      <c r="O63" s="47" t="s">
        <v>26</v>
      </c>
      <c r="P63" s="47" t="s">
        <v>51</v>
      </c>
      <c r="Q63" s="47" t="s">
        <v>38</v>
      </c>
      <c r="R63" s="47">
        <v>600</v>
      </c>
      <c r="S63" s="47" t="s">
        <v>33</v>
      </c>
      <c r="T63" s="47" t="s">
        <v>24</v>
      </c>
      <c r="U63" s="47" t="s">
        <v>30</v>
      </c>
      <c r="V63" s="47">
        <v>5</v>
      </c>
    </row>
    <row r="64" spans="1:22" x14ac:dyDescent="0.25">
      <c r="A64" s="47" t="s">
        <v>35</v>
      </c>
      <c r="B64" s="47">
        <v>21</v>
      </c>
      <c r="C64" s="47">
        <v>75</v>
      </c>
      <c r="D64" s="49">
        <v>1.85</v>
      </c>
      <c r="E64" s="50">
        <f>Tabela2[[#This Row],[Peso]]/Tabela2[[#This Row],[Altura]]^2</f>
        <v>21.913805697589478</v>
      </c>
      <c r="F64" s="47">
        <v>70</v>
      </c>
      <c r="G64" s="47" t="s">
        <v>132</v>
      </c>
      <c r="H64" s="47" t="s">
        <v>22</v>
      </c>
      <c r="I64" s="47" t="s">
        <v>86</v>
      </c>
      <c r="J64" s="47" t="s">
        <v>39</v>
      </c>
      <c r="O64" s="47" t="s">
        <v>26</v>
      </c>
      <c r="P64" s="47" t="s">
        <v>88</v>
      </c>
      <c r="Q64" s="47" t="s">
        <v>54</v>
      </c>
      <c r="R64" s="47">
        <v>500</v>
      </c>
      <c r="S64" s="47" t="s">
        <v>40</v>
      </c>
      <c r="T64" s="47" t="s">
        <v>24</v>
      </c>
      <c r="U64" s="47" t="s">
        <v>75</v>
      </c>
      <c r="V64" s="47">
        <v>7</v>
      </c>
    </row>
    <row r="65" spans="1:22" x14ac:dyDescent="0.25">
      <c r="A65" s="47" t="s">
        <v>21</v>
      </c>
      <c r="B65" s="47">
        <v>45</v>
      </c>
      <c r="C65" s="47">
        <v>54</v>
      </c>
      <c r="D65" s="49">
        <v>1.5</v>
      </c>
      <c r="E65" s="50">
        <f>Tabela2[[#This Row],[Peso]]/Tabela2[[#This Row],[Altura]]^2</f>
        <v>24</v>
      </c>
      <c r="F65" s="47">
        <v>60</v>
      </c>
      <c r="G65" s="47" t="s">
        <v>140</v>
      </c>
      <c r="H65" s="47" t="s">
        <v>141</v>
      </c>
      <c r="I65" s="47" t="s">
        <v>32</v>
      </c>
      <c r="J65" s="47" t="s">
        <v>39</v>
      </c>
      <c r="O65" s="47" t="s">
        <v>26</v>
      </c>
      <c r="P65" s="47" t="s">
        <v>88</v>
      </c>
      <c r="Q65" s="47" t="s">
        <v>28</v>
      </c>
      <c r="R65" s="47">
        <v>350</v>
      </c>
      <c r="S65" s="47" t="s">
        <v>29</v>
      </c>
      <c r="T65" s="47" t="s">
        <v>39</v>
      </c>
      <c r="V65" s="47">
        <v>0</v>
      </c>
    </row>
    <row r="66" spans="1:22" x14ac:dyDescent="0.25">
      <c r="A66" s="47" t="s">
        <v>35</v>
      </c>
      <c r="B66" s="47">
        <v>21</v>
      </c>
      <c r="C66" s="47">
        <v>68</v>
      </c>
      <c r="D66" s="49">
        <v>1.75</v>
      </c>
      <c r="E66" s="50">
        <f>Tabela2[[#This Row],[Peso]]/Tabela2[[#This Row],[Altura]]^2</f>
        <v>22.204081632653061</v>
      </c>
      <c r="F66" s="47">
        <v>74</v>
      </c>
      <c r="G66" s="47" t="s">
        <v>132</v>
      </c>
      <c r="H66" s="47" t="s">
        <v>22</v>
      </c>
      <c r="I66" s="47" t="s">
        <v>32</v>
      </c>
      <c r="J66" s="47" t="s">
        <v>24</v>
      </c>
      <c r="K66" s="47" t="s">
        <v>89</v>
      </c>
      <c r="O66" s="47" t="s">
        <v>26</v>
      </c>
      <c r="P66" s="47" t="s">
        <v>51</v>
      </c>
      <c r="Q66" s="47" t="s">
        <v>54</v>
      </c>
      <c r="R66" s="47">
        <v>520</v>
      </c>
      <c r="S66" s="47" t="s">
        <v>33</v>
      </c>
      <c r="T66" s="47" t="s">
        <v>24</v>
      </c>
      <c r="U66" s="47" t="s">
        <v>142</v>
      </c>
      <c r="V66" s="47">
        <v>3</v>
      </c>
    </row>
    <row r="67" spans="1:22" x14ac:dyDescent="0.25">
      <c r="A67" s="47" t="s">
        <v>35</v>
      </c>
      <c r="B67" s="47">
        <v>21</v>
      </c>
      <c r="C67" s="47">
        <v>75</v>
      </c>
      <c r="D67" s="49">
        <v>1.85</v>
      </c>
      <c r="E67" s="50">
        <f>Tabela2[[#This Row],[Peso]]/Tabela2[[#This Row],[Altura]]^2</f>
        <v>21.913805697589478</v>
      </c>
      <c r="F67" s="47">
        <v>70</v>
      </c>
      <c r="G67" s="47" t="s">
        <v>132</v>
      </c>
      <c r="H67" s="47" t="s">
        <v>22</v>
      </c>
      <c r="I67" s="47" t="s">
        <v>32</v>
      </c>
      <c r="J67" s="47" t="s">
        <v>39</v>
      </c>
      <c r="O67" s="47" t="s">
        <v>26</v>
      </c>
      <c r="P67" s="47" t="s">
        <v>51</v>
      </c>
      <c r="Q67" s="47" t="s">
        <v>38</v>
      </c>
      <c r="R67" s="47">
        <v>600</v>
      </c>
      <c r="S67" s="47" t="s">
        <v>29</v>
      </c>
      <c r="T67" s="47" t="s">
        <v>39</v>
      </c>
      <c r="V67" s="47">
        <v>0</v>
      </c>
    </row>
    <row r="68" spans="1:22" x14ac:dyDescent="0.25">
      <c r="A68" s="47" t="s">
        <v>21</v>
      </c>
      <c r="B68" s="47">
        <v>21</v>
      </c>
      <c r="C68" s="47">
        <v>42</v>
      </c>
      <c r="D68" s="49">
        <v>1.58</v>
      </c>
      <c r="E68" s="50">
        <f>Tabela2[[#This Row],[Peso]]/Tabela2[[#This Row],[Altura]]^2</f>
        <v>16.824226886716868</v>
      </c>
      <c r="F68" s="47">
        <v>60</v>
      </c>
      <c r="G68" s="47" t="s">
        <v>132</v>
      </c>
      <c r="H68" s="47" t="s">
        <v>22</v>
      </c>
      <c r="I68" s="47" t="s">
        <v>72</v>
      </c>
      <c r="J68" s="47" t="s">
        <v>39</v>
      </c>
      <c r="O68" s="47" t="s">
        <v>26</v>
      </c>
      <c r="P68" s="47" t="s">
        <v>53</v>
      </c>
      <c r="Q68" s="47" t="s">
        <v>38</v>
      </c>
      <c r="R68" s="47">
        <v>400</v>
      </c>
      <c r="S68" s="47" t="s">
        <v>33</v>
      </c>
      <c r="T68" s="47" t="s">
        <v>24</v>
      </c>
      <c r="U68" s="47" t="s">
        <v>30</v>
      </c>
      <c r="V68" s="47">
        <v>4</v>
      </c>
    </row>
    <row r="69" spans="1:22" x14ac:dyDescent="0.25">
      <c r="A69" s="47" t="s">
        <v>35</v>
      </c>
      <c r="B69" s="47">
        <v>51</v>
      </c>
      <c r="C69" s="47">
        <v>92</v>
      </c>
      <c r="D69" s="49">
        <v>1.71</v>
      </c>
      <c r="E69" s="50">
        <f>Tabela2[[#This Row],[Peso]]/Tabela2[[#This Row],[Altura]]^2</f>
        <v>31.462672275229988</v>
      </c>
      <c r="F69" s="47">
        <v>93</v>
      </c>
      <c r="G69" s="47" t="s">
        <v>132</v>
      </c>
      <c r="H69" s="47" t="s">
        <v>22</v>
      </c>
      <c r="I69" s="47" t="s">
        <v>32</v>
      </c>
      <c r="J69" s="47" t="s">
        <v>24</v>
      </c>
      <c r="M69" s="47" t="s">
        <v>89</v>
      </c>
      <c r="O69" s="47" t="s">
        <v>26</v>
      </c>
      <c r="P69" s="47" t="s">
        <v>51</v>
      </c>
      <c r="Q69" s="47" t="s">
        <v>38</v>
      </c>
      <c r="R69" s="47">
        <v>650</v>
      </c>
      <c r="S69" s="47" t="s">
        <v>33</v>
      </c>
      <c r="T69" s="47" t="s">
        <v>24</v>
      </c>
      <c r="U69" s="47" t="s">
        <v>75</v>
      </c>
      <c r="V69" s="47">
        <v>5</v>
      </c>
    </row>
    <row r="70" spans="1:22" x14ac:dyDescent="0.25">
      <c r="A70" s="47" t="s">
        <v>21</v>
      </c>
      <c r="B70" s="47">
        <v>21</v>
      </c>
      <c r="C70" s="47">
        <v>50</v>
      </c>
      <c r="D70" s="49">
        <v>1.58</v>
      </c>
      <c r="E70" s="50">
        <f>Tabela2[[#This Row],[Peso]]/Tabela2[[#This Row],[Altura]]^2</f>
        <v>20.028841531805796</v>
      </c>
      <c r="F70" s="47">
        <v>64</v>
      </c>
      <c r="G70" s="47" t="s">
        <v>132</v>
      </c>
      <c r="H70" s="47" t="s">
        <v>161</v>
      </c>
      <c r="I70" s="47" t="s">
        <v>41</v>
      </c>
      <c r="J70" s="47" t="s">
        <v>24</v>
      </c>
      <c r="K70" s="47" t="s">
        <v>89</v>
      </c>
      <c r="O70" s="47" t="s">
        <v>26</v>
      </c>
      <c r="P70" s="47" t="s">
        <v>27</v>
      </c>
      <c r="Q70" s="47" t="s">
        <v>38</v>
      </c>
      <c r="R70" s="47">
        <v>350</v>
      </c>
      <c r="S70" s="47" t="s">
        <v>29</v>
      </c>
      <c r="T70" s="47" t="s">
        <v>39</v>
      </c>
      <c r="V70" s="47">
        <v>0</v>
      </c>
    </row>
    <row r="71" spans="1:22" x14ac:dyDescent="0.25">
      <c r="A71" s="47" t="s">
        <v>35</v>
      </c>
      <c r="B71" s="47">
        <v>21</v>
      </c>
      <c r="C71" s="47">
        <v>60</v>
      </c>
      <c r="D71" s="49">
        <v>1.67</v>
      </c>
      <c r="E71" s="50">
        <f>Tabela2[[#This Row],[Peso]]/Tabela2[[#This Row],[Altura]]^2</f>
        <v>21.513858510523864</v>
      </c>
      <c r="F71" s="47">
        <v>70</v>
      </c>
      <c r="G71" s="47" t="s">
        <v>132</v>
      </c>
      <c r="H71" s="47" t="s">
        <v>22</v>
      </c>
      <c r="I71" s="47" t="s">
        <v>41</v>
      </c>
      <c r="J71" s="47" t="s">
        <v>39</v>
      </c>
      <c r="O71" s="47" t="s">
        <v>26</v>
      </c>
      <c r="P71" s="47" t="s">
        <v>51</v>
      </c>
      <c r="Q71" s="47" t="s">
        <v>38</v>
      </c>
      <c r="R71" s="47">
        <v>700</v>
      </c>
      <c r="S71" s="47" t="s">
        <v>40</v>
      </c>
      <c r="T71" s="47" t="s">
        <v>39</v>
      </c>
      <c r="V71" s="47">
        <v>0</v>
      </c>
    </row>
    <row r="72" spans="1:22" x14ac:dyDescent="0.25">
      <c r="A72" s="47" t="s">
        <v>21</v>
      </c>
      <c r="B72" s="47">
        <v>20</v>
      </c>
      <c r="C72" s="47">
        <v>46</v>
      </c>
      <c r="D72" s="49">
        <v>1.6</v>
      </c>
      <c r="E72" s="50">
        <f>Tabela2[[#This Row],[Peso]]/Tabela2[[#This Row],[Altura]]^2</f>
        <v>17.968749999999996</v>
      </c>
      <c r="F72" s="47">
        <v>65</v>
      </c>
      <c r="G72" s="47" t="s">
        <v>143</v>
      </c>
      <c r="H72" s="47" t="s">
        <v>22</v>
      </c>
      <c r="I72" s="47" t="s">
        <v>23</v>
      </c>
      <c r="J72" s="47" t="s">
        <v>24</v>
      </c>
      <c r="K72" s="47" t="s">
        <v>89</v>
      </c>
      <c r="O72" s="47" t="s">
        <v>26</v>
      </c>
      <c r="P72" s="47" t="s">
        <v>27</v>
      </c>
      <c r="Q72" s="47" t="s">
        <v>28</v>
      </c>
      <c r="R72" s="47">
        <v>350</v>
      </c>
      <c r="S72" s="47" t="s">
        <v>33</v>
      </c>
      <c r="T72" s="47" t="s">
        <v>39</v>
      </c>
      <c r="V72" s="47">
        <v>0</v>
      </c>
    </row>
    <row r="73" spans="1:22" x14ac:dyDescent="0.25">
      <c r="A73" s="47" t="s">
        <v>21</v>
      </c>
      <c r="B73" s="47">
        <v>26</v>
      </c>
      <c r="C73" s="47">
        <v>96</v>
      </c>
      <c r="D73" s="49">
        <v>1.68</v>
      </c>
      <c r="E73" s="50">
        <f>Tabela2[[#This Row],[Peso]]/Tabela2[[#This Row],[Altura]]^2</f>
        <v>34.013605442176875</v>
      </c>
      <c r="F73" s="47">
        <v>107</v>
      </c>
      <c r="G73" s="47" t="s">
        <v>132</v>
      </c>
      <c r="H73" s="47" t="s">
        <v>22</v>
      </c>
      <c r="I73" s="47" t="s">
        <v>41</v>
      </c>
      <c r="J73" s="47" t="s">
        <v>39</v>
      </c>
      <c r="O73" s="47" t="s">
        <v>26</v>
      </c>
      <c r="P73" s="47" t="s">
        <v>27</v>
      </c>
      <c r="Q73" s="47" t="s">
        <v>38</v>
      </c>
      <c r="R73" s="47">
        <v>300</v>
      </c>
      <c r="S73" s="47" t="s">
        <v>29</v>
      </c>
      <c r="T73" s="47" t="s">
        <v>24</v>
      </c>
      <c r="U73" s="47" t="s">
        <v>67</v>
      </c>
      <c r="V73" s="47">
        <v>3</v>
      </c>
    </row>
    <row r="74" spans="1:22" x14ac:dyDescent="0.25">
      <c r="A74" s="47" t="s">
        <v>35</v>
      </c>
      <c r="B74" s="47">
        <v>64</v>
      </c>
      <c r="C74" s="47">
        <v>67</v>
      </c>
      <c r="D74" s="49">
        <v>1.86</v>
      </c>
      <c r="E74" s="50">
        <f>Tabela2[[#This Row],[Peso]]/Tabela2[[#This Row],[Altura]]^2</f>
        <v>19.366400739969936</v>
      </c>
      <c r="F74" s="47">
        <v>73</v>
      </c>
      <c r="G74" s="47" t="s">
        <v>47</v>
      </c>
      <c r="H74" s="47" t="s">
        <v>22</v>
      </c>
      <c r="I74" s="47" t="s">
        <v>41</v>
      </c>
      <c r="J74" s="47" t="s">
        <v>24</v>
      </c>
      <c r="K74" s="47" t="s">
        <v>89</v>
      </c>
      <c r="L74" s="47" t="s">
        <v>89</v>
      </c>
      <c r="O74" s="47" t="s">
        <v>45</v>
      </c>
      <c r="P74" s="47" t="s">
        <v>27</v>
      </c>
      <c r="Q74" s="47" t="s">
        <v>28</v>
      </c>
      <c r="R74" s="47">
        <v>500</v>
      </c>
      <c r="S74" s="47" t="s">
        <v>33</v>
      </c>
      <c r="T74" s="47" t="s">
        <v>24</v>
      </c>
      <c r="U74" s="47" t="s">
        <v>80</v>
      </c>
      <c r="V74" s="47">
        <v>2</v>
      </c>
    </row>
    <row r="75" spans="1:22" x14ac:dyDescent="0.25">
      <c r="A75" s="47" t="s">
        <v>35</v>
      </c>
      <c r="B75" s="47">
        <v>29</v>
      </c>
      <c r="C75" s="47">
        <v>70</v>
      </c>
      <c r="D75" s="49">
        <v>1.7</v>
      </c>
      <c r="E75" s="50">
        <f>Tabela2[[#This Row],[Peso]]/Tabela2[[#This Row],[Altura]]^2</f>
        <v>24.221453287197235</v>
      </c>
      <c r="F75" s="47">
        <v>75</v>
      </c>
      <c r="G75" s="47" t="s">
        <v>132</v>
      </c>
      <c r="H75" s="47" t="s">
        <v>22</v>
      </c>
      <c r="I75" s="47" t="s">
        <v>41</v>
      </c>
      <c r="J75" s="47" t="s">
        <v>24</v>
      </c>
      <c r="K75" s="47" t="s">
        <v>89</v>
      </c>
      <c r="O75" s="47" t="s">
        <v>26</v>
      </c>
      <c r="P75" s="47" t="s">
        <v>51</v>
      </c>
      <c r="Q75" s="47" t="s">
        <v>28</v>
      </c>
      <c r="R75" s="47">
        <v>450</v>
      </c>
      <c r="S75" s="47" t="s">
        <v>55</v>
      </c>
      <c r="T75" s="47" t="s">
        <v>39</v>
      </c>
      <c r="V75" s="47">
        <v>0</v>
      </c>
    </row>
    <row r="76" spans="1:22" x14ac:dyDescent="0.25">
      <c r="A76" s="47" t="s">
        <v>21</v>
      </c>
      <c r="B76" s="47">
        <v>21</v>
      </c>
      <c r="C76" s="47">
        <v>45</v>
      </c>
      <c r="D76" s="49">
        <v>1.62</v>
      </c>
      <c r="E76" s="50">
        <f>Tabela2[[#This Row],[Peso]]/Tabela2[[#This Row],[Altura]]^2</f>
        <v>17.146776406035663</v>
      </c>
      <c r="F76" s="47">
        <v>65</v>
      </c>
      <c r="G76" s="47" t="s">
        <v>132</v>
      </c>
      <c r="H76" s="47" t="s">
        <v>22</v>
      </c>
      <c r="I76" s="47" t="s">
        <v>41</v>
      </c>
      <c r="J76" s="47" t="s">
        <v>24</v>
      </c>
      <c r="K76" s="47" t="s">
        <v>89</v>
      </c>
      <c r="M76" s="47" t="s">
        <v>89</v>
      </c>
      <c r="O76" s="47" t="s">
        <v>26</v>
      </c>
      <c r="P76" s="47" t="s">
        <v>27</v>
      </c>
      <c r="Q76" s="47" t="s">
        <v>27</v>
      </c>
      <c r="R76" s="47">
        <v>350</v>
      </c>
      <c r="S76" s="47" t="s">
        <v>40</v>
      </c>
      <c r="T76" s="47" t="s">
        <v>39</v>
      </c>
      <c r="V76" s="47">
        <v>0</v>
      </c>
    </row>
    <row r="77" spans="1:22" x14ac:dyDescent="0.25">
      <c r="A77" s="47" t="s">
        <v>21</v>
      </c>
      <c r="B77" s="47">
        <v>59</v>
      </c>
      <c r="C77" s="47">
        <v>88</v>
      </c>
      <c r="D77" s="49">
        <v>1.67</v>
      </c>
      <c r="E77" s="50">
        <f>Tabela2[[#This Row],[Peso]]/Tabela2[[#This Row],[Altura]]^2</f>
        <v>31.553659148768332</v>
      </c>
      <c r="F77" s="47">
        <v>96</v>
      </c>
      <c r="G77" s="47" t="s">
        <v>144</v>
      </c>
      <c r="H77" s="47" t="s">
        <v>22</v>
      </c>
      <c r="I77" s="47" t="s">
        <v>32</v>
      </c>
      <c r="J77" s="47" t="s">
        <v>24</v>
      </c>
      <c r="K77" s="47" t="s">
        <v>89</v>
      </c>
      <c r="M77" s="47" t="s">
        <v>89</v>
      </c>
      <c r="O77" s="47" t="s">
        <v>26</v>
      </c>
      <c r="P77" s="47" t="s">
        <v>51</v>
      </c>
      <c r="Q77" s="47" t="s">
        <v>28</v>
      </c>
      <c r="R77" s="47">
        <v>350</v>
      </c>
      <c r="S77" s="47" t="s">
        <v>55</v>
      </c>
      <c r="T77" s="47" t="s">
        <v>39</v>
      </c>
      <c r="V77" s="47">
        <v>0</v>
      </c>
    </row>
    <row r="78" spans="1:22" x14ac:dyDescent="0.25">
      <c r="A78" s="47" t="s">
        <v>21</v>
      </c>
      <c r="B78" s="47">
        <v>21</v>
      </c>
      <c r="C78" s="47">
        <v>78</v>
      </c>
      <c r="D78" s="49">
        <v>1.64</v>
      </c>
      <c r="E78" s="50">
        <f>Tabela2[[#This Row],[Peso]]/Tabela2[[#This Row],[Altura]]^2</f>
        <v>29.000594883997625</v>
      </c>
      <c r="F78" s="47">
        <v>88</v>
      </c>
      <c r="G78" s="47" t="s">
        <v>31</v>
      </c>
      <c r="H78" s="47" t="s">
        <v>22</v>
      </c>
      <c r="I78" s="47" t="s">
        <v>32</v>
      </c>
      <c r="J78" s="47" t="s">
        <v>24</v>
      </c>
      <c r="K78" s="47" t="s">
        <v>89</v>
      </c>
      <c r="M78" s="47" t="s">
        <v>89</v>
      </c>
      <c r="O78" s="47" t="s">
        <v>26</v>
      </c>
      <c r="P78" s="47" t="s">
        <v>27</v>
      </c>
      <c r="Q78" s="47" t="s">
        <v>38</v>
      </c>
      <c r="R78" s="47">
        <v>450</v>
      </c>
      <c r="S78" s="47" t="s">
        <v>29</v>
      </c>
      <c r="T78" s="47" t="s">
        <v>24</v>
      </c>
      <c r="U78" s="47" t="s">
        <v>145</v>
      </c>
      <c r="V78" s="47">
        <v>3</v>
      </c>
    </row>
    <row r="79" spans="1:22" x14ac:dyDescent="0.25">
      <c r="A79" s="47" t="s">
        <v>21</v>
      </c>
      <c r="B79" s="47">
        <v>20</v>
      </c>
      <c r="C79" s="47">
        <v>53</v>
      </c>
      <c r="D79" s="49">
        <v>1.67</v>
      </c>
      <c r="E79" s="50">
        <f>Tabela2[[#This Row],[Peso]]/Tabela2[[#This Row],[Altura]]^2</f>
        <v>19.003908350962746</v>
      </c>
      <c r="F79" s="47">
        <v>62</v>
      </c>
      <c r="G79" s="47" t="s">
        <v>47</v>
      </c>
      <c r="H79" s="47" t="s">
        <v>22</v>
      </c>
      <c r="I79" s="47" t="s">
        <v>41</v>
      </c>
      <c r="J79" s="47" t="s">
        <v>39</v>
      </c>
      <c r="O79" s="47" t="s">
        <v>26</v>
      </c>
      <c r="P79" s="47" t="s">
        <v>51</v>
      </c>
      <c r="Q79" s="47" t="s">
        <v>38</v>
      </c>
      <c r="R79" s="47">
        <v>600</v>
      </c>
      <c r="S79" s="47" t="s">
        <v>29</v>
      </c>
      <c r="T79" s="47" t="s">
        <v>24</v>
      </c>
      <c r="U79" s="47" t="s">
        <v>67</v>
      </c>
      <c r="V79" s="47">
        <v>4</v>
      </c>
    </row>
    <row r="80" spans="1:22" x14ac:dyDescent="0.25">
      <c r="A80" s="47" t="s">
        <v>21</v>
      </c>
      <c r="B80" s="47">
        <v>20</v>
      </c>
      <c r="C80" s="47">
        <v>69</v>
      </c>
      <c r="D80" s="49">
        <v>1.7</v>
      </c>
      <c r="E80" s="50">
        <f>Tabela2[[#This Row],[Peso]]/Tabela2[[#This Row],[Altura]]^2</f>
        <v>23.87543252595156</v>
      </c>
      <c r="F80" s="47">
        <v>77</v>
      </c>
      <c r="G80" s="47" t="s">
        <v>146</v>
      </c>
      <c r="H80" s="47" t="s">
        <v>22</v>
      </c>
      <c r="I80" s="47" t="s">
        <v>72</v>
      </c>
      <c r="J80" s="47" t="s">
        <v>24</v>
      </c>
      <c r="K80" s="47" t="s">
        <v>89</v>
      </c>
      <c r="O80" s="47" t="s">
        <v>26</v>
      </c>
      <c r="P80" s="47" t="s">
        <v>27</v>
      </c>
      <c r="Q80" s="47" t="s">
        <v>38</v>
      </c>
      <c r="R80" s="47">
        <v>600</v>
      </c>
      <c r="S80" s="47" t="s">
        <v>33</v>
      </c>
      <c r="T80" s="47" t="s">
        <v>24</v>
      </c>
      <c r="U80" s="47" t="s">
        <v>145</v>
      </c>
      <c r="V80" s="47">
        <v>4</v>
      </c>
    </row>
    <row r="81" spans="1:22" x14ac:dyDescent="0.25">
      <c r="A81" s="47" t="s">
        <v>21</v>
      </c>
      <c r="B81" s="47">
        <v>21</v>
      </c>
      <c r="C81" s="47">
        <v>69</v>
      </c>
      <c r="D81" s="49">
        <v>1.66</v>
      </c>
      <c r="E81" s="50">
        <f>Tabela2[[#This Row],[Peso]]/Tabela2[[#This Row],[Altura]]^2</f>
        <v>25.039918710988534</v>
      </c>
      <c r="F81" s="47">
        <v>78</v>
      </c>
      <c r="G81" s="47" t="s">
        <v>31</v>
      </c>
      <c r="H81" s="47" t="s">
        <v>22</v>
      </c>
      <c r="I81" s="47" t="s">
        <v>72</v>
      </c>
      <c r="J81" s="47" t="s">
        <v>24</v>
      </c>
      <c r="K81" s="47" t="s">
        <v>89</v>
      </c>
      <c r="M81" s="47" t="s">
        <v>89</v>
      </c>
      <c r="O81" s="47" t="s">
        <v>26</v>
      </c>
      <c r="P81" s="47" t="s">
        <v>51</v>
      </c>
      <c r="Q81" s="47" t="s">
        <v>54</v>
      </c>
      <c r="R81" s="47">
        <v>500</v>
      </c>
      <c r="S81" s="47" t="s">
        <v>33</v>
      </c>
      <c r="T81" s="47" t="s">
        <v>24</v>
      </c>
      <c r="U81" s="47" t="s">
        <v>73</v>
      </c>
      <c r="V81" s="47">
        <v>5</v>
      </c>
    </row>
    <row r="82" spans="1:22" x14ac:dyDescent="0.25">
      <c r="A82" s="47" t="s">
        <v>35</v>
      </c>
      <c r="B82" s="47">
        <v>25</v>
      </c>
      <c r="C82" s="47">
        <v>92</v>
      </c>
      <c r="D82" s="49">
        <v>1.86</v>
      </c>
      <c r="E82" s="50">
        <f>Tabela2[[#This Row],[Peso]]/Tabela2[[#This Row],[Altura]]^2</f>
        <v>26.592669672794539</v>
      </c>
      <c r="F82" s="47">
        <v>94</v>
      </c>
      <c r="G82" s="47" t="s">
        <v>147</v>
      </c>
      <c r="H82" s="47" t="s">
        <v>22</v>
      </c>
      <c r="I82" s="47" t="s">
        <v>79</v>
      </c>
      <c r="J82" s="47" t="s">
        <v>24</v>
      </c>
      <c r="K82" s="47" t="s">
        <v>89</v>
      </c>
      <c r="L82" s="47" t="s">
        <v>89</v>
      </c>
      <c r="M82" s="47" t="s">
        <v>89</v>
      </c>
      <c r="O82" s="47" t="s">
        <v>26</v>
      </c>
      <c r="P82" s="47" t="s">
        <v>51</v>
      </c>
      <c r="Q82" s="47" t="s">
        <v>38</v>
      </c>
      <c r="R82" s="47">
        <v>600</v>
      </c>
      <c r="S82" s="47" t="s">
        <v>29</v>
      </c>
      <c r="T82" s="47" t="s">
        <v>24</v>
      </c>
      <c r="U82" s="47" t="s">
        <v>46</v>
      </c>
      <c r="V82" s="47">
        <v>1</v>
      </c>
    </row>
    <row r="83" spans="1:22" x14ac:dyDescent="0.25">
      <c r="A83" s="47" t="s">
        <v>35</v>
      </c>
      <c r="B83" s="47">
        <v>29</v>
      </c>
      <c r="C83" s="47">
        <v>65</v>
      </c>
      <c r="D83" s="49">
        <v>1.78</v>
      </c>
      <c r="E83" s="50">
        <f>Tabela2[[#This Row],[Peso]]/Tabela2[[#This Row],[Altura]]^2</f>
        <v>20.515086478979924</v>
      </c>
      <c r="F83" s="47">
        <v>73</v>
      </c>
      <c r="G83" s="47" t="s">
        <v>47</v>
      </c>
      <c r="H83" s="47" t="s">
        <v>22</v>
      </c>
      <c r="I83" s="47" t="s">
        <v>41</v>
      </c>
      <c r="J83" s="47" t="s">
        <v>39</v>
      </c>
      <c r="O83" s="47" t="s">
        <v>45</v>
      </c>
      <c r="P83" s="47" t="s">
        <v>88</v>
      </c>
      <c r="Q83" s="47" t="s">
        <v>38</v>
      </c>
      <c r="R83" s="47">
        <v>600</v>
      </c>
      <c r="S83" s="47" t="s">
        <v>33</v>
      </c>
      <c r="T83" s="47" t="s">
        <v>24</v>
      </c>
      <c r="U83" s="47" t="s">
        <v>148</v>
      </c>
      <c r="V83" s="47">
        <v>3</v>
      </c>
    </row>
    <row r="84" spans="1:22" x14ac:dyDescent="0.25">
      <c r="A84" s="47" t="s">
        <v>21</v>
      </c>
      <c r="B84" s="47">
        <v>23</v>
      </c>
      <c r="C84" s="47">
        <v>55</v>
      </c>
      <c r="D84" s="49">
        <v>1.67</v>
      </c>
      <c r="E84" s="50">
        <f>Tabela2[[#This Row],[Peso]]/Tabela2[[#This Row],[Altura]]^2</f>
        <v>19.721036967980208</v>
      </c>
      <c r="F84" s="47">
        <v>68</v>
      </c>
      <c r="G84" s="47" t="s">
        <v>47</v>
      </c>
      <c r="H84" s="47" t="s">
        <v>22</v>
      </c>
      <c r="I84" s="47" t="s">
        <v>41</v>
      </c>
      <c r="J84" s="47" t="s">
        <v>39</v>
      </c>
      <c r="O84" s="47" t="s">
        <v>45</v>
      </c>
      <c r="P84" s="47" t="s">
        <v>88</v>
      </c>
      <c r="Q84" s="47" t="s">
        <v>28</v>
      </c>
      <c r="R84" s="47">
        <v>500</v>
      </c>
      <c r="S84" s="47" t="s">
        <v>33</v>
      </c>
      <c r="T84" s="47" t="s">
        <v>24</v>
      </c>
      <c r="U84" s="47" t="s">
        <v>148</v>
      </c>
      <c r="V84" s="47">
        <v>1</v>
      </c>
    </row>
    <row r="85" spans="1:22" x14ac:dyDescent="0.25">
      <c r="A85" s="47" t="s">
        <v>35</v>
      </c>
      <c r="B85" s="47">
        <v>22</v>
      </c>
      <c r="C85" s="47">
        <v>90</v>
      </c>
      <c r="D85" s="49">
        <v>1.94</v>
      </c>
      <c r="E85" s="50">
        <f>Tabela2[[#This Row],[Peso]]/Tabela2[[#This Row],[Altura]]^2</f>
        <v>23.913274524391539</v>
      </c>
      <c r="F85" s="47">
        <v>87</v>
      </c>
      <c r="G85" s="47" t="s">
        <v>149</v>
      </c>
      <c r="H85" s="47" t="s">
        <v>22</v>
      </c>
      <c r="I85" s="47" t="s">
        <v>23</v>
      </c>
      <c r="J85" s="47" t="s">
        <v>24</v>
      </c>
      <c r="K85" s="47" t="s">
        <v>89</v>
      </c>
      <c r="M85" s="47" t="s">
        <v>89</v>
      </c>
      <c r="O85" s="47" t="s">
        <v>26</v>
      </c>
      <c r="P85" s="47" t="s">
        <v>27</v>
      </c>
      <c r="Q85" s="47" t="s">
        <v>38</v>
      </c>
      <c r="R85" s="47">
        <v>500</v>
      </c>
      <c r="S85" s="47" t="s">
        <v>33</v>
      </c>
      <c r="T85" s="47" t="s">
        <v>24</v>
      </c>
      <c r="U85" s="47" t="s">
        <v>30</v>
      </c>
      <c r="V85" s="47">
        <v>5</v>
      </c>
    </row>
    <row r="86" spans="1:22" x14ac:dyDescent="0.25">
      <c r="A86" s="47" t="s">
        <v>21</v>
      </c>
      <c r="B86" s="47">
        <v>20</v>
      </c>
      <c r="C86" s="47">
        <v>49</v>
      </c>
      <c r="D86" s="49">
        <v>1.6</v>
      </c>
      <c r="E86" s="50">
        <f>Tabela2[[#This Row],[Peso]]/Tabela2[[#This Row],[Altura]]^2</f>
        <v>19.140624999999996</v>
      </c>
      <c r="F86" s="47">
        <v>66</v>
      </c>
      <c r="G86" s="47" t="s">
        <v>132</v>
      </c>
      <c r="H86" s="47" t="s">
        <v>22</v>
      </c>
      <c r="I86" s="47" t="s">
        <v>41</v>
      </c>
      <c r="J86" s="47" t="s">
        <v>39</v>
      </c>
      <c r="O86" s="47" t="s">
        <v>26</v>
      </c>
      <c r="P86" s="47" t="s">
        <v>27</v>
      </c>
      <c r="Q86" s="47" t="s">
        <v>28</v>
      </c>
      <c r="R86" s="47">
        <v>350</v>
      </c>
      <c r="S86" s="47" t="s">
        <v>33</v>
      </c>
      <c r="T86" s="47" t="s">
        <v>24</v>
      </c>
      <c r="U86" s="47" t="s">
        <v>30</v>
      </c>
      <c r="V86" s="47">
        <v>5</v>
      </c>
    </row>
  </sheetData>
  <dataValidations count="12">
    <dataValidation type="list" allowBlank="1" showInputMessage="1" showErrorMessage="1" errorTitle="ERRO" error="Dado inválido" promptTitle="Sexo" prompt="F - Feminino_x000a_M - Masculino" sqref="A2:A86" xr:uid="{00000000-0002-0000-0100-000000000000}">
      <formula1>"F,M"</formula1>
    </dataValidation>
    <dataValidation type="whole" allowBlank="1" showInputMessage="1" showErrorMessage="1" sqref="C2:C86" xr:uid="{00000000-0002-0000-0100-000001000000}">
      <formula1>40</formula1>
      <formula2>140</formula2>
    </dataValidation>
    <dataValidation type="decimal" allowBlank="1" showInputMessage="1" showErrorMessage="1" sqref="D2:D86" xr:uid="{00000000-0002-0000-0100-000002000000}">
      <formula1>1.4</formula1>
      <formula2>2.2</formula2>
    </dataValidation>
    <dataValidation type="whole" allowBlank="1" showInputMessage="1" showErrorMessage="1" sqref="F2:F86" xr:uid="{00000000-0002-0000-0100-000003000000}">
      <formula1>45</formula1>
      <formula2>130</formula2>
    </dataValidation>
    <dataValidation type="list" allowBlank="1" showInputMessage="1" showErrorMessage="1" sqref="I2:I86" xr:uid="{00000000-0002-0000-0100-000004000000}">
      <formula1>"A+,A-,B+,B-,AB+, AB-,O+,O-"</formula1>
    </dataValidation>
    <dataValidation type="list" allowBlank="1" showInputMessage="1" showErrorMessage="1" sqref="O2:O86" xr:uid="{00000000-0002-0000-0100-000005000000}">
      <formula1>"Onívoro,Vegetariano,Vegano,Outros"</formula1>
    </dataValidation>
    <dataValidation type="list" allowBlank="1" showInputMessage="1" showErrorMessage="1" sqref="P2:P86" xr:uid="{00000000-0002-0000-0100-000006000000}">
      <formula1>"Nunca,Parou,As vezes,De 1-10/dia,Mais de 10/dia"</formula1>
    </dataValidation>
    <dataValidation type="list" allowBlank="1" showInputMessage="1" showErrorMessage="1" sqref="Q2:Q86" xr:uid="{00000000-0002-0000-0100-000007000000}">
      <formula1>"Nunca,Raramente,Frequentemente,Sempre"</formula1>
    </dataValidation>
    <dataValidation type="whole" allowBlank="1" showInputMessage="1" showErrorMessage="1" sqref="R2:R86" xr:uid="{00000000-0002-0000-0100-000008000000}">
      <formula1>100</formula1>
      <formula2>1700</formula2>
    </dataValidation>
    <dataValidation type="list" allowBlank="1" showInputMessage="1" showErrorMessage="1" sqref="S2:S86" xr:uid="{00000000-0002-0000-0100-000009000000}">
      <formula1>"Nada,Água,Suco,Refri,Outros"</formula1>
    </dataValidation>
    <dataValidation type="whole" allowBlank="1" showInputMessage="1" showErrorMessage="1" sqref="V2:V86" xr:uid="{00000000-0002-0000-0100-00000A000000}">
      <formula1>0</formula1>
      <formula2>7</formula2>
    </dataValidation>
    <dataValidation type="list" allowBlank="1" showInputMessage="1" showErrorMessage="1" sqref="T2:T86" xr:uid="{00000000-0002-0000-0100-00000B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B28"/>
  <sheetViews>
    <sheetView workbookViewId="0">
      <selection activeCell="D11" sqref="D11"/>
    </sheetView>
  </sheetViews>
  <sheetFormatPr defaultRowHeight="15" x14ac:dyDescent="0.25"/>
  <cols>
    <col min="1" max="1" width="19.28515625" style="46" bestFit="1" customWidth="1"/>
    <col min="2" max="2" width="9.140625" style="46"/>
    <col min="3" max="16384" width="9.140625" style="47"/>
  </cols>
  <sheetData>
    <row r="1" spans="1:2" x14ac:dyDescent="0.25">
      <c r="A1" s="46" t="s">
        <v>6</v>
      </c>
      <c r="B1" s="46" t="s">
        <v>159</v>
      </c>
    </row>
    <row r="2" spans="1:2" x14ac:dyDescent="0.25">
      <c r="A2" s="21" t="s">
        <v>160</v>
      </c>
      <c r="B2" s="46" t="s">
        <v>161</v>
      </c>
    </row>
    <row r="3" spans="1:2" x14ac:dyDescent="0.25">
      <c r="A3" s="21" t="s">
        <v>162</v>
      </c>
      <c r="B3" s="46" t="s">
        <v>163</v>
      </c>
    </row>
    <row r="4" spans="1:2" x14ac:dyDescent="0.25">
      <c r="A4" s="21" t="s">
        <v>164</v>
      </c>
      <c r="B4" s="46" t="s">
        <v>165</v>
      </c>
    </row>
    <row r="5" spans="1:2" x14ac:dyDescent="0.25">
      <c r="A5" s="21" t="s">
        <v>166</v>
      </c>
      <c r="B5" s="46" t="s">
        <v>167</v>
      </c>
    </row>
    <row r="6" spans="1:2" x14ac:dyDescent="0.25">
      <c r="A6" s="21" t="s">
        <v>168</v>
      </c>
      <c r="B6" s="46" t="s">
        <v>169</v>
      </c>
    </row>
    <row r="7" spans="1:2" x14ac:dyDescent="0.25">
      <c r="A7" s="21" t="s">
        <v>170</v>
      </c>
      <c r="B7" s="46" t="s">
        <v>171</v>
      </c>
    </row>
    <row r="8" spans="1:2" x14ac:dyDescent="0.25">
      <c r="A8" s="21" t="s">
        <v>172</v>
      </c>
      <c r="B8" s="46" t="s">
        <v>173</v>
      </c>
    </row>
    <row r="9" spans="1:2" x14ac:dyDescent="0.25">
      <c r="A9" s="21" t="s">
        <v>174</v>
      </c>
      <c r="B9" s="46" t="s">
        <v>137</v>
      </c>
    </row>
    <row r="10" spans="1:2" x14ac:dyDescent="0.25">
      <c r="A10" s="21" t="s">
        <v>175</v>
      </c>
      <c r="B10" s="46" t="s">
        <v>176</v>
      </c>
    </row>
    <row r="11" spans="1:2" x14ac:dyDescent="0.25">
      <c r="A11" s="21" t="s">
        <v>177</v>
      </c>
      <c r="B11" s="46" t="s">
        <v>178</v>
      </c>
    </row>
    <row r="12" spans="1:2" x14ac:dyDescent="0.25">
      <c r="A12" s="21" t="s">
        <v>179</v>
      </c>
      <c r="B12" s="46" t="s">
        <v>180</v>
      </c>
    </row>
    <row r="13" spans="1:2" x14ac:dyDescent="0.25">
      <c r="A13" s="21" t="s">
        <v>181</v>
      </c>
      <c r="B13" s="46" t="s">
        <v>22</v>
      </c>
    </row>
    <row r="14" spans="1:2" x14ac:dyDescent="0.25">
      <c r="A14" s="21" t="s">
        <v>182</v>
      </c>
      <c r="B14" s="46" t="s">
        <v>183</v>
      </c>
    </row>
    <row r="15" spans="1:2" x14ac:dyDescent="0.25">
      <c r="A15" s="21" t="s">
        <v>184</v>
      </c>
      <c r="B15" s="46" t="s">
        <v>185</v>
      </c>
    </row>
    <row r="16" spans="1:2" x14ac:dyDescent="0.25">
      <c r="A16" s="21" t="s">
        <v>186</v>
      </c>
      <c r="B16" s="46" t="s">
        <v>141</v>
      </c>
    </row>
    <row r="17" spans="1:2" x14ac:dyDescent="0.25">
      <c r="A17" s="21" t="s">
        <v>187</v>
      </c>
      <c r="B17" s="46" t="s">
        <v>188</v>
      </c>
    </row>
    <row r="18" spans="1:2" x14ac:dyDescent="0.25">
      <c r="A18" s="21" t="s">
        <v>189</v>
      </c>
      <c r="B18" s="46" t="s">
        <v>190</v>
      </c>
    </row>
    <row r="19" spans="1:2" x14ac:dyDescent="0.25">
      <c r="A19" s="21" t="s">
        <v>191</v>
      </c>
      <c r="B19" s="46" t="s">
        <v>37</v>
      </c>
    </row>
    <row r="20" spans="1:2" x14ac:dyDescent="0.25">
      <c r="A20" s="21" t="s">
        <v>192</v>
      </c>
      <c r="B20" s="46" t="s">
        <v>193</v>
      </c>
    </row>
    <row r="21" spans="1:2" x14ac:dyDescent="0.25">
      <c r="A21" s="21" t="s">
        <v>194</v>
      </c>
      <c r="B21" s="46" t="s">
        <v>195</v>
      </c>
    </row>
    <row r="22" spans="1:2" x14ac:dyDescent="0.25">
      <c r="A22" s="21" t="s">
        <v>196</v>
      </c>
      <c r="B22" s="46" t="s">
        <v>197</v>
      </c>
    </row>
    <row r="23" spans="1:2" x14ac:dyDescent="0.25">
      <c r="A23" s="21" t="s">
        <v>198</v>
      </c>
      <c r="B23" s="46" t="s">
        <v>199</v>
      </c>
    </row>
    <row r="24" spans="1:2" x14ac:dyDescent="0.25">
      <c r="A24" s="21" t="s">
        <v>200</v>
      </c>
      <c r="B24" s="46" t="s">
        <v>201</v>
      </c>
    </row>
    <row r="25" spans="1:2" x14ac:dyDescent="0.25">
      <c r="A25" s="21" t="s">
        <v>202</v>
      </c>
      <c r="B25" s="46" t="s">
        <v>43</v>
      </c>
    </row>
    <row r="26" spans="1:2" x14ac:dyDescent="0.25">
      <c r="A26" s="21" t="s">
        <v>203</v>
      </c>
      <c r="B26" s="46" t="s">
        <v>204</v>
      </c>
    </row>
    <row r="27" spans="1:2" x14ac:dyDescent="0.25">
      <c r="A27" s="21" t="s">
        <v>205</v>
      </c>
      <c r="B27" s="46" t="s">
        <v>206</v>
      </c>
    </row>
    <row r="28" spans="1:2" x14ac:dyDescent="0.25">
      <c r="A28" s="21" t="s">
        <v>207</v>
      </c>
      <c r="B28" s="46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2"/>
  <sheetViews>
    <sheetView showGridLines="0" zoomScale="115" zoomScaleNormal="115" workbookViewId="0">
      <selection activeCell="K12" sqref="K12"/>
    </sheetView>
  </sheetViews>
  <sheetFormatPr defaultRowHeight="15" x14ac:dyDescent="0.25"/>
  <cols>
    <col min="1" max="1" width="2.42578125" style="47" customWidth="1"/>
    <col min="2" max="2" width="11.28515625" style="47" customWidth="1"/>
    <col min="3" max="3" width="9.140625" style="47" customWidth="1"/>
    <col min="4" max="5" width="9.140625" style="47"/>
    <col min="6" max="6" width="9.140625" style="47" customWidth="1"/>
    <col min="7" max="16384" width="9.140625" style="47"/>
  </cols>
  <sheetData>
    <row r="2" spans="2:9" ht="24.75" customHeight="1" x14ac:dyDescent="0.25">
      <c r="B2" s="51" t="s">
        <v>152</v>
      </c>
      <c r="C2" s="51"/>
      <c r="D2" s="51"/>
      <c r="E2" s="51"/>
      <c r="F2" s="51"/>
      <c r="G2" s="52"/>
      <c r="H2" s="52"/>
      <c r="I2" s="52"/>
    </row>
    <row r="3" spans="2:9" ht="31.5" customHeight="1" x14ac:dyDescent="0.25">
      <c r="B3" s="53" t="s">
        <v>90</v>
      </c>
      <c r="C3" s="54" t="s">
        <v>82</v>
      </c>
      <c r="D3" s="54" t="s">
        <v>83</v>
      </c>
      <c r="E3" s="54" t="s">
        <v>84</v>
      </c>
      <c r="F3" s="55" t="s">
        <v>85</v>
      </c>
      <c r="G3" s="52"/>
      <c r="H3" s="52"/>
      <c r="I3" s="52"/>
    </row>
    <row r="4" spans="2:9" ht="15.75" x14ac:dyDescent="0.25">
      <c r="B4" s="56" t="s">
        <v>32</v>
      </c>
      <c r="C4" s="57">
        <f>COUNTIF(Tabela2[Sangue],B4)</f>
        <v>27</v>
      </c>
      <c r="D4" s="57">
        <f>C4</f>
        <v>27</v>
      </c>
      <c r="E4" s="58">
        <f>C4/$C$12</f>
        <v>0.31764705882352939</v>
      </c>
      <c r="F4" s="59">
        <f>E4</f>
        <v>0.31764705882352939</v>
      </c>
      <c r="G4" s="52"/>
      <c r="H4" s="52"/>
      <c r="I4" s="52"/>
    </row>
    <row r="5" spans="2:9" ht="15.75" x14ac:dyDescent="0.25">
      <c r="B5" s="56" t="s">
        <v>72</v>
      </c>
      <c r="C5" s="57">
        <f>COUNTIF(Tabela2[Sangue],B5)</f>
        <v>6</v>
      </c>
      <c r="D5" s="57">
        <f t="shared" ref="D5:D11" si="0">D4+C5</f>
        <v>33</v>
      </c>
      <c r="E5" s="58">
        <f t="shared" ref="E5:E10" si="1">C5/$C$12</f>
        <v>7.0588235294117646E-2</v>
      </c>
      <c r="F5" s="59">
        <f>F4+E5</f>
        <v>0.38823529411764701</v>
      </c>
      <c r="G5" s="52"/>
      <c r="H5" s="52"/>
      <c r="I5" s="52"/>
    </row>
    <row r="6" spans="2:9" ht="15.75" x14ac:dyDescent="0.25">
      <c r="B6" s="56" t="s">
        <v>66</v>
      </c>
      <c r="C6" s="57">
        <f>COUNTIF(Tabela2[Sangue],B6)</f>
        <v>2</v>
      </c>
      <c r="D6" s="57">
        <f t="shared" si="0"/>
        <v>35</v>
      </c>
      <c r="E6" s="58">
        <f t="shared" si="1"/>
        <v>2.3529411764705882E-2</v>
      </c>
      <c r="F6" s="59">
        <f t="shared" ref="F6:F11" si="2">F5+E6</f>
        <v>0.41176470588235292</v>
      </c>
    </row>
    <row r="7" spans="2:9" ht="15.75" x14ac:dyDescent="0.25">
      <c r="B7" s="56" t="s">
        <v>86</v>
      </c>
      <c r="C7" s="57">
        <f>COUNTIF(Tabela2[Sangue],B7)</f>
        <v>1</v>
      </c>
      <c r="D7" s="57">
        <f t="shared" si="0"/>
        <v>36</v>
      </c>
      <c r="E7" s="58">
        <f>C7/$C$12</f>
        <v>1.1764705882352941E-2</v>
      </c>
      <c r="F7" s="59">
        <f t="shared" si="2"/>
        <v>0.42352941176470588</v>
      </c>
    </row>
    <row r="8" spans="2:9" ht="15.75" x14ac:dyDescent="0.25">
      <c r="B8" s="56" t="s">
        <v>65</v>
      </c>
      <c r="C8" s="57">
        <f>COUNTIF(Tabela2[Sangue],B8)</f>
        <v>1</v>
      </c>
      <c r="D8" s="57">
        <f t="shared" si="0"/>
        <v>37</v>
      </c>
      <c r="E8" s="58">
        <f>C8/$C$12</f>
        <v>1.1764705882352941E-2</v>
      </c>
      <c r="F8" s="59">
        <f t="shared" si="2"/>
        <v>0.43529411764705883</v>
      </c>
    </row>
    <row r="9" spans="2:9" ht="15.75" x14ac:dyDescent="0.25">
      <c r="B9" s="56" t="s">
        <v>79</v>
      </c>
      <c r="C9" s="57">
        <f>COUNTIF(Tabela2[Sangue],B9)</f>
        <v>3</v>
      </c>
      <c r="D9" s="57">
        <f t="shared" si="0"/>
        <v>40</v>
      </c>
      <c r="E9" s="58">
        <f t="shared" si="1"/>
        <v>3.5294117647058823E-2</v>
      </c>
      <c r="F9" s="59">
        <f t="shared" si="2"/>
        <v>0.47058823529411764</v>
      </c>
    </row>
    <row r="10" spans="2:9" ht="15.75" x14ac:dyDescent="0.25">
      <c r="B10" s="56" t="s">
        <v>41</v>
      </c>
      <c r="C10" s="57">
        <f>COUNTIF(Tabela2[Sangue],B10)</f>
        <v>25</v>
      </c>
      <c r="D10" s="57">
        <f t="shared" si="0"/>
        <v>65</v>
      </c>
      <c r="E10" s="58">
        <f t="shared" si="1"/>
        <v>0.29411764705882354</v>
      </c>
      <c r="F10" s="59">
        <f t="shared" si="2"/>
        <v>0.76470588235294112</v>
      </c>
    </row>
    <row r="11" spans="2:9" ht="15.75" x14ac:dyDescent="0.25">
      <c r="B11" s="56" t="s">
        <v>23</v>
      </c>
      <c r="C11" s="57">
        <f>COUNTIF(Tabela2[Sangue],B11)</f>
        <v>20</v>
      </c>
      <c r="D11" s="57">
        <f t="shared" si="0"/>
        <v>85</v>
      </c>
      <c r="E11" s="58">
        <f>C11/$C$12</f>
        <v>0.23529411764705882</v>
      </c>
      <c r="F11" s="59">
        <f t="shared" si="2"/>
        <v>1</v>
      </c>
    </row>
    <row r="12" spans="2:9" ht="15.75" x14ac:dyDescent="0.25">
      <c r="B12" s="60" t="s">
        <v>87</v>
      </c>
      <c r="C12" s="54">
        <f>SUM(C4:C11)</f>
        <v>85</v>
      </c>
      <c r="D12" s="54" t="s">
        <v>98</v>
      </c>
      <c r="E12" s="61">
        <f>SUM(E4:E11)</f>
        <v>1</v>
      </c>
      <c r="F12" s="55" t="s">
        <v>98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4:E1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9"/>
  <sheetViews>
    <sheetView showGridLines="0" zoomScale="120" zoomScaleNormal="120" workbookViewId="0">
      <selection activeCell="I11" sqref="I11"/>
    </sheetView>
  </sheetViews>
  <sheetFormatPr defaultRowHeight="15" x14ac:dyDescent="0.25"/>
  <cols>
    <col min="1" max="1" width="4.7109375" style="47" customWidth="1"/>
    <col min="2" max="2" width="31.42578125" style="47" bestFit="1" customWidth="1"/>
    <col min="3" max="16384" width="9.140625" style="47"/>
  </cols>
  <sheetData>
    <row r="1" spans="2:6" ht="28.5" customHeight="1" thickBot="1" x14ac:dyDescent="0.3">
      <c r="B1" s="62" t="s">
        <v>153</v>
      </c>
      <c r="C1" s="63"/>
      <c r="D1" s="63"/>
      <c r="E1" s="63"/>
      <c r="F1" s="63"/>
    </row>
    <row r="2" spans="2:6" ht="17.25" thickTop="1" thickBot="1" x14ac:dyDescent="0.3">
      <c r="B2" s="64" t="s">
        <v>14</v>
      </c>
      <c r="C2" s="65" t="s">
        <v>82</v>
      </c>
      <c r="D2" s="65" t="s">
        <v>83</v>
      </c>
      <c r="E2" s="65" t="s">
        <v>84</v>
      </c>
      <c r="F2" s="66" t="s">
        <v>85</v>
      </c>
    </row>
    <row r="3" spans="2:6" ht="16.5" thickTop="1" x14ac:dyDescent="0.25">
      <c r="B3" s="67" t="s">
        <v>27</v>
      </c>
      <c r="C3" s="68"/>
      <c r="D3" s="68"/>
      <c r="E3" s="69"/>
      <c r="F3" s="70"/>
    </row>
    <row r="4" spans="2:6" ht="15.75" x14ac:dyDescent="0.25">
      <c r="B4" s="71" t="s">
        <v>51</v>
      </c>
      <c r="C4" s="68"/>
      <c r="D4" s="68"/>
      <c r="E4" s="69"/>
      <c r="F4" s="72"/>
    </row>
    <row r="5" spans="2:6" ht="15.75" x14ac:dyDescent="0.25">
      <c r="B5" s="71" t="s">
        <v>48</v>
      </c>
      <c r="C5" s="68"/>
      <c r="D5" s="68"/>
      <c r="E5" s="69"/>
      <c r="F5" s="72"/>
    </row>
    <row r="6" spans="2:6" ht="15.75" x14ac:dyDescent="0.25">
      <c r="B6" s="71" t="s">
        <v>88</v>
      </c>
      <c r="C6" s="68"/>
      <c r="D6" s="68"/>
      <c r="E6" s="69"/>
      <c r="F6" s="72"/>
    </row>
    <row r="7" spans="2:6" ht="16.5" thickBot="1" x14ac:dyDescent="0.3">
      <c r="B7" s="73" t="s">
        <v>53</v>
      </c>
      <c r="C7" s="68"/>
      <c r="D7" s="68"/>
      <c r="E7" s="69"/>
      <c r="F7" s="74"/>
    </row>
    <row r="8" spans="2:6" ht="17.25" thickTop="1" thickBot="1" x14ac:dyDescent="0.3">
      <c r="B8" s="64" t="s">
        <v>87</v>
      </c>
      <c r="C8" s="65"/>
      <c r="D8" s="65" t="s">
        <v>98</v>
      </c>
      <c r="E8" s="75"/>
      <c r="F8" s="66" t="s">
        <v>98</v>
      </c>
    </row>
    <row r="9" spans="2:6" ht="15.75" thickTop="1" x14ac:dyDescent="0.25">
      <c r="B9" s="76" t="s">
        <v>151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showGridLines="0" zoomScale="120" zoomScaleNormal="120" workbookViewId="0">
      <selection activeCell="N9" sqref="N9"/>
    </sheetView>
  </sheetViews>
  <sheetFormatPr defaultRowHeight="15" x14ac:dyDescent="0.25"/>
  <cols>
    <col min="1" max="1" width="24.28515625" style="47" bestFit="1" customWidth="1"/>
    <col min="2" max="3" width="9.140625" style="47"/>
    <col min="4" max="4" width="7.7109375" style="47" customWidth="1"/>
    <col min="5" max="5" width="4.140625" style="47" customWidth="1"/>
    <col min="6" max="6" width="2.5703125" style="47" customWidth="1"/>
    <col min="7" max="7" width="4.7109375" style="47" bestFit="1" customWidth="1"/>
    <col min="8" max="16384" width="9.140625" style="47"/>
  </cols>
  <sheetData>
    <row r="1" spans="1:14" x14ac:dyDescent="0.25">
      <c r="A1" s="77" t="s">
        <v>91</v>
      </c>
      <c r="B1" s="78"/>
      <c r="C1" s="78"/>
    </row>
    <row r="2" spans="1:14" ht="28.5" customHeight="1" x14ac:dyDescent="0.25">
      <c r="A2" s="77" t="s">
        <v>92</v>
      </c>
      <c r="B2" s="78"/>
      <c r="C2" s="78"/>
      <c r="E2" s="51" t="s">
        <v>155</v>
      </c>
      <c r="F2" s="79"/>
      <c r="G2" s="79"/>
      <c r="H2" s="79"/>
      <c r="I2" s="79"/>
      <c r="J2" s="79"/>
      <c r="K2" s="79"/>
    </row>
    <row r="3" spans="1:14" ht="30.75" customHeight="1" x14ac:dyDescent="0.25">
      <c r="A3" s="80" t="s">
        <v>94</v>
      </c>
      <c r="B3" s="78"/>
      <c r="C3" s="81"/>
      <c r="E3" s="82" t="s">
        <v>156</v>
      </c>
      <c r="F3" s="83"/>
      <c r="G3" s="83"/>
      <c r="H3" s="84" t="s">
        <v>82</v>
      </c>
      <c r="I3" s="84" t="s">
        <v>83</v>
      </c>
      <c r="J3" s="84" t="s">
        <v>84</v>
      </c>
      <c r="K3" s="85" t="s">
        <v>85</v>
      </c>
      <c r="M3" s="86"/>
      <c r="N3" s="87"/>
    </row>
    <row r="4" spans="1:14" ht="15.75" x14ac:dyDescent="0.25">
      <c r="A4" s="88" t="s">
        <v>93</v>
      </c>
      <c r="B4" s="89"/>
      <c r="C4" s="81"/>
      <c r="E4" s="90"/>
      <c r="F4" s="90" t="s">
        <v>98</v>
      </c>
      <c r="G4" s="91"/>
      <c r="H4" s="92"/>
      <c r="I4" s="92"/>
      <c r="J4" s="93"/>
      <c r="K4" s="94"/>
    </row>
    <row r="5" spans="1:14" ht="15.75" x14ac:dyDescent="0.25">
      <c r="A5" s="95"/>
      <c r="B5" s="96"/>
      <c r="C5" s="95"/>
      <c r="E5" s="90"/>
      <c r="F5" s="90" t="s">
        <v>98</v>
      </c>
      <c r="G5" s="91"/>
      <c r="H5" s="92"/>
      <c r="I5" s="92"/>
      <c r="J5" s="93"/>
      <c r="K5" s="94"/>
    </row>
    <row r="6" spans="1:14" ht="15.75" x14ac:dyDescent="0.25">
      <c r="A6" s="97" t="s">
        <v>95</v>
      </c>
      <c r="B6" s="97" t="s">
        <v>96</v>
      </c>
      <c r="C6" s="97" t="s">
        <v>97</v>
      </c>
      <c r="E6" s="90"/>
      <c r="F6" s="90" t="s">
        <v>98</v>
      </c>
      <c r="G6" s="91"/>
      <c r="H6" s="92"/>
      <c r="I6" s="92"/>
      <c r="J6" s="93"/>
      <c r="K6" s="94"/>
    </row>
    <row r="7" spans="1:14" ht="15.75" x14ac:dyDescent="0.25">
      <c r="A7" s="78"/>
      <c r="B7" s="78"/>
      <c r="C7" s="78"/>
      <c r="E7" s="90"/>
      <c r="F7" s="90" t="s">
        <v>98</v>
      </c>
      <c r="G7" s="91"/>
      <c r="H7" s="92"/>
      <c r="I7" s="92"/>
      <c r="J7" s="93"/>
      <c r="K7" s="94"/>
    </row>
    <row r="8" spans="1:14" ht="15.75" x14ac:dyDescent="0.25">
      <c r="A8" s="78"/>
      <c r="B8" s="78"/>
      <c r="C8" s="78"/>
      <c r="E8" s="90"/>
      <c r="F8" s="90" t="s">
        <v>98</v>
      </c>
      <c r="G8" s="91"/>
      <c r="H8" s="92"/>
      <c r="I8" s="92"/>
      <c r="J8" s="93"/>
      <c r="K8" s="94"/>
    </row>
    <row r="9" spans="1:14" ht="15.75" x14ac:dyDescent="0.25">
      <c r="A9" s="78"/>
      <c r="B9" s="78"/>
      <c r="C9" s="78"/>
      <c r="E9" s="83" t="s">
        <v>87</v>
      </c>
      <c r="F9" s="83"/>
      <c r="G9" s="83"/>
      <c r="H9" s="84"/>
      <c r="I9" s="84" t="s">
        <v>98</v>
      </c>
      <c r="J9" s="98"/>
      <c r="K9" s="99" t="s">
        <v>98</v>
      </c>
    </row>
    <row r="10" spans="1:14" x14ac:dyDescent="0.25">
      <c r="A10" s="78"/>
      <c r="B10" s="78"/>
      <c r="C10" s="78"/>
    </row>
    <row r="11" spans="1:14" x14ac:dyDescent="0.25">
      <c r="A11" s="78"/>
      <c r="B11" s="78"/>
      <c r="C11" s="78"/>
    </row>
  </sheetData>
  <mergeCells count="3">
    <mergeCell ref="E2:K2"/>
    <mergeCell ref="E3:G3"/>
    <mergeCell ref="E9:G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"/>
  <sheetViews>
    <sheetView showGridLines="0" zoomScaleNormal="100" workbookViewId="0">
      <selection sqref="A1:XFD1048576"/>
    </sheetView>
  </sheetViews>
  <sheetFormatPr defaultRowHeight="15" x14ac:dyDescent="0.25"/>
  <cols>
    <col min="1" max="1" width="24.28515625" style="21" bestFit="1" customWidth="1"/>
    <col min="2" max="3" width="9.140625" style="21"/>
    <col min="4" max="4" width="9.5703125" style="21" customWidth="1"/>
    <col min="5" max="5" width="6" style="21" customWidth="1"/>
    <col min="6" max="6" width="2" style="21" customWidth="1"/>
    <col min="7" max="7" width="6" style="21" customWidth="1"/>
    <col min="8" max="11" width="9.140625" style="21"/>
    <col min="12" max="13" width="10.140625" style="21" bestFit="1" customWidth="1"/>
    <col min="14" max="14" width="12.5703125" style="21" customWidth="1"/>
    <col min="15" max="16384" width="9.140625" style="21"/>
  </cols>
  <sheetData>
    <row r="1" spans="1:15" x14ac:dyDescent="0.25">
      <c r="A1" s="18" t="s">
        <v>91</v>
      </c>
      <c r="B1" s="19">
        <f>MIN(Dados!D:D)</f>
        <v>1.5</v>
      </c>
      <c r="C1" s="20"/>
    </row>
    <row r="2" spans="1:15" ht="27.75" customHeight="1" x14ac:dyDescent="0.25">
      <c r="A2" s="18" t="s">
        <v>92</v>
      </c>
      <c r="B2" s="19">
        <f>MAX(Dados!D:D)</f>
        <v>1.94</v>
      </c>
      <c r="C2" s="20"/>
      <c r="E2" s="22" t="s">
        <v>157</v>
      </c>
      <c r="F2" s="23"/>
      <c r="G2" s="23"/>
      <c r="H2" s="23"/>
      <c r="I2" s="23"/>
      <c r="J2" s="23"/>
      <c r="K2" s="23"/>
    </row>
    <row r="3" spans="1:15" ht="30" x14ac:dyDescent="0.25">
      <c r="A3" s="18" t="s">
        <v>94</v>
      </c>
      <c r="B3" s="19">
        <f>B2-B1</f>
        <v>0.43999999999999995</v>
      </c>
      <c r="C3" s="20"/>
      <c r="E3" s="24" t="s">
        <v>100</v>
      </c>
      <c r="F3" s="25"/>
      <c r="G3" s="26"/>
      <c r="H3" s="27" t="s">
        <v>82</v>
      </c>
      <c r="I3" s="27" t="s">
        <v>83</v>
      </c>
      <c r="J3" s="27" t="s">
        <v>84</v>
      </c>
      <c r="K3" s="28" t="s">
        <v>85</v>
      </c>
      <c r="M3" s="29" t="s">
        <v>216</v>
      </c>
      <c r="N3" s="30" t="s">
        <v>101</v>
      </c>
      <c r="O3" s="31" t="s">
        <v>82</v>
      </c>
    </row>
    <row r="4" spans="1:15" ht="15.75" x14ac:dyDescent="0.25">
      <c r="A4" s="18" t="s">
        <v>93</v>
      </c>
      <c r="B4" s="19">
        <f>COUNT(Dados!D:D)</f>
        <v>85</v>
      </c>
      <c r="C4" s="20"/>
      <c r="E4" s="32">
        <f>B1</f>
        <v>1.5</v>
      </c>
      <c r="F4" s="33" t="s">
        <v>98</v>
      </c>
      <c r="G4" s="34">
        <f>E4+0.08</f>
        <v>1.58</v>
      </c>
      <c r="H4" s="35">
        <f>COUNTIF(Tabela2[Altura],"&lt;1,59")</f>
        <v>19</v>
      </c>
      <c r="I4" s="35">
        <f>H4</f>
        <v>19</v>
      </c>
      <c r="J4" s="36">
        <f>H4/$H$9</f>
        <v>0.22352941176470589</v>
      </c>
      <c r="K4" s="37">
        <f>J4</f>
        <v>0.22352941176470589</v>
      </c>
      <c r="M4" s="38" t="str">
        <f>E4&amp;F4&amp;G4</f>
        <v>1,5-1,58</v>
      </c>
      <c r="N4" s="39">
        <f>AVERAGE(E4,G4)</f>
        <v>1.54</v>
      </c>
      <c r="O4" s="31">
        <f>H4</f>
        <v>19</v>
      </c>
    </row>
    <row r="5" spans="1:15" ht="15.75" x14ac:dyDescent="0.25">
      <c r="A5" s="20"/>
      <c r="B5" s="20"/>
      <c r="C5" s="20"/>
      <c r="E5" s="32">
        <f>E4+0.09</f>
        <v>1.59</v>
      </c>
      <c r="F5" s="33" t="s">
        <v>98</v>
      </c>
      <c r="G5" s="34">
        <f>E5+0.08</f>
        <v>1.6700000000000002</v>
      </c>
      <c r="H5" s="35">
        <f>COUNTIFS(Tabela2[Altura],"&gt;1,58",Tabela2[Altura],"&lt;1,68")</f>
        <v>23</v>
      </c>
      <c r="I5" s="35">
        <f>I4+H5</f>
        <v>42</v>
      </c>
      <c r="J5" s="36">
        <f>H5/$H$9</f>
        <v>0.27058823529411763</v>
      </c>
      <c r="K5" s="37">
        <f>K4+J5</f>
        <v>0.49411764705882355</v>
      </c>
      <c r="M5" s="38" t="str">
        <f t="shared" ref="M5:M7" si="0">E5&amp;F5&amp;G5</f>
        <v>1,59-1,67</v>
      </c>
      <c r="N5" s="39">
        <f t="shared" ref="N5:N7" si="1">AVERAGE(E5,G5)</f>
        <v>1.6300000000000001</v>
      </c>
      <c r="O5" s="31">
        <f t="shared" ref="O5:O7" si="2">H5</f>
        <v>23</v>
      </c>
    </row>
    <row r="6" spans="1:15" ht="15.75" x14ac:dyDescent="0.25">
      <c r="A6" s="40" t="s">
        <v>95</v>
      </c>
      <c r="B6" s="40" t="s">
        <v>96</v>
      </c>
      <c r="C6" s="40" t="s">
        <v>97</v>
      </c>
      <c r="E6" s="32">
        <f>E5+0.09</f>
        <v>1.6800000000000002</v>
      </c>
      <c r="F6" s="41" t="s">
        <v>98</v>
      </c>
      <c r="G6" s="34">
        <f>E6+0.08</f>
        <v>1.7600000000000002</v>
      </c>
      <c r="H6" s="35">
        <f>COUNTIFS(Tabela2[Altura],"&gt;1,67",Tabela2[Altura],"&lt;1,77")</f>
        <v>27</v>
      </c>
      <c r="I6" s="35">
        <f>I5+H6</f>
        <v>69</v>
      </c>
      <c r="J6" s="36">
        <f>H6/$H$9</f>
        <v>0.31764705882352939</v>
      </c>
      <c r="K6" s="37">
        <f>K5+J6</f>
        <v>0.81176470588235294</v>
      </c>
      <c r="M6" s="38" t="str">
        <f t="shared" si="0"/>
        <v>1,68-1,76</v>
      </c>
      <c r="N6" s="39">
        <f t="shared" si="1"/>
        <v>1.7200000000000002</v>
      </c>
      <c r="O6" s="31">
        <f t="shared" si="2"/>
        <v>27</v>
      </c>
    </row>
    <row r="7" spans="1:15" ht="15.75" x14ac:dyDescent="0.25">
      <c r="A7" s="19">
        <v>4</v>
      </c>
      <c r="B7" s="19">
        <f>ROUNDUP(($B$3+0.01)/A7,2)</f>
        <v>0.12</v>
      </c>
      <c r="C7" s="19">
        <f>(A7*B7)-($B$3+0.01)</f>
        <v>3.0000000000000027E-2</v>
      </c>
      <c r="E7" s="32">
        <f>E6+0.09</f>
        <v>1.7700000000000002</v>
      </c>
      <c r="F7" s="33" t="s">
        <v>98</v>
      </c>
      <c r="G7" s="34">
        <f>E7+0.08</f>
        <v>1.8500000000000003</v>
      </c>
      <c r="H7" s="35">
        <f>COUNTIFS(Tabela2[Altura],"&gt;1,76",Tabela2[Altura],"&lt;1,86")</f>
        <v>11</v>
      </c>
      <c r="I7" s="35">
        <f>I6+H7</f>
        <v>80</v>
      </c>
      <c r="J7" s="36">
        <f>H7/$H$9</f>
        <v>0.12941176470588237</v>
      </c>
      <c r="K7" s="37">
        <f>K6+J7</f>
        <v>0.94117647058823528</v>
      </c>
      <c r="M7" s="38" t="str">
        <f t="shared" si="0"/>
        <v>1,77-1,85</v>
      </c>
      <c r="N7" s="39">
        <f t="shared" si="1"/>
        <v>1.8100000000000003</v>
      </c>
      <c r="O7" s="31">
        <f t="shared" si="2"/>
        <v>11</v>
      </c>
    </row>
    <row r="8" spans="1:15" ht="15.75" x14ac:dyDescent="0.25">
      <c r="A8" s="42">
        <v>5</v>
      </c>
      <c r="B8" s="42">
        <f>ROUNDUP(($B$3+0.01)/A8,2)</f>
        <v>0.09</v>
      </c>
      <c r="C8" s="42">
        <f>(A8*B8)-($B$3+0.01)</f>
        <v>0</v>
      </c>
      <c r="E8" s="32">
        <f>E7+0.09</f>
        <v>1.8600000000000003</v>
      </c>
      <c r="F8" s="33" t="s">
        <v>98</v>
      </c>
      <c r="G8" s="34">
        <f>E8+0.08</f>
        <v>1.9400000000000004</v>
      </c>
      <c r="H8" s="35">
        <f>COUNTIFS(Tabela2[Altura],"&gt;1,85",Tabela2[Altura],"&lt;1,95")</f>
        <v>5</v>
      </c>
      <c r="I8" s="35">
        <f>I7+H8</f>
        <v>85</v>
      </c>
      <c r="J8" s="36">
        <f>H8/$H$9</f>
        <v>5.8823529411764705E-2</v>
      </c>
      <c r="K8" s="37">
        <f>K7+J8</f>
        <v>1</v>
      </c>
      <c r="M8" s="38" t="str">
        <f>E8&amp;F8&amp;G8</f>
        <v>1,86-1,94</v>
      </c>
      <c r="N8" s="39">
        <f>AVERAGE(E8,G8)</f>
        <v>1.9000000000000004</v>
      </c>
      <c r="O8" s="31">
        <f>H8</f>
        <v>5</v>
      </c>
    </row>
    <row r="9" spans="1:15" ht="15.75" x14ac:dyDescent="0.25">
      <c r="A9" s="19">
        <v>6</v>
      </c>
      <c r="B9" s="19">
        <f>ROUNDUP(($B$3+0.01)/A9,2)</f>
        <v>0.08</v>
      </c>
      <c r="C9" s="19">
        <f>(A9*B9)-($B$3+0.01)</f>
        <v>3.0000000000000027E-2</v>
      </c>
      <c r="E9" s="24" t="s">
        <v>87</v>
      </c>
      <c r="F9" s="43"/>
      <c r="G9" s="26"/>
      <c r="H9" s="27">
        <f>SUM(H4:H8)</f>
        <v>85</v>
      </c>
      <c r="I9" s="27" t="s">
        <v>98</v>
      </c>
      <c r="J9" s="44">
        <f>SUM(J4:J8)</f>
        <v>1</v>
      </c>
      <c r="K9" s="28" t="s">
        <v>98</v>
      </c>
      <c r="M9" s="45"/>
    </row>
    <row r="10" spans="1:15" x14ac:dyDescent="0.25">
      <c r="A10" s="19">
        <v>7</v>
      </c>
      <c r="B10" s="19">
        <f>ROUNDUP(($B$3+0.01)/A10,2)</f>
        <v>6.9999999999999993E-2</v>
      </c>
      <c r="C10" s="19">
        <f>(A10*B10)-($B$3+0.01)</f>
        <v>3.999999999999998E-2</v>
      </c>
    </row>
    <row r="11" spans="1:15" x14ac:dyDescent="0.25">
      <c r="A11" s="19">
        <v>8</v>
      </c>
      <c r="B11" s="19">
        <f>ROUNDUP(($B$3+0.01)/A11,2)</f>
        <v>6.0000000000000005E-2</v>
      </c>
      <c r="C11" s="19">
        <f>(A11*B11)-($B$3+0.01)</f>
        <v>3.0000000000000082E-2</v>
      </c>
    </row>
  </sheetData>
  <mergeCells count="3">
    <mergeCell ref="E3:G3"/>
    <mergeCell ref="E9:G9"/>
    <mergeCell ref="E2:K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J4:J5 J6:J8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"/>
  <sheetViews>
    <sheetView showGridLines="0" zoomScale="130" zoomScaleNormal="130" workbookViewId="0">
      <selection activeCell="M9" sqref="M8:M9"/>
    </sheetView>
  </sheetViews>
  <sheetFormatPr defaultRowHeight="15" x14ac:dyDescent="0.25"/>
  <cols>
    <col min="1" max="1" width="24.28515625" style="47" bestFit="1" customWidth="1"/>
    <col min="2" max="3" width="9.140625" style="47"/>
    <col min="4" max="4" width="7.7109375" style="47" customWidth="1"/>
    <col min="5" max="5" width="4.140625" style="47" customWidth="1"/>
    <col min="6" max="6" width="2.5703125" style="47" customWidth="1"/>
    <col min="7" max="7" width="4" style="47" customWidth="1"/>
    <col min="8" max="16384" width="9.140625" style="47"/>
  </cols>
  <sheetData>
    <row r="1" spans="1:14" x14ac:dyDescent="0.25">
      <c r="A1" s="77" t="s">
        <v>91</v>
      </c>
      <c r="B1" s="78"/>
      <c r="C1" s="100"/>
    </row>
    <row r="2" spans="1:14" ht="28.5" customHeight="1" x14ac:dyDescent="0.25">
      <c r="A2" s="77" t="s">
        <v>92</v>
      </c>
      <c r="B2" s="78"/>
      <c r="C2" s="78"/>
      <c r="E2" s="51" t="s">
        <v>154</v>
      </c>
      <c r="F2" s="79"/>
      <c r="G2" s="79"/>
      <c r="H2" s="79"/>
      <c r="I2" s="79"/>
      <c r="J2" s="79"/>
      <c r="K2" s="79"/>
      <c r="M2" s="101"/>
      <c r="N2" s="101"/>
    </row>
    <row r="3" spans="1:14" ht="30.75" customHeight="1" x14ac:dyDescent="0.25">
      <c r="A3" s="77" t="s">
        <v>94</v>
      </c>
      <c r="B3" s="78"/>
      <c r="C3" s="95"/>
      <c r="E3" s="102" t="s">
        <v>99</v>
      </c>
      <c r="F3" s="103"/>
      <c r="G3" s="103"/>
      <c r="H3" s="104" t="s">
        <v>82</v>
      </c>
      <c r="I3" s="104" t="s">
        <v>83</v>
      </c>
      <c r="J3" s="104" t="s">
        <v>84</v>
      </c>
      <c r="K3" s="105" t="s">
        <v>85</v>
      </c>
    </row>
    <row r="4" spans="1:14" ht="15.75" x14ac:dyDescent="0.25">
      <c r="A4" s="88" t="s">
        <v>93</v>
      </c>
      <c r="B4" s="78"/>
      <c r="C4" s="95"/>
      <c r="E4" s="106"/>
      <c r="F4" s="106" t="s">
        <v>98</v>
      </c>
      <c r="G4" s="107"/>
      <c r="H4" s="108"/>
      <c r="I4" s="108"/>
      <c r="J4" s="109"/>
      <c r="K4" s="110"/>
    </row>
    <row r="5" spans="1:14" ht="15.75" x14ac:dyDescent="0.25">
      <c r="A5" s="95"/>
      <c r="B5" s="96"/>
      <c r="C5" s="95"/>
      <c r="E5" s="106"/>
      <c r="F5" s="106" t="s">
        <v>98</v>
      </c>
      <c r="G5" s="107"/>
      <c r="H5" s="108"/>
      <c r="I5" s="108"/>
      <c r="J5" s="109"/>
      <c r="K5" s="110"/>
    </row>
    <row r="6" spans="1:14" ht="15.75" x14ac:dyDescent="0.25">
      <c r="A6" s="111" t="s">
        <v>95</v>
      </c>
      <c r="B6" s="111" t="s">
        <v>96</v>
      </c>
      <c r="C6" s="111" t="s">
        <v>97</v>
      </c>
      <c r="E6" s="106"/>
      <c r="F6" s="106" t="s">
        <v>98</v>
      </c>
      <c r="G6" s="107"/>
      <c r="H6" s="108"/>
      <c r="I6" s="108"/>
      <c r="J6" s="109"/>
      <c r="K6" s="110"/>
    </row>
    <row r="7" spans="1:14" ht="15.75" x14ac:dyDescent="0.25">
      <c r="A7" s="42"/>
      <c r="B7" s="42"/>
      <c r="C7" s="42"/>
      <c r="E7" s="106"/>
      <c r="F7" s="106" t="s">
        <v>98</v>
      </c>
      <c r="G7" s="107"/>
      <c r="H7" s="108"/>
      <c r="I7" s="108"/>
      <c r="J7" s="109"/>
      <c r="K7" s="110"/>
    </row>
    <row r="8" spans="1:14" ht="15.75" x14ac:dyDescent="0.25">
      <c r="A8" s="42"/>
      <c r="B8" s="42"/>
      <c r="C8" s="42"/>
      <c r="E8" s="106"/>
      <c r="F8" s="106" t="s">
        <v>98</v>
      </c>
      <c r="G8" s="107"/>
      <c r="H8" s="108"/>
      <c r="I8" s="108"/>
      <c r="J8" s="109"/>
      <c r="K8" s="110"/>
    </row>
    <row r="9" spans="1:14" ht="15.75" x14ac:dyDescent="0.25">
      <c r="A9" s="42"/>
      <c r="B9" s="42"/>
      <c r="C9" s="42"/>
      <c r="E9" s="106"/>
      <c r="F9" s="106" t="s">
        <v>98</v>
      </c>
      <c r="G9" s="107"/>
      <c r="H9" s="108"/>
      <c r="I9" s="108"/>
      <c r="J9" s="109"/>
      <c r="K9" s="110"/>
    </row>
    <row r="10" spans="1:14" ht="15.75" x14ac:dyDescent="0.25">
      <c r="A10" s="42"/>
      <c r="B10" s="42"/>
      <c r="C10" s="42"/>
      <c r="E10" s="103" t="s">
        <v>87</v>
      </c>
      <c r="F10" s="103"/>
      <c r="G10" s="103"/>
      <c r="H10" s="104"/>
      <c r="I10" s="104" t="s">
        <v>98</v>
      </c>
      <c r="J10" s="112"/>
      <c r="K10" s="113" t="s">
        <v>98</v>
      </c>
    </row>
    <row r="11" spans="1:14" x14ac:dyDescent="0.25">
      <c r="A11" s="42"/>
      <c r="B11" s="42"/>
      <c r="C11" s="42"/>
    </row>
  </sheetData>
  <mergeCells count="3">
    <mergeCell ref="E2:K2"/>
    <mergeCell ref="E3:G3"/>
    <mergeCell ref="E10:G1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I20"/>
  <sheetViews>
    <sheetView zoomScale="150" zoomScaleNormal="150" workbookViewId="0">
      <selection activeCell="E8" sqref="E8"/>
    </sheetView>
  </sheetViews>
  <sheetFormatPr defaultRowHeight="15" x14ac:dyDescent="0.25"/>
  <cols>
    <col min="1" max="1" width="15.28515625" customWidth="1"/>
    <col min="2" max="2" width="11" customWidth="1"/>
    <col min="3" max="3" width="3.7109375" customWidth="1"/>
    <col min="4" max="4" width="11.5703125" customWidth="1"/>
    <col min="6" max="6" width="4.140625" customWidth="1"/>
    <col min="7" max="7" width="10.28515625" customWidth="1"/>
  </cols>
  <sheetData>
    <row r="1" spans="1:9" x14ac:dyDescent="0.25">
      <c r="A1" t="s">
        <v>158</v>
      </c>
      <c r="B1" t="s">
        <v>2</v>
      </c>
    </row>
    <row r="2" spans="1:9" x14ac:dyDescent="0.25">
      <c r="A2" s="14" t="s">
        <v>102</v>
      </c>
      <c r="B2" s="14"/>
      <c r="D2" s="16" t="s">
        <v>111</v>
      </c>
      <c r="E2" s="17"/>
      <c r="G2" s="3" t="s">
        <v>126</v>
      </c>
      <c r="H2" s="8">
        <f>_xlfn.PERCENTILE.INC(Dados!C:C,0.01)</f>
        <v>44.519999999999996</v>
      </c>
      <c r="I2" t="s">
        <v>112</v>
      </c>
    </row>
    <row r="3" spans="1:9" x14ac:dyDescent="0.25">
      <c r="A3" s="11" t="s">
        <v>103</v>
      </c>
      <c r="B3" s="11"/>
      <c r="D3" s="3" t="s">
        <v>105</v>
      </c>
      <c r="E3" s="3">
        <f>MEDIAN(Dados!C:FC)</f>
        <v>38.006802721088434</v>
      </c>
      <c r="F3" t="s">
        <v>112</v>
      </c>
      <c r="G3" s="3" t="s">
        <v>127</v>
      </c>
      <c r="H3" s="3">
        <f>_xlfn.PERCENTILE.INC(Dados!C:C,0.05)</f>
        <v>46.2</v>
      </c>
      <c r="I3" t="s">
        <v>112</v>
      </c>
    </row>
    <row r="4" spans="1:9" x14ac:dyDescent="0.25">
      <c r="A4" s="1" t="s">
        <v>104</v>
      </c>
      <c r="B4" s="4">
        <f>ROUND(AVERAGE(Tabela2[Peso]),2)</f>
        <v>68.52</v>
      </c>
      <c r="C4" t="s">
        <v>112</v>
      </c>
      <c r="D4" s="3" t="s">
        <v>114</v>
      </c>
      <c r="E4" s="3">
        <f>_xlfn.QUARTILE.INC(Dados!C:C,1)</f>
        <v>56</v>
      </c>
      <c r="F4" t="s">
        <v>112</v>
      </c>
      <c r="G4" s="3" t="s">
        <v>128</v>
      </c>
      <c r="H4" s="3">
        <f>_xlfn.PERCENTILE.INC(Dados!C:C,0.2)</f>
        <v>54</v>
      </c>
      <c r="I4" t="s">
        <v>112</v>
      </c>
    </row>
    <row r="5" spans="1:9" x14ac:dyDescent="0.25">
      <c r="A5" s="1" t="s">
        <v>105</v>
      </c>
      <c r="B5" s="5">
        <f>MEDIAN(Dados!C:C)</f>
        <v>69</v>
      </c>
      <c r="C5" t="s">
        <v>112</v>
      </c>
      <c r="D5" s="3" t="s">
        <v>115</v>
      </c>
      <c r="E5" s="3">
        <f>_xlfn.QUARTILE.INC(Dados!F:F,2)</f>
        <v>74</v>
      </c>
      <c r="F5" t="s">
        <v>112</v>
      </c>
      <c r="G5" s="3" t="s">
        <v>129</v>
      </c>
      <c r="H5" s="3">
        <f>_xlfn.PERCENTILE.INC(Dados!C:C,0.37)</f>
        <v>62.08</v>
      </c>
      <c r="I5" t="s">
        <v>112</v>
      </c>
    </row>
    <row r="6" spans="1:9" x14ac:dyDescent="0.25">
      <c r="A6" s="1" t="s">
        <v>106</v>
      </c>
      <c r="B6" s="6">
        <f t="array" ref="B6:B9">_xlfn.MODE.MULT(Dados!C:C)</f>
        <v>75</v>
      </c>
      <c r="C6" t="s">
        <v>112</v>
      </c>
      <c r="D6" s="3" t="s">
        <v>116</v>
      </c>
      <c r="E6" s="3">
        <f>_xlfn.QUARTILE.INC(Dados!C:C,3)</f>
        <v>78</v>
      </c>
      <c r="F6" t="s">
        <v>112</v>
      </c>
      <c r="G6" s="3" t="s">
        <v>130</v>
      </c>
      <c r="H6" s="3">
        <f>_xlfn.PERCENTILE.INC(Dados!C:C,0.78)</f>
        <v>80</v>
      </c>
      <c r="I6" t="s">
        <v>112</v>
      </c>
    </row>
    <row r="7" spans="1:9" x14ac:dyDescent="0.25">
      <c r="A7" s="1"/>
      <c r="B7" s="6">
        <v>75</v>
      </c>
      <c r="C7" t="s">
        <v>112</v>
      </c>
      <c r="D7" s="3" t="s">
        <v>117</v>
      </c>
      <c r="E7" s="8">
        <f>_xlfn.PERCENTILE.INC(Dados!C:C,0.1)</f>
        <v>50</v>
      </c>
      <c r="F7" t="s">
        <v>112</v>
      </c>
      <c r="G7" s="3" t="s">
        <v>131</v>
      </c>
      <c r="H7" s="3">
        <f>_xlfn.PERCENTILE.INC(Dados!C:C,0.95)</f>
        <v>92</v>
      </c>
      <c r="I7" t="s">
        <v>112</v>
      </c>
    </row>
    <row r="8" spans="1:9" x14ac:dyDescent="0.25">
      <c r="A8" s="1"/>
      <c r="B8" s="6">
        <v>75</v>
      </c>
      <c r="C8" t="s">
        <v>112</v>
      </c>
      <c r="D8" s="3" t="s">
        <v>119</v>
      </c>
      <c r="E8" s="3">
        <f>_xlfn.PERCENTILE.INC(Dados!C:C,0.2)</f>
        <v>54</v>
      </c>
      <c r="F8" t="s">
        <v>112</v>
      </c>
      <c r="G8" s="10"/>
      <c r="H8" s="10"/>
      <c r="I8" s="10"/>
    </row>
    <row r="9" spans="1:9" x14ac:dyDescent="0.25">
      <c r="A9" s="1"/>
      <c r="B9" s="7">
        <v>75</v>
      </c>
      <c r="C9" t="s">
        <v>112</v>
      </c>
      <c r="D9" s="3" t="s">
        <v>120</v>
      </c>
      <c r="E9" s="3">
        <f>_xlfn.PERCENTILE.INC(Dados!C:C,0.3)</f>
        <v>58.4</v>
      </c>
      <c r="F9" t="s">
        <v>112</v>
      </c>
      <c r="G9" s="10"/>
      <c r="H9" s="10"/>
      <c r="I9" s="10"/>
    </row>
    <row r="10" spans="1:9" x14ac:dyDescent="0.25">
      <c r="A10" s="12" t="s">
        <v>107</v>
      </c>
      <c r="B10" s="13"/>
      <c r="D10" s="3" t="s">
        <v>121</v>
      </c>
      <c r="E10" s="3">
        <f>_xlfn.PERCENTILE.INC(Dados!C:C,0.4)</f>
        <v>65</v>
      </c>
      <c r="F10" t="s">
        <v>112</v>
      </c>
      <c r="G10" s="10"/>
      <c r="H10" s="10"/>
      <c r="I10" s="10"/>
    </row>
    <row r="11" spans="1:9" x14ac:dyDescent="0.25">
      <c r="A11" s="2" t="s">
        <v>108</v>
      </c>
      <c r="B11" s="2">
        <f>MAX(Dados!C:C)-MIN(Dados!C:C)</f>
        <v>54</v>
      </c>
      <c r="C11" t="s">
        <v>112</v>
      </c>
      <c r="D11" s="3" t="s">
        <v>122</v>
      </c>
      <c r="E11" s="3">
        <f>_xlfn.PERCENTILE.INC(Dados!C:C,0.5)</f>
        <v>69</v>
      </c>
      <c r="F11" t="s">
        <v>112</v>
      </c>
    </row>
    <row r="12" spans="1:9" x14ac:dyDescent="0.25">
      <c r="A12" s="2" t="s">
        <v>109</v>
      </c>
      <c r="B12" s="2">
        <f>_xlfn.VAR.S(Dados!C:C)</f>
        <v>203.08599439775918</v>
      </c>
      <c r="C12" t="s">
        <v>113</v>
      </c>
      <c r="D12" s="3" t="s">
        <v>123</v>
      </c>
      <c r="E12" s="3">
        <f>_xlfn.PERCENTILE.INC(Dados!C:C,0.6)</f>
        <v>73.199999999999989</v>
      </c>
      <c r="F12" t="s">
        <v>112</v>
      </c>
    </row>
    <row r="13" spans="1:9" x14ac:dyDescent="0.25">
      <c r="A13" s="2" t="s">
        <v>110</v>
      </c>
      <c r="B13" s="2">
        <f>_xlfn.STDEV.S(Dados!C:C)</f>
        <v>14.250824340990214</v>
      </c>
      <c r="C13" t="s">
        <v>112</v>
      </c>
      <c r="D13" s="3" t="s">
        <v>118</v>
      </c>
      <c r="E13" s="3">
        <f>_xlfn.PERCENTILE.INC(Dados!C:C,0.7)</f>
        <v>76.8</v>
      </c>
      <c r="F13" t="s">
        <v>112</v>
      </c>
    </row>
    <row r="14" spans="1:9" x14ac:dyDescent="0.25">
      <c r="A14" s="15"/>
      <c r="B14" s="15"/>
      <c r="C14" s="10"/>
      <c r="D14" s="9" t="s">
        <v>124</v>
      </c>
      <c r="E14" s="3">
        <f>_xlfn.PERCENTILE.INC(Dados!C:C,0.8)</f>
        <v>80.2</v>
      </c>
      <c r="F14" t="s">
        <v>112</v>
      </c>
    </row>
    <row r="15" spans="1:9" x14ac:dyDescent="0.25">
      <c r="A15" s="10"/>
      <c r="B15" s="10"/>
      <c r="C15" s="10"/>
      <c r="D15" s="9" t="s">
        <v>125</v>
      </c>
      <c r="E15" s="3">
        <f>_xlfn.PERCENTILE.INC(Dados!C:C,0.9)</f>
        <v>90</v>
      </c>
      <c r="F15" t="s">
        <v>112</v>
      </c>
    </row>
    <row r="16" spans="1:9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158</v>
      </c>
      <c r="B1" t="s">
        <v>4</v>
      </c>
    </row>
    <row r="2" spans="1:2" x14ac:dyDescent="0.25">
      <c r="A2" s="14" t="s">
        <v>102</v>
      </c>
      <c r="B2" s="14"/>
    </row>
    <row r="3" spans="1:2" x14ac:dyDescent="0.25">
      <c r="A3" s="11" t="s">
        <v>103</v>
      </c>
      <c r="B3" s="11"/>
    </row>
    <row r="4" spans="1:2" x14ac:dyDescent="0.25">
      <c r="A4" s="1" t="s">
        <v>104</v>
      </c>
      <c r="B4" s="4"/>
    </row>
    <row r="5" spans="1:2" x14ac:dyDescent="0.25">
      <c r="A5" s="1" t="s">
        <v>105</v>
      </c>
      <c r="B5" s="5"/>
    </row>
    <row r="6" spans="1:2" x14ac:dyDescent="0.25">
      <c r="A6" s="1" t="s">
        <v>106</v>
      </c>
      <c r="B6" s="6"/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7"/>
    </row>
    <row r="10" spans="1:2" x14ac:dyDescent="0.25">
      <c r="A10" s="12" t="s">
        <v>107</v>
      </c>
      <c r="B10" s="13"/>
    </row>
    <row r="11" spans="1:2" x14ac:dyDescent="0.25">
      <c r="A11" s="2" t="s">
        <v>108</v>
      </c>
      <c r="B11" s="2"/>
    </row>
    <row r="12" spans="1:2" x14ac:dyDescent="0.25">
      <c r="A12" s="2" t="s">
        <v>109</v>
      </c>
      <c r="B12" s="2"/>
    </row>
    <row r="13" spans="1:2" x14ac:dyDescent="0.25">
      <c r="A13" s="2" t="s">
        <v>110</v>
      </c>
      <c r="B13" s="2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4A779A104EA4C8B6798286B684F73" ma:contentTypeVersion="2" ma:contentTypeDescription="Crie um novo documento." ma:contentTypeScope="" ma:versionID="85790a143ad31ed61be694db2a82adb5">
  <xsd:schema xmlns:xsd="http://www.w3.org/2001/XMLSchema" xmlns:xs="http://www.w3.org/2001/XMLSchema" xmlns:p="http://schemas.microsoft.com/office/2006/metadata/properties" xmlns:ns2="e2a7a7e9-0f3c-43dc-b34a-58d55035db2d" targetNamespace="http://schemas.microsoft.com/office/2006/metadata/properties" ma:root="true" ma:fieldsID="67fcc518e101090578ba5a04b6b6a677" ns2:_="">
    <xsd:import namespace="e2a7a7e9-0f3c-43dc-b34a-58d55035d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7e9-0f3c-43dc-b34a-58d55035d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34251-A32F-411A-B65C-03AF2DAAC0D5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d5e7e67-6a42-4719-a78c-b2ab916164a2"/>
    <ds:schemaRef ds:uri="http://schemas.microsoft.com/office/2006/metadata/properties"/>
    <ds:schemaRef ds:uri="http://purl.org/dc/dcmitype/"/>
    <ds:schemaRef ds:uri="http://schemas.microsoft.com/office/infopath/2007/PartnerControls"/>
    <ds:schemaRef ds:uri="52668049-c48e-41c3-b455-55389fa5615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EBAB37-E62A-4345-901B-9C749F8A00A6}"/>
</file>

<file path=customXml/itemProps3.xml><?xml version="1.0" encoding="utf-8"?>
<ds:datastoreItem xmlns:ds="http://schemas.openxmlformats.org/officeDocument/2006/customXml" ds:itemID="{2042B815-06AE-4066-BD1C-431949E01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Início</vt:lpstr>
      <vt:lpstr>Dados</vt:lpstr>
      <vt:lpstr>Estados</vt:lpstr>
      <vt:lpstr>Sangue_Casa</vt:lpstr>
      <vt:lpstr>Fumo_Casa</vt:lpstr>
      <vt:lpstr>Peso_Casa</vt:lpstr>
      <vt:lpstr>Altura</vt:lpstr>
      <vt:lpstr>Idade_Casa</vt:lpstr>
      <vt:lpstr>Medidas 1</vt:lpstr>
      <vt:lpstr>Medidas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Rosimara</dc:creator>
  <cp:lastModifiedBy>Rosimara Beatriz Arci Salgado</cp:lastModifiedBy>
  <dcterms:created xsi:type="dcterms:W3CDTF">2019-02-19T20:36:33Z</dcterms:created>
  <dcterms:modified xsi:type="dcterms:W3CDTF">2022-03-12T01:35:29Z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0x010100E014A779A104EA4C8B6798286B684F73</vt:lpwstr>
  </property>
</Properties>
</file>