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LAPR3747-ISEP365Group/Shared Documents/General/Projeto_Integrador/FISIAP/"/>
    </mc:Choice>
  </mc:AlternateContent>
  <xr:revisionPtr revIDLastSave="1360" documentId="11_1DC16C4FAAC01C5F1C555353C1A325963273F06D" xr6:coauthVersionLast="47" xr6:coauthVersionMax="47" xr10:uidLastSave="{B7D17D67-0827-4A7A-B9C9-D563AEED0DE6}"/>
  <bookViews>
    <workbookView xWindow="1480" yWindow="1480" windowWidth="28800" windowHeight="15370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85" i="1" l="1"/>
  <c r="AZ93" i="1"/>
  <c r="AZ91" i="1"/>
  <c r="AZ89" i="1"/>
  <c r="AZ87" i="1"/>
  <c r="AZ79" i="1"/>
  <c r="AZ77" i="1"/>
  <c r="AZ75" i="1"/>
  <c r="AZ73" i="1"/>
  <c r="AZ71" i="1"/>
  <c r="M86" i="1"/>
  <c r="M79" i="1"/>
  <c r="T83" i="1"/>
  <c r="T75" i="1"/>
  <c r="M87" i="1"/>
  <c r="T84" i="1" s="1"/>
  <c r="M80" i="1"/>
  <c r="T76" i="1" s="1"/>
  <c r="M72" i="1"/>
  <c r="M73" i="1" s="1"/>
  <c r="N70" i="1"/>
  <c r="AC391" i="1"/>
  <c r="AC392" i="1" s="1"/>
  <c r="AC384" i="1"/>
  <c r="AC385" i="1" s="1"/>
  <c r="AC377" i="1"/>
  <c r="AC378" i="1" s="1"/>
  <c r="AC370" i="1"/>
  <c r="AC371" i="1" s="1"/>
  <c r="AC363" i="1"/>
  <c r="AC364" i="1" s="1"/>
  <c r="AC179" i="1"/>
  <c r="AC180" i="1" s="1"/>
  <c r="AC186" i="1"/>
  <c r="AC187" i="1" s="1"/>
  <c r="AC193" i="1"/>
  <c r="AC194" i="1" s="1"/>
  <c r="AC200" i="1"/>
  <c r="AC201" i="1" s="1"/>
  <c r="AC207" i="1"/>
  <c r="AC208" i="1" s="1"/>
  <c r="AZ173" i="1"/>
  <c r="AZ174" i="1" s="1"/>
  <c r="AZ139" i="1"/>
  <c r="AZ140" i="1" s="1"/>
  <c r="AZ105" i="1"/>
  <c r="AZ106" i="1" s="1"/>
  <c r="AQ232" i="1"/>
  <c r="AV232" i="1"/>
  <c r="AU234" i="1" s="1"/>
  <c r="AU235" i="1" s="1"/>
  <c r="M55" i="1"/>
  <c r="M54" i="1"/>
  <c r="M53" i="1"/>
  <c r="M52" i="1"/>
  <c r="M51" i="1"/>
  <c r="AV225" i="1"/>
  <c r="AR131" i="1"/>
  <c r="AR130" i="1"/>
  <c r="AR129" i="1"/>
  <c r="AR128" i="1"/>
  <c r="AR127" i="1"/>
  <c r="AR126" i="1"/>
  <c r="AR125" i="1"/>
  <c r="AR124" i="1"/>
  <c r="AR123" i="1"/>
  <c r="AR122" i="1"/>
  <c r="AR121" i="1"/>
  <c r="AR100" i="1"/>
  <c r="AR99" i="1"/>
  <c r="AR98" i="1"/>
  <c r="AR97" i="1"/>
  <c r="AR96" i="1"/>
  <c r="AR95" i="1"/>
  <c r="AR94" i="1"/>
  <c r="AR93" i="1"/>
  <c r="AR92" i="1"/>
  <c r="AR91" i="1"/>
  <c r="AR90" i="1"/>
  <c r="AR144" i="1"/>
  <c r="AR143" i="1"/>
  <c r="AR138" i="1"/>
  <c r="AR137" i="1"/>
  <c r="AR136" i="1"/>
  <c r="AR134" i="1"/>
  <c r="AR114" i="1"/>
  <c r="AR113" i="1"/>
  <c r="AR108" i="1"/>
  <c r="AR107" i="1"/>
  <c r="AR106" i="1"/>
  <c r="AR104" i="1"/>
  <c r="AR85" i="1"/>
  <c r="AR84" i="1"/>
  <c r="AR83" i="1"/>
  <c r="AR82" i="1"/>
  <c r="AR81" i="1"/>
  <c r="AR80" i="1"/>
  <c r="AR79" i="1"/>
  <c r="AR78" i="1"/>
  <c r="AR77" i="1"/>
  <c r="AR76" i="1"/>
  <c r="AR75" i="1"/>
  <c r="AF120" i="1"/>
  <c r="AF119" i="1"/>
  <c r="AF116" i="1"/>
  <c r="AF115" i="1"/>
  <c r="AF114" i="1"/>
  <c r="AF113" i="1"/>
  <c r="AF112" i="1"/>
  <c r="AF111" i="1"/>
  <c r="AF110" i="1"/>
  <c r="AF109" i="1"/>
  <c r="AF108" i="1"/>
  <c r="AF102" i="1"/>
  <c r="AF101" i="1"/>
  <c r="AF98" i="1"/>
  <c r="AF97" i="1"/>
  <c r="AF96" i="1"/>
  <c r="AF95" i="1"/>
  <c r="AF94" i="1"/>
  <c r="AF93" i="1"/>
  <c r="AF92" i="1"/>
  <c r="AF91" i="1"/>
  <c r="AF90" i="1"/>
  <c r="AL112" i="1"/>
  <c r="AL111" i="1"/>
  <c r="AL110" i="1"/>
  <c r="AL109" i="1"/>
  <c r="AL108" i="1"/>
  <c r="AL107" i="1"/>
  <c r="AL106" i="1"/>
  <c r="AL105" i="1"/>
  <c r="AL104" i="1"/>
  <c r="AL98" i="1"/>
  <c r="AL97" i="1"/>
  <c r="AL96" i="1"/>
  <c r="AL95" i="1"/>
  <c r="AL94" i="1"/>
  <c r="AL92" i="1"/>
  <c r="AL93" i="1"/>
  <c r="AL80" i="1"/>
  <c r="AF80" i="1"/>
  <c r="AL83" i="1"/>
  <c r="AF83" i="1"/>
  <c r="AL82" i="1"/>
  <c r="AF82" i="1"/>
  <c r="AL81" i="1"/>
  <c r="AF81" i="1"/>
  <c r="AF84" i="1"/>
  <c r="AL116" i="1"/>
  <c r="AL115" i="1"/>
  <c r="AL91" i="1"/>
  <c r="AL90" i="1"/>
  <c r="AL85" i="1"/>
  <c r="AF85" i="1"/>
  <c r="AL84" i="1"/>
  <c r="AL79" i="1"/>
  <c r="AF79" i="1"/>
  <c r="AL78" i="1"/>
  <c r="AF78" i="1"/>
  <c r="AL77" i="1"/>
  <c r="AF77" i="1"/>
  <c r="AL76" i="1"/>
  <c r="AF76" i="1"/>
  <c r="AL75" i="1"/>
  <c r="AF75" i="1"/>
  <c r="Y386" i="1"/>
  <c r="Y219" i="1"/>
  <c r="S66" i="1"/>
  <c r="S73" i="1"/>
  <c r="AF60" i="1"/>
  <c r="AF61" i="1"/>
  <c r="AF53" i="1"/>
  <c r="AF54" i="1"/>
  <c r="AF55" i="1"/>
  <c r="M46" i="1"/>
  <c r="M45" i="1"/>
  <c r="M44" i="1"/>
  <c r="M43" i="1"/>
  <c r="M42" i="1"/>
  <c r="T8" i="1"/>
  <c r="T6" i="1"/>
  <c r="AF46" i="1"/>
  <c r="AF44" i="1"/>
  <c r="AF42" i="1"/>
  <c r="AF43" i="1"/>
  <c r="AF45" i="1"/>
  <c r="AF47" i="1"/>
  <c r="AF48" i="1"/>
  <c r="AF51" i="1"/>
  <c r="AF21" i="1"/>
  <c r="AF19" i="1"/>
  <c r="AF10" i="1"/>
  <c r="AF8" i="1"/>
  <c r="Z8" i="1"/>
  <c r="Z10" i="1"/>
  <c r="T10" i="1"/>
  <c r="AF36" i="1"/>
  <c r="AF35" i="1"/>
  <c r="AF30" i="1"/>
  <c r="AF29" i="1"/>
  <c r="AF28" i="1"/>
  <c r="AF26" i="1"/>
  <c r="AF23" i="1"/>
  <c r="AF22" i="1"/>
  <c r="AF20" i="1"/>
  <c r="AF18" i="1"/>
  <c r="AF17" i="1"/>
  <c r="AF12" i="1"/>
  <c r="AF11" i="1"/>
  <c r="AF9" i="1"/>
  <c r="AF7" i="1"/>
  <c r="AF6" i="1"/>
  <c r="Z39" i="1"/>
  <c r="Z38" i="1"/>
  <c r="Z35" i="1"/>
  <c r="Z34" i="1"/>
  <c r="Z33" i="1"/>
  <c r="Z32" i="1"/>
  <c r="Z31" i="1"/>
  <c r="Z21" i="1"/>
  <c r="Z20" i="1"/>
  <c r="Z19" i="1"/>
  <c r="Z18" i="1"/>
  <c r="Z17" i="1"/>
  <c r="Z12" i="1"/>
  <c r="Z11" i="1"/>
  <c r="Z9" i="1"/>
  <c r="Z7" i="1"/>
  <c r="Z6" i="1"/>
  <c r="T39" i="1"/>
  <c r="T38" i="1"/>
  <c r="T35" i="1"/>
  <c r="T34" i="1"/>
  <c r="T33" i="1"/>
  <c r="T32" i="1"/>
  <c r="T31" i="1"/>
  <c r="T25" i="1"/>
  <c r="T24" i="1"/>
  <c r="T21" i="1"/>
  <c r="T20" i="1"/>
  <c r="T19" i="1"/>
  <c r="T18" i="1"/>
  <c r="T17" i="1"/>
  <c r="T12" i="1"/>
  <c r="T11" i="1"/>
  <c r="T9" i="1"/>
  <c r="T7" i="1"/>
  <c r="AP234" i="1" l="1"/>
  <c r="AP235" i="1" s="1"/>
  <c r="M56" i="1"/>
  <c r="AF31" i="1"/>
  <c r="AR109" i="1"/>
  <c r="AR101" i="1"/>
  <c r="AF86" i="1"/>
  <c r="AW106" i="1" s="1"/>
  <c r="AU110" i="1" s="1"/>
  <c r="AU111" i="1" s="1"/>
  <c r="AR86" i="1"/>
  <c r="AW197" i="1" s="1"/>
  <c r="AU201" i="1" s="1"/>
  <c r="AL86" i="1"/>
  <c r="AW142" i="1" s="1"/>
  <c r="AU146" i="1" s="1"/>
  <c r="AU147" i="1" s="1"/>
  <c r="AL99" i="1"/>
  <c r="AW164" i="1" s="1"/>
  <c r="AU168" i="1" s="1"/>
  <c r="AL113" i="1"/>
  <c r="AL118" i="1" s="1"/>
  <c r="AF117" i="1"/>
  <c r="AF122" i="1" s="1"/>
  <c r="AW114" i="1" s="1"/>
  <c r="AU118" i="1" s="1"/>
  <c r="AU119" i="1" s="1"/>
  <c r="AF99" i="1"/>
  <c r="AF104" i="1" s="1"/>
  <c r="AW150" i="1" s="1"/>
  <c r="AU154" i="1" s="1"/>
  <c r="AU155" i="1" s="1"/>
  <c r="AR139" i="1"/>
  <c r="AR132" i="1"/>
  <c r="Y377" i="1"/>
  <c r="X381" i="1" s="1"/>
  <c r="X382" i="1" s="1"/>
  <c r="Z358" i="1"/>
  <c r="X362" i="1" s="1"/>
  <c r="X363" i="1" s="1"/>
  <c r="Y210" i="1"/>
  <c r="X214" i="1" s="1"/>
  <c r="X215" i="1" s="1"/>
  <c r="Z191" i="1"/>
  <c r="X195" i="1" s="1"/>
  <c r="X196" i="1" s="1"/>
  <c r="AF56" i="1"/>
  <c r="AF49" i="1"/>
  <c r="M47" i="1"/>
  <c r="T22" i="1"/>
  <c r="T27" i="1" s="1"/>
  <c r="AF24" i="1"/>
  <c r="Y337" i="1" s="1"/>
  <c r="X341" i="1" s="1"/>
  <c r="AF13" i="1"/>
  <c r="T13" i="1"/>
  <c r="Z13" i="1"/>
  <c r="T36" i="1"/>
  <c r="T41" i="1" s="1"/>
  <c r="Z36" i="1"/>
  <c r="Z41" i="1" s="1"/>
  <c r="Z22" i="1"/>
  <c r="AV223" i="1" l="1"/>
  <c r="AU227" i="1" s="1"/>
  <c r="AU228" i="1" s="1"/>
  <c r="AW94" i="1"/>
  <c r="AU98" i="1" s="1"/>
  <c r="AW78" i="1"/>
  <c r="AU82" i="1" s="1"/>
  <c r="AU83" i="1" s="1"/>
  <c r="AW85" i="1"/>
  <c r="AU89" i="1" s="1"/>
  <c r="AU90" i="1" s="1"/>
  <c r="AR116" i="1"/>
  <c r="AV176" i="1" s="1"/>
  <c r="AF63" i="1"/>
  <c r="Y203" i="1" s="1"/>
  <c r="X207" i="1" s="1"/>
  <c r="AR146" i="1"/>
  <c r="AV209" i="1" s="1"/>
  <c r="AU213" i="1" s="1"/>
  <c r="AU239" i="1" s="1"/>
  <c r="AV216" i="1"/>
  <c r="AU220" i="1" s="1"/>
  <c r="AU221" i="1" s="1"/>
  <c r="AW70" i="1"/>
  <c r="AU74" i="1" s="1"/>
  <c r="AU75" i="1" s="1"/>
  <c r="AD125" i="1"/>
  <c r="AW122" i="1"/>
  <c r="AU126" i="1" s="1"/>
  <c r="AU127" i="1" s="1"/>
  <c r="AV183" i="1"/>
  <c r="AW157" i="1"/>
  <c r="AU161" i="1" s="1"/>
  <c r="AU162" i="1" s="1"/>
  <c r="AW130" i="1"/>
  <c r="AU134" i="1" s="1"/>
  <c r="X342" i="1"/>
  <c r="AU202" i="1"/>
  <c r="AU169" i="1"/>
  <c r="Z326" i="1"/>
  <c r="X330" i="1" s="1"/>
  <c r="X331" i="1" s="1"/>
  <c r="Y384" i="1"/>
  <c r="X388" i="1" s="1"/>
  <c r="X389" i="1" s="1"/>
  <c r="Z312" i="1"/>
  <c r="X316" i="1" s="1"/>
  <c r="X317" i="1" s="1"/>
  <c r="Y344" i="1"/>
  <c r="Z136" i="1"/>
  <c r="X140" i="1" s="1"/>
  <c r="Z304" i="1"/>
  <c r="X308" i="1" s="1"/>
  <c r="Z276" i="1"/>
  <c r="X280" i="1" s="1"/>
  <c r="X281" i="1" s="1"/>
  <c r="Z240" i="1"/>
  <c r="X244" i="1" s="1"/>
  <c r="X245" i="1" s="1"/>
  <c r="Z100" i="1"/>
  <c r="X104" i="1" s="1"/>
  <c r="Z268" i="1"/>
  <c r="X272" i="1" s="1"/>
  <c r="Z232" i="1"/>
  <c r="X236" i="1" s="1"/>
  <c r="Z64" i="1"/>
  <c r="X68" i="1" s="1"/>
  <c r="Y177" i="1"/>
  <c r="Y351" i="1" s="1"/>
  <c r="X355" i="1" s="1"/>
  <c r="X356" i="1" s="1"/>
  <c r="Z292" i="1"/>
  <c r="X296" i="1" s="1"/>
  <c r="X297" i="1" s="1"/>
  <c r="Z284" i="1"/>
  <c r="X288" i="1" s="1"/>
  <c r="X289" i="1" s="1"/>
  <c r="Z256" i="1"/>
  <c r="X260" i="1" s="1"/>
  <c r="X261" i="1" s="1"/>
  <c r="Z247" i="1"/>
  <c r="X251" i="1" s="1"/>
  <c r="X252" i="1" s="1"/>
  <c r="Z158" i="1"/>
  <c r="X162" i="1" s="1"/>
  <c r="X163" i="1" s="1"/>
  <c r="Y217" i="1"/>
  <c r="X221" i="1" s="1"/>
  <c r="X222" i="1" s="1"/>
  <c r="AF38" i="1"/>
  <c r="Y169" i="1"/>
  <c r="X174" i="1" s="1"/>
  <c r="Z88" i="1"/>
  <c r="Z124" i="1"/>
  <c r="X128" i="1" s="1"/>
  <c r="X129" i="1" s="1"/>
  <c r="Z72" i="1"/>
  <c r="X76" i="1" s="1"/>
  <c r="X77" i="1" s="1"/>
  <c r="Z108" i="1"/>
  <c r="X112" i="1" s="1"/>
  <c r="X113" i="1" s="1"/>
  <c r="Z79" i="1"/>
  <c r="X83" i="1" s="1"/>
  <c r="X84" i="1" s="1"/>
  <c r="Z144" i="1"/>
  <c r="Z319" i="1" s="1"/>
  <c r="X323" i="1" s="1"/>
  <c r="X324" i="1" s="1"/>
  <c r="Z116" i="1"/>
  <c r="T79" i="1"/>
  <c r="R83" i="1" s="1"/>
  <c r="T64" i="1"/>
  <c r="R68" i="1" s="1"/>
  <c r="T68" i="1" s="1"/>
  <c r="T71" i="1"/>
  <c r="X43" i="1"/>
  <c r="R43" i="1"/>
  <c r="R47" i="1"/>
  <c r="AU180" i="1" l="1"/>
  <c r="AU181" i="1" s="1"/>
  <c r="AU99" i="1"/>
  <c r="AU101" i="1" s="1"/>
  <c r="AU103" i="1"/>
  <c r="BF75" i="1" s="1"/>
  <c r="AU172" i="1"/>
  <c r="AU171" i="1"/>
  <c r="BF79" i="1" s="1"/>
  <c r="X333" i="1"/>
  <c r="X299" i="1"/>
  <c r="AU139" i="1"/>
  <c r="BF77" i="1" s="1"/>
  <c r="R69" i="1"/>
  <c r="T69" i="1" s="1"/>
  <c r="R75" i="1"/>
  <c r="R77" i="1" s="1"/>
  <c r="R85" i="1"/>
  <c r="Y370" i="1"/>
  <c r="AF65" i="1"/>
  <c r="X181" i="1"/>
  <c r="X182" i="1" s="1"/>
  <c r="AU135" i="1"/>
  <c r="AU137" i="1" s="1"/>
  <c r="AU214" i="1"/>
  <c r="AU238" i="1" s="1"/>
  <c r="BF73" i="1"/>
  <c r="Y184" i="1"/>
  <c r="X188" i="1" s="1"/>
  <c r="X189" i="1" s="1"/>
  <c r="X198" i="1" s="1"/>
  <c r="AU187" i="1"/>
  <c r="AU188" i="1" s="1"/>
  <c r="AV190" i="1"/>
  <c r="X237" i="1"/>
  <c r="X263" i="1" s="1"/>
  <c r="X273" i="1"/>
  <c r="X309" i="1"/>
  <c r="X69" i="1"/>
  <c r="X105" i="1"/>
  <c r="X175" i="1"/>
  <c r="X208" i="1"/>
  <c r="X224" i="1" s="1"/>
  <c r="X348" i="1"/>
  <c r="X120" i="1"/>
  <c r="X92" i="1"/>
  <c r="Z151" i="1"/>
  <c r="X155" i="1" s="1"/>
  <c r="X156" i="1" s="1"/>
  <c r="X148" i="1"/>
  <c r="X141" i="1"/>
  <c r="X374" i="1" l="1"/>
  <c r="X375" i="1" s="1"/>
  <c r="X391" i="1" s="1"/>
  <c r="AU194" i="1"/>
  <c r="X149" i="1"/>
  <c r="X165" i="1" s="1"/>
  <c r="X349" i="1"/>
  <c r="X93" i="1"/>
  <c r="X95" i="1" s="1"/>
  <c r="X121" i="1"/>
  <c r="X131" i="1" s="1"/>
  <c r="X365" i="1" l="1"/>
  <c r="Y394" i="1" s="1"/>
  <c r="AU205" i="1"/>
  <c r="BF71" i="1" s="1"/>
  <c r="BF81" i="1" s="1"/>
  <c r="AZ95" i="1"/>
  <c r="Y227" i="1"/>
  <c r="AU195" i="1"/>
  <c r="AZ81" i="1"/>
  <c r="AU204" i="1" l="1"/>
  <c r="AV241" i="1" s="1"/>
</calcChain>
</file>

<file path=xl/sharedStrings.xml><?xml version="1.0" encoding="utf-8"?>
<sst xmlns="http://schemas.openxmlformats.org/spreadsheetml/2006/main" count="783" uniqueCount="110">
  <si>
    <t>Materiais</t>
  </si>
  <si>
    <t>Condutividade(W/mK)</t>
  </si>
  <si>
    <t>Paredes Exteriores:</t>
  </si>
  <si>
    <t>Paredes Interior:</t>
  </si>
  <si>
    <t>Zona C</t>
  </si>
  <si>
    <t>Zona E</t>
  </si>
  <si>
    <t>Estrutura grande</t>
  </si>
  <si>
    <t>Alumínio:</t>
  </si>
  <si>
    <t>Parede 8m:</t>
  </si>
  <si>
    <t>Parede 4m:</t>
  </si>
  <si>
    <t>Parede 20m:</t>
  </si>
  <si>
    <t>PVC:</t>
  </si>
  <si>
    <t>Tinta:</t>
  </si>
  <si>
    <t>Madeira:</t>
  </si>
  <si>
    <t>Materirais</t>
  </si>
  <si>
    <t>Condutividade</t>
  </si>
  <si>
    <t>Área(m2)</t>
  </si>
  <si>
    <t>Espessura(m)</t>
  </si>
  <si>
    <t>Resistencia</t>
  </si>
  <si>
    <t>Vidro:</t>
  </si>
  <si>
    <t>Cimento:</t>
  </si>
  <si>
    <t>Cortiça:</t>
  </si>
  <si>
    <t>Tijolo:</t>
  </si>
  <si>
    <t>Ar:</t>
  </si>
  <si>
    <t>Painel poliuretano:</t>
  </si>
  <si>
    <t>Ferro:</t>
  </si>
  <si>
    <t>Portas Interiores</t>
  </si>
  <si>
    <t>Parede 5m:</t>
  </si>
  <si>
    <t>Parede 10m:</t>
  </si>
  <si>
    <t>Parede 10m com porta exterior grande:</t>
  </si>
  <si>
    <t>Telhado</t>
  </si>
  <si>
    <t>Dados:</t>
  </si>
  <si>
    <t>Altura da estrutura:</t>
  </si>
  <si>
    <t>Altura da Janela:</t>
  </si>
  <si>
    <t>Altura da porta grande:</t>
  </si>
  <si>
    <t>Altura da porta pequena:</t>
  </si>
  <si>
    <t>Portas Exteriores</t>
  </si>
  <si>
    <t>Rt=</t>
  </si>
  <si>
    <t>Parede 10m com portas:</t>
  </si>
  <si>
    <t>Janelas</t>
  </si>
  <si>
    <t xml:space="preserve">Telhado: </t>
  </si>
  <si>
    <t>Parede 10m com porta exterior pequena:</t>
  </si>
  <si>
    <t>Resistencia Total Paredes Zona C:</t>
  </si>
  <si>
    <t>Resistencia Total Paredes Zona E:</t>
  </si>
  <si>
    <t>Zona C= Zona D</t>
  </si>
  <si>
    <t>Resistencia Total Paredes Zona D:</t>
  </si>
  <si>
    <t xml:space="preserve">Resistencia </t>
  </si>
  <si>
    <t>US 406</t>
  </si>
  <si>
    <t>US407 1.</t>
  </si>
  <si>
    <t>Resistência parede contacto exterior</t>
  </si>
  <si>
    <t>Resistência parede zona C - exterior</t>
  </si>
  <si>
    <t>Resistencia da estrutura</t>
  </si>
  <si>
    <t>Diferença Temperatura</t>
  </si>
  <si>
    <t>Q =</t>
  </si>
  <si>
    <t>US408</t>
  </si>
  <si>
    <t xml:space="preserve">US408 </t>
  </si>
  <si>
    <t>US409 1.</t>
  </si>
  <si>
    <t>US409 2.</t>
  </si>
  <si>
    <t>US409 3.</t>
  </si>
  <si>
    <t>E =</t>
  </si>
  <si>
    <t>Adicionar nas paredes 2 camaras de ar em cada parede e uma camada de espuma PVC.</t>
  </si>
  <si>
    <t>Temperatura Exterior de 20ºC</t>
  </si>
  <si>
    <t>Temperatura exterior 20ºC</t>
  </si>
  <si>
    <t xml:space="preserve">Para as zonas B, C e D, será necessário um sistema de arrefecimento capaz de emitir uma potencia de pelo menos 552 W, 36693.61W e 23587.24W, respetivamente. </t>
  </si>
  <si>
    <t>Para as zonas A e E , será necessário um sistema que aqueça o ambiente de modo a establizar a temperatura, esses sistemas devem ser capazes de emitir uma potencia de pelo menos 23008W para a zona A e de 24416 para a zona E.</t>
  </si>
  <si>
    <t>Zona D</t>
  </si>
  <si>
    <t>Zona A</t>
  </si>
  <si>
    <t>Resistência parede zona C - zona D</t>
  </si>
  <si>
    <t>Zona B</t>
  </si>
  <si>
    <t xml:space="preserve">E = </t>
  </si>
  <si>
    <t>Resistência parede zona C - zona E</t>
  </si>
  <si>
    <t>Total</t>
  </si>
  <si>
    <t>Temperatura exterior 28ºC</t>
  </si>
  <si>
    <t>Resistência parede zona C - zona A</t>
  </si>
  <si>
    <t>Energia Total</t>
  </si>
  <si>
    <t>Resistência parede zona D - exterior</t>
  </si>
  <si>
    <t xml:space="preserve">Qtotal </t>
  </si>
  <si>
    <t>Resistência parede zona D - zona C</t>
  </si>
  <si>
    <t>Resistência parede zona D - zona E</t>
  </si>
  <si>
    <t>Resistência parede zona D - zona A</t>
  </si>
  <si>
    <t>Resistência parede zona E - exterior</t>
  </si>
  <si>
    <t>Qtotal</t>
  </si>
  <si>
    <t>Resistência parede zona E - zona C</t>
  </si>
  <si>
    <t>Resistência zona E - zona D</t>
  </si>
  <si>
    <t xml:space="preserve">Q = </t>
  </si>
  <si>
    <t>Resistência zona E - zona B</t>
  </si>
  <si>
    <t>Resistência zona A - Exterior Porta</t>
  </si>
  <si>
    <t xml:space="preserve">Diferença Temperatura </t>
  </si>
  <si>
    <t>Resistência zona A - C</t>
  </si>
  <si>
    <t>Resistência zona A-D</t>
  </si>
  <si>
    <t>Resistência Zona A - Exterior Sem porta 4 m</t>
  </si>
  <si>
    <t>Resistência zona B - Exterior</t>
  </si>
  <si>
    <t>Resistência zona B - Exterior sem porta</t>
  </si>
  <si>
    <t>Resistência zona B - zona E</t>
  </si>
  <si>
    <t>Energia Total Estrutura</t>
  </si>
  <si>
    <t>US407 2.</t>
  </si>
  <si>
    <t>48 MJ</t>
  </si>
  <si>
    <t>Resistência zona B -Telhado</t>
  </si>
  <si>
    <t>Resistência zona A -Telhado</t>
  </si>
  <si>
    <t>Resistência zona C -Telhado</t>
  </si>
  <si>
    <t>Resistência zona E -Telhado</t>
  </si>
  <si>
    <t>Resistência Zona E - telhado</t>
  </si>
  <si>
    <t>Resistência Zona D - telhado</t>
  </si>
  <si>
    <t>Resistência Zona C - telhado</t>
  </si>
  <si>
    <t>Resistência zona A - Telhado</t>
  </si>
  <si>
    <t>Resistência zona C - Telhado</t>
  </si>
  <si>
    <t>Resistência zona D - Telhado</t>
  </si>
  <si>
    <t>Resistência zona E - Telhado</t>
  </si>
  <si>
    <t>227.7 MJ</t>
  </si>
  <si>
    <t>246,4 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</si>
</sst>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quotePrefix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J394"/>
  <sheetViews>
    <sheetView tabSelected="1" topLeftCell="R61" zoomScale="90" zoomScaleNormal="90" workbookViewId="0">
      <selection activeCell="BD107" sqref="BD107"/>
    </sheetView>
  </sheetViews>
  <sheetFormatPr defaultRowHeight="14.5" x14ac:dyDescent="0.35"/>
  <cols>
    <col min="2" max="2" width="17.26953125" customWidth="1"/>
    <col min="3" max="3" width="22.453125" customWidth="1"/>
    <col min="9" max="9" width="18" customWidth="1"/>
    <col min="10" max="10" width="21.26953125" customWidth="1"/>
    <col min="12" max="12" width="17.81640625" customWidth="1"/>
    <col min="13" max="13" width="22.7265625" customWidth="1"/>
    <col min="16" max="16" width="15.26953125" customWidth="1"/>
    <col min="17" max="17" width="16.1796875" customWidth="1"/>
    <col min="18" max="18" width="13" bestFit="1" customWidth="1"/>
    <col min="19" max="19" width="12.81640625" customWidth="1"/>
    <col min="20" max="20" width="15.54296875" customWidth="1"/>
    <col min="22" max="22" width="14.81640625" customWidth="1"/>
    <col min="23" max="23" width="16.453125" customWidth="1"/>
    <col min="24" max="24" width="14.81640625" customWidth="1"/>
    <col min="25" max="25" width="13.453125" customWidth="1"/>
    <col min="26" max="26" width="15.81640625" customWidth="1"/>
    <col min="28" max="28" width="16.26953125" customWidth="1"/>
    <col min="29" max="29" width="16.81640625" customWidth="1"/>
    <col min="30" max="30" width="12.1796875" customWidth="1"/>
    <col min="31" max="31" width="15.81640625" customWidth="1"/>
    <col min="32" max="32" width="12.453125" customWidth="1"/>
    <col min="34" max="34" width="14.453125" customWidth="1"/>
    <col min="35" max="35" width="16.26953125" customWidth="1"/>
    <col min="36" max="36" width="10.453125" customWidth="1"/>
    <col min="37" max="37" width="14.54296875" customWidth="1"/>
    <col min="38" max="38" width="16.26953125" customWidth="1"/>
    <col min="40" max="40" width="17.54296875" customWidth="1"/>
    <col min="41" max="41" width="17.26953125" customWidth="1"/>
    <col min="42" max="42" width="13.453125" customWidth="1"/>
    <col min="43" max="43" width="16" customWidth="1"/>
    <col min="44" max="44" width="15" customWidth="1"/>
    <col min="46" max="46" width="12.7265625" customWidth="1"/>
    <col min="47" max="47" width="13.54296875" customWidth="1"/>
    <col min="48" max="48" width="11.1796875" customWidth="1"/>
    <col min="49" max="49" width="15.26953125" customWidth="1"/>
  </cols>
  <sheetData>
    <row r="3" spans="2:50" x14ac:dyDescent="0.35">
      <c r="B3" s="1" t="s">
        <v>0</v>
      </c>
      <c r="C3" s="1" t="s">
        <v>1</v>
      </c>
      <c r="I3" t="s">
        <v>2</v>
      </c>
      <c r="L3" t="s">
        <v>3</v>
      </c>
      <c r="P3" t="s">
        <v>4</v>
      </c>
      <c r="V3" t="s">
        <v>5</v>
      </c>
      <c r="AB3" t="s">
        <v>6</v>
      </c>
    </row>
    <row r="4" spans="2:50" x14ac:dyDescent="0.35">
      <c r="B4" s="2" t="s">
        <v>7</v>
      </c>
      <c r="C4" s="3">
        <v>204</v>
      </c>
      <c r="I4" s="1" t="s">
        <v>0</v>
      </c>
      <c r="J4" s="1" t="s">
        <v>1</v>
      </c>
      <c r="L4" s="1" t="s">
        <v>0</v>
      </c>
      <c r="M4" s="1" t="s">
        <v>1</v>
      </c>
      <c r="P4" t="s">
        <v>8</v>
      </c>
      <c r="V4" t="s">
        <v>9</v>
      </c>
      <c r="AB4" t="s">
        <v>10</v>
      </c>
    </row>
    <row r="5" spans="2:50" x14ac:dyDescent="0.35">
      <c r="B5" s="4" t="s">
        <v>11</v>
      </c>
      <c r="C5" s="5">
        <v>3.5000000000000003E-2</v>
      </c>
      <c r="I5" s="4" t="s">
        <v>12</v>
      </c>
      <c r="J5" s="3">
        <v>0.2</v>
      </c>
      <c r="L5" s="4" t="s">
        <v>13</v>
      </c>
      <c r="M5" s="3">
        <v>0.14000000000000001</v>
      </c>
      <c r="P5" t="s">
        <v>14</v>
      </c>
      <c r="Q5" t="s">
        <v>15</v>
      </c>
      <c r="R5" s="1" t="s">
        <v>16</v>
      </c>
      <c r="S5" s="1" t="s">
        <v>17</v>
      </c>
      <c r="T5" t="s">
        <v>18</v>
      </c>
      <c r="V5" t="s">
        <v>14</v>
      </c>
      <c r="W5" t="s">
        <v>15</v>
      </c>
      <c r="X5" s="1" t="s">
        <v>16</v>
      </c>
      <c r="Y5" s="1" t="s">
        <v>17</v>
      </c>
      <c r="Z5" t="s">
        <v>18</v>
      </c>
      <c r="AB5" t="s">
        <v>14</v>
      </c>
      <c r="AC5" t="s">
        <v>15</v>
      </c>
      <c r="AD5" s="1" t="s">
        <v>16</v>
      </c>
      <c r="AE5" s="1" t="s">
        <v>17</v>
      </c>
      <c r="AF5" t="s">
        <v>18</v>
      </c>
      <c r="AQ5" s="1"/>
      <c r="AR5" s="1"/>
      <c r="AW5" s="1"/>
      <c r="AX5" s="1"/>
    </row>
    <row r="6" spans="2:50" x14ac:dyDescent="0.35">
      <c r="B6" s="4" t="s">
        <v>19</v>
      </c>
      <c r="C6" s="3">
        <v>0.8</v>
      </c>
      <c r="I6" s="4" t="s">
        <v>20</v>
      </c>
      <c r="J6" s="3">
        <v>0.9</v>
      </c>
      <c r="L6" s="4" t="s">
        <v>20</v>
      </c>
      <c r="M6" s="3">
        <v>0.9</v>
      </c>
      <c r="P6" s="4" t="s">
        <v>12</v>
      </c>
      <c r="Q6" s="3">
        <v>0.2</v>
      </c>
      <c r="R6">
        <v>40</v>
      </c>
      <c r="S6">
        <v>1E-4</v>
      </c>
      <c r="T6">
        <f>(S6/R6*Q6)</f>
        <v>5.0000000000000008E-7</v>
      </c>
      <c r="V6" s="4" t="s">
        <v>12</v>
      </c>
      <c r="W6" s="3">
        <v>0.2</v>
      </c>
      <c r="X6">
        <v>20</v>
      </c>
      <c r="Y6">
        <v>1E-4</v>
      </c>
      <c r="Z6">
        <f>(Y6/X6*W6)</f>
        <v>1.0000000000000002E-6</v>
      </c>
      <c r="AB6" s="4" t="s">
        <v>12</v>
      </c>
      <c r="AC6" s="3">
        <v>0.2</v>
      </c>
      <c r="AD6">
        <v>100</v>
      </c>
      <c r="AE6">
        <v>1E-4</v>
      </c>
      <c r="AF6">
        <f>(AE6/AD6*AC6)</f>
        <v>1.9999999999999999E-7</v>
      </c>
      <c r="AO6" s="4"/>
      <c r="AP6" s="3"/>
      <c r="AU6" s="4"/>
      <c r="AV6" s="3"/>
    </row>
    <row r="7" spans="2:50" x14ac:dyDescent="0.35">
      <c r="B7" s="4" t="s">
        <v>21</v>
      </c>
      <c r="C7" s="3">
        <v>0.04</v>
      </c>
      <c r="I7" s="4" t="s">
        <v>22</v>
      </c>
      <c r="J7" s="3">
        <v>0.6</v>
      </c>
      <c r="L7" s="4" t="s">
        <v>23</v>
      </c>
      <c r="M7" s="3">
        <v>2.3E-2</v>
      </c>
      <c r="P7" s="4" t="s">
        <v>20</v>
      </c>
      <c r="Q7" s="3">
        <v>0.9</v>
      </c>
      <c r="R7">
        <v>40</v>
      </c>
      <c r="S7">
        <v>0.1</v>
      </c>
      <c r="T7">
        <f t="shared" ref="T7:T12" si="0">(S7/R7*Q7)</f>
        <v>2.2500000000000003E-3</v>
      </c>
      <c r="V7" s="4" t="s">
        <v>20</v>
      </c>
      <c r="W7" s="3">
        <v>0.9</v>
      </c>
      <c r="X7">
        <v>20</v>
      </c>
      <c r="Y7">
        <v>0.1</v>
      </c>
      <c r="Z7">
        <f t="shared" ref="Z7:Z12" si="1">(Y7/X7*W7)</f>
        <v>4.5000000000000005E-3</v>
      </c>
      <c r="AB7" s="4" t="s">
        <v>20</v>
      </c>
      <c r="AC7" s="3">
        <v>0.9</v>
      </c>
      <c r="AD7">
        <v>100</v>
      </c>
      <c r="AE7">
        <v>0.1</v>
      </c>
      <c r="AF7">
        <f t="shared" ref="AF7:AF12" si="2">(AE7/AD7*AC7)</f>
        <v>9.0000000000000008E-4</v>
      </c>
      <c r="AO7" s="4"/>
      <c r="AP7" s="3"/>
      <c r="AU7" s="4"/>
      <c r="AV7" s="3"/>
    </row>
    <row r="8" spans="2:50" x14ac:dyDescent="0.35">
      <c r="B8" s="4" t="s">
        <v>13</v>
      </c>
      <c r="C8" s="3">
        <v>0.14000000000000001</v>
      </c>
      <c r="I8" s="4" t="s">
        <v>23</v>
      </c>
      <c r="J8" s="3">
        <v>2.3E-2</v>
      </c>
      <c r="L8" s="4" t="s">
        <v>20</v>
      </c>
      <c r="M8" s="3">
        <v>0.9</v>
      </c>
      <c r="P8" s="4" t="s">
        <v>22</v>
      </c>
      <c r="Q8" s="3">
        <v>0.6</v>
      </c>
      <c r="R8">
        <v>40</v>
      </c>
      <c r="S8">
        <v>7.0000000000000007E-2</v>
      </c>
      <c r="T8">
        <f>(S8/R8*Q8)</f>
        <v>1.0500000000000002E-3</v>
      </c>
      <c r="V8" s="4" t="s">
        <v>22</v>
      </c>
      <c r="W8" s="3">
        <v>0.6</v>
      </c>
      <c r="X8">
        <v>20</v>
      </c>
      <c r="Y8">
        <v>7.0000000000000007E-2</v>
      </c>
      <c r="Z8">
        <f t="shared" si="1"/>
        <v>2.1000000000000003E-3</v>
      </c>
      <c r="AB8" s="4" t="s">
        <v>22</v>
      </c>
      <c r="AC8" s="3">
        <v>0.6</v>
      </c>
      <c r="AD8">
        <v>100</v>
      </c>
      <c r="AE8">
        <v>7.0000000000000007E-2</v>
      </c>
      <c r="AF8">
        <f t="shared" si="2"/>
        <v>4.2000000000000007E-4</v>
      </c>
      <c r="AO8" s="4"/>
      <c r="AP8" s="3"/>
      <c r="AU8" s="4"/>
      <c r="AV8" s="3"/>
    </row>
    <row r="9" spans="2:50" x14ac:dyDescent="0.35">
      <c r="B9" s="4" t="s">
        <v>22</v>
      </c>
      <c r="C9" s="3">
        <v>0.6</v>
      </c>
      <c r="I9" s="4" t="s">
        <v>22</v>
      </c>
      <c r="J9" s="3">
        <v>0.6</v>
      </c>
      <c r="L9" s="4" t="s">
        <v>13</v>
      </c>
      <c r="M9" s="3">
        <v>0.14000000000000001</v>
      </c>
      <c r="P9" s="4" t="s">
        <v>23</v>
      </c>
      <c r="Q9" s="3">
        <v>2.3E-2</v>
      </c>
      <c r="R9">
        <v>40</v>
      </c>
      <c r="S9">
        <v>0.1</v>
      </c>
      <c r="T9">
        <f t="shared" si="0"/>
        <v>5.7500000000000002E-5</v>
      </c>
      <c r="V9" s="4" t="s">
        <v>23</v>
      </c>
      <c r="W9" s="3">
        <v>2.3E-2</v>
      </c>
      <c r="X9">
        <v>20</v>
      </c>
      <c r="Y9">
        <v>0.1</v>
      </c>
      <c r="Z9">
        <f t="shared" si="1"/>
        <v>1.15E-4</v>
      </c>
      <c r="AB9" s="4" t="s">
        <v>23</v>
      </c>
      <c r="AC9" s="3">
        <v>2.3E-2</v>
      </c>
      <c r="AD9">
        <v>100</v>
      </c>
      <c r="AE9">
        <v>0.1</v>
      </c>
      <c r="AF9">
        <f t="shared" si="2"/>
        <v>2.3E-5</v>
      </c>
      <c r="AO9" s="4"/>
      <c r="AP9" s="3"/>
      <c r="AU9" s="4"/>
      <c r="AV9" s="3"/>
    </row>
    <row r="10" spans="2:50" x14ac:dyDescent="0.35">
      <c r="B10" s="4" t="s">
        <v>24</v>
      </c>
      <c r="C10" s="3">
        <v>2.24E-2</v>
      </c>
      <c r="I10" s="4" t="s">
        <v>20</v>
      </c>
      <c r="J10" s="3">
        <v>0.9</v>
      </c>
      <c r="L10" s="4"/>
      <c r="M10" s="3"/>
      <c r="P10" s="4" t="s">
        <v>22</v>
      </c>
      <c r="Q10" s="3">
        <v>0.6</v>
      </c>
      <c r="R10">
        <v>40</v>
      </c>
      <c r="S10">
        <v>7.0000000000000007E-2</v>
      </c>
      <c r="T10">
        <f t="shared" si="0"/>
        <v>1.0500000000000002E-3</v>
      </c>
      <c r="V10" s="4" t="s">
        <v>22</v>
      </c>
      <c r="W10" s="3">
        <v>0.6</v>
      </c>
      <c r="X10">
        <v>20</v>
      </c>
      <c r="Y10">
        <v>7.0000000000000007E-2</v>
      </c>
      <c r="Z10">
        <f t="shared" si="1"/>
        <v>2.1000000000000003E-3</v>
      </c>
      <c r="AB10" s="4" t="s">
        <v>22</v>
      </c>
      <c r="AC10" s="3">
        <v>0.6</v>
      </c>
      <c r="AD10">
        <v>100</v>
      </c>
      <c r="AE10">
        <v>7.0000000000000007E-2</v>
      </c>
      <c r="AF10">
        <f t="shared" si="2"/>
        <v>4.2000000000000007E-4</v>
      </c>
      <c r="AO10" s="4"/>
      <c r="AP10" s="3"/>
      <c r="AU10" s="4"/>
      <c r="AV10" s="3"/>
    </row>
    <row r="11" spans="2:50" x14ac:dyDescent="0.35">
      <c r="B11" s="4" t="s">
        <v>23</v>
      </c>
      <c r="C11" s="3">
        <v>2.3E-2</v>
      </c>
      <c r="I11" s="4" t="s">
        <v>13</v>
      </c>
      <c r="J11" s="3">
        <v>0.14000000000000001</v>
      </c>
      <c r="P11" s="4" t="s">
        <v>20</v>
      </c>
      <c r="Q11" s="3">
        <v>0.9</v>
      </c>
      <c r="R11">
        <v>40</v>
      </c>
      <c r="S11">
        <v>0.1</v>
      </c>
      <c r="T11">
        <f t="shared" si="0"/>
        <v>2.2500000000000003E-3</v>
      </c>
      <c r="V11" s="4" t="s">
        <v>20</v>
      </c>
      <c r="W11" s="3">
        <v>0.9</v>
      </c>
      <c r="X11">
        <v>20</v>
      </c>
      <c r="Y11">
        <v>0.1</v>
      </c>
      <c r="Z11">
        <f t="shared" si="1"/>
        <v>4.5000000000000005E-3</v>
      </c>
      <c r="AB11" s="4" t="s">
        <v>20</v>
      </c>
      <c r="AC11" s="3">
        <v>0.9</v>
      </c>
      <c r="AD11">
        <v>100</v>
      </c>
      <c r="AE11">
        <v>0.1</v>
      </c>
      <c r="AF11">
        <f t="shared" si="2"/>
        <v>9.0000000000000008E-4</v>
      </c>
      <c r="AO11" s="4"/>
      <c r="AP11" s="3"/>
      <c r="AU11" s="4"/>
      <c r="AV11" s="3"/>
    </row>
    <row r="12" spans="2:50" x14ac:dyDescent="0.35">
      <c r="B12" s="4" t="s">
        <v>25</v>
      </c>
      <c r="C12" s="3">
        <v>52</v>
      </c>
      <c r="P12" s="4" t="s">
        <v>13</v>
      </c>
      <c r="Q12" s="3">
        <v>0.14000000000000001</v>
      </c>
      <c r="R12">
        <v>40</v>
      </c>
      <c r="S12">
        <v>0.1</v>
      </c>
      <c r="T12">
        <f t="shared" si="0"/>
        <v>3.5000000000000005E-4</v>
      </c>
      <c r="V12" s="4" t="s">
        <v>13</v>
      </c>
      <c r="W12" s="3">
        <v>0.14000000000000001</v>
      </c>
      <c r="X12">
        <v>20</v>
      </c>
      <c r="Y12">
        <v>0.1</v>
      </c>
      <c r="Z12">
        <f t="shared" si="1"/>
        <v>7.000000000000001E-4</v>
      </c>
      <c r="AB12" s="4" t="s">
        <v>13</v>
      </c>
      <c r="AC12" s="3">
        <v>0.14000000000000001</v>
      </c>
      <c r="AD12">
        <v>100</v>
      </c>
      <c r="AE12">
        <v>0.1</v>
      </c>
      <c r="AF12">
        <f t="shared" si="2"/>
        <v>1.4000000000000001E-4</v>
      </c>
      <c r="AO12" s="4"/>
      <c r="AP12" s="3"/>
      <c r="AU12" s="4"/>
      <c r="AV12" s="3"/>
    </row>
    <row r="13" spans="2:50" x14ac:dyDescent="0.35">
      <c r="B13" s="4" t="s">
        <v>12</v>
      </c>
      <c r="C13" s="3">
        <v>0.2</v>
      </c>
      <c r="T13">
        <f>SUM(T6:T12)</f>
        <v>7.0080000000000003E-3</v>
      </c>
      <c r="Z13">
        <f>SUM(Z6:Z12)</f>
        <v>1.4016000000000001E-2</v>
      </c>
      <c r="AF13">
        <f>SUM(AF6:AF12)</f>
        <v>2.8032E-3</v>
      </c>
    </row>
    <row r="14" spans="2:50" x14ac:dyDescent="0.35">
      <c r="I14" s="4"/>
      <c r="J14" s="3"/>
      <c r="L14" t="s">
        <v>26</v>
      </c>
    </row>
    <row r="15" spans="2:50" x14ac:dyDescent="0.35">
      <c r="J15" s="3"/>
      <c r="L15" s="1" t="s">
        <v>0</v>
      </c>
      <c r="M15" s="1" t="s">
        <v>1</v>
      </c>
      <c r="P15" t="s">
        <v>27</v>
      </c>
      <c r="V15" t="s">
        <v>28</v>
      </c>
      <c r="AB15" t="s">
        <v>29</v>
      </c>
    </row>
    <row r="16" spans="2:50" x14ac:dyDescent="0.35">
      <c r="I16" t="s">
        <v>30</v>
      </c>
      <c r="L16" s="2" t="s">
        <v>7</v>
      </c>
      <c r="M16" s="3">
        <v>204</v>
      </c>
      <c r="P16" t="s">
        <v>14</v>
      </c>
      <c r="Q16" t="s">
        <v>15</v>
      </c>
      <c r="R16" s="1" t="s">
        <v>16</v>
      </c>
      <c r="S16" s="1" t="s">
        <v>17</v>
      </c>
      <c r="T16" t="s">
        <v>18</v>
      </c>
      <c r="V16" t="s">
        <v>14</v>
      </c>
      <c r="W16" t="s">
        <v>15</v>
      </c>
      <c r="X16" s="1" t="s">
        <v>16</v>
      </c>
      <c r="Y16" s="1" t="s">
        <v>17</v>
      </c>
      <c r="Z16" t="s">
        <v>18</v>
      </c>
      <c r="AB16" t="s">
        <v>14</v>
      </c>
      <c r="AC16" t="s">
        <v>15</v>
      </c>
      <c r="AD16" s="1" t="s">
        <v>16</v>
      </c>
      <c r="AE16" s="1" t="s">
        <v>17</v>
      </c>
      <c r="AF16" t="s">
        <v>18</v>
      </c>
      <c r="AQ16" s="1"/>
      <c r="AR16" s="1"/>
    </row>
    <row r="17" spans="1:44" x14ac:dyDescent="0.35">
      <c r="I17" s="1" t="s">
        <v>0</v>
      </c>
      <c r="J17" s="1" t="s">
        <v>1</v>
      </c>
      <c r="L17" s="4" t="s">
        <v>13</v>
      </c>
      <c r="M17" s="3">
        <v>0.14000000000000001</v>
      </c>
      <c r="P17" s="4" t="s">
        <v>13</v>
      </c>
      <c r="Q17" s="3">
        <v>0.14000000000000001</v>
      </c>
      <c r="R17">
        <v>23</v>
      </c>
      <c r="S17">
        <v>0.1</v>
      </c>
      <c r="T17">
        <f>(S17/R17*Q17)</f>
        <v>6.086956521739131E-4</v>
      </c>
      <c r="V17" s="4" t="s">
        <v>13</v>
      </c>
      <c r="W17" s="3">
        <v>0.14000000000000001</v>
      </c>
      <c r="X17">
        <v>50</v>
      </c>
      <c r="Y17">
        <v>0.1</v>
      </c>
      <c r="Z17">
        <f>(Y17/X17*W17)</f>
        <v>2.8000000000000003E-4</v>
      </c>
      <c r="AB17" s="4" t="s">
        <v>12</v>
      </c>
      <c r="AC17" s="3">
        <v>0.2</v>
      </c>
      <c r="AD17">
        <v>33</v>
      </c>
      <c r="AE17">
        <v>1E-4</v>
      </c>
      <c r="AF17">
        <f>(AE17/AD17*AC17)</f>
        <v>6.060606060606061E-7</v>
      </c>
      <c r="AO17" s="4"/>
      <c r="AP17" s="3"/>
    </row>
    <row r="18" spans="1:44" x14ac:dyDescent="0.35">
      <c r="I18" t="s">
        <v>24</v>
      </c>
      <c r="J18" s="3">
        <v>2.24E-2</v>
      </c>
      <c r="P18" s="4" t="s">
        <v>20</v>
      </c>
      <c r="Q18" s="3">
        <v>0.9</v>
      </c>
      <c r="R18">
        <v>23</v>
      </c>
      <c r="S18">
        <v>0.1</v>
      </c>
      <c r="T18">
        <f t="shared" ref="T18:T21" si="3">(S18/R18*Q18)</f>
        <v>3.9130434782608699E-3</v>
      </c>
      <c r="V18" s="4" t="s">
        <v>20</v>
      </c>
      <c r="W18" s="3">
        <v>0.9</v>
      </c>
      <c r="X18">
        <v>50</v>
      </c>
      <c r="Y18">
        <v>0.1</v>
      </c>
      <c r="Z18">
        <f t="shared" ref="Z18:Z21" si="4">(Y18/X18*W18)</f>
        <v>1.8000000000000002E-3</v>
      </c>
      <c r="AB18" s="4" t="s">
        <v>20</v>
      </c>
      <c r="AC18" s="3">
        <v>0.9</v>
      </c>
      <c r="AD18">
        <v>33</v>
      </c>
      <c r="AE18">
        <v>0.1</v>
      </c>
      <c r="AF18">
        <f t="shared" ref="AF18:AF23" si="5">(AE18/AD18*AC18)</f>
        <v>2.7272727272727275E-3</v>
      </c>
      <c r="AO18" s="4"/>
      <c r="AP18" s="3"/>
    </row>
    <row r="19" spans="1:44" x14ac:dyDescent="0.35">
      <c r="A19" t="s">
        <v>31</v>
      </c>
      <c r="I19" s="4" t="s">
        <v>20</v>
      </c>
      <c r="J19" s="3">
        <v>0.9</v>
      </c>
      <c r="P19" s="4" t="s">
        <v>23</v>
      </c>
      <c r="Q19" s="3">
        <v>2.3E-2</v>
      </c>
      <c r="R19">
        <v>23</v>
      </c>
      <c r="S19">
        <v>0.05</v>
      </c>
      <c r="T19">
        <f t="shared" si="3"/>
        <v>5.0000000000000002E-5</v>
      </c>
      <c r="V19" s="4" t="s">
        <v>23</v>
      </c>
      <c r="W19" s="3">
        <v>2.3E-2</v>
      </c>
      <c r="X19">
        <v>50</v>
      </c>
      <c r="Y19">
        <v>0.05</v>
      </c>
      <c r="Z19">
        <f t="shared" si="4"/>
        <v>2.3E-5</v>
      </c>
      <c r="AB19" s="4" t="s">
        <v>22</v>
      </c>
      <c r="AC19" s="3">
        <v>0.6</v>
      </c>
      <c r="AD19">
        <v>33</v>
      </c>
      <c r="AE19">
        <v>0.1</v>
      </c>
      <c r="AF19">
        <f t="shared" si="5"/>
        <v>1.8181818181818182E-3</v>
      </c>
      <c r="AO19" s="4"/>
      <c r="AP19" s="3"/>
    </row>
    <row r="20" spans="1:44" x14ac:dyDescent="0.35">
      <c r="A20" t="s">
        <v>32</v>
      </c>
      <c r="C20">
        <v>5</v>
      </c>
      <c r="I20" s="4" t="s">
        <v>23</v>
      </c>
      <c r="J20" s="3">
        <v>2.3E-2</v>
      </c>
      <c r="P20" s="4" t="s">
        <v>20</v>
      </c>
      <c r="Q20" s="3">
        <v>0.9</v>
      </c>
      <c r="R20">
        <v>23</v>
      </c>
      <c r="S20">
        <v>0.1</v>
      </c>
      <c r="T20">
        <f t="shared" si="3"/>
        <v>3.9130434782608699E-3</v>
      </c>
      <c r="V20" s="4" t="s">
        <v>20</v>
      </c>
      <c r="W20" s="3">
        <v>0.9</v>
      </c>
      <c r="X20">
        <v>50</v>
      </c>
      <c r="Y20">
        <v>0.1</v>
      </c>
      <c r="Z20">
        <f t="shared" si="4"/>
        <v>1.8000000000000002E-3</v>
      </c>
      <c r="AB20" s="4" t="s">
        <v>23</v>
      </c>
      <c r="AC20" s="3">
        <v>2.3E-2</v>
      </c>
      <c r="AD20">
        <v>33</v>
      </c>
      <c r="AE20">
        <v>0.05</v>
      </c>
      <c r="AF20">
        <f t="shared" si="5"/>
        <v>3.484848484848485E-5</v>
      </c>
      <c r="AO20" s="4"/>
      <c r="AP20" s="3"/>
    </row>
    <row r="21" spans="1:44" x14ac:dyDescent="0.35">
      <c r="A21" t="s">
        <v>33</v>
      </c>
      <c r="C21">
        <v>2</v>
      </c>
      <c r="I21" s="4" t="s">
        <v>20</v>
      </c>
      <c r="J21" s="3">
        <v>0.9</v>
      </c>
      <c r="P21" s="4" t="s">
        <v>13</v>
      </c>
      <c r="Q21" s="3">
        <v>0.14000000000000001</v>
      </c>
      <c r="R21">
        <v>23</v>
      </c>
      <c r="S21">
        <v>0.1</v>
      </c>
      <c r="T21">
        <f t="shared" si="3"/>
        <v>6.086956521739131E-4</v>
      </c>
      <c r="V21" s="4" t="s">
        <v>13</v>
      </c>
      <c r="W21" s="3">
        <v>0.14000000000000001</v>
      </c>
      <c r="X21">
        <v>50</v>
      </c>
      <c r="Y21">
        <v>0.1</v>
      </c>
      <c r="Z21">
        <f t="shared" si="4"/>
        <v>2.8000000000000003E-4</v>
      </c>
      <c r="AB21" s="4" t="s">
        <v>22</v>
      </c>
      <c r="AC21" s="3">
        <v>0.6</v>
      </c>
      <c r="AD21">
        <v>33</v>
      </c>
      <c r="AE21">
        <v>0.1</v>
      </c>
      <c r="AF21">
        <f t="shared" ref="AF21" si="6">(AE21/AD21*AC21)</f>
        <v>1.8181818181818182E-3</v>
      </c>
      <c r="AO21" s="4"/>
      <c r="AP21" s="3"/>
    </row>
    <row r="22" spans="1:44" x14ac:dyDescent="0.35">
      <c r="A22" t="s">
        <v>34</v>
      </c>
      <c r="C22">
        <v>4</v>
      </c>
      <c r="I22" s="4" t="s">
        <v>12</v>
      </c>
      <c r="J22" s="3">
        <v>0.2</v>
      </c>
      <c r="T22">
        <f>SUM(T17:T21)</f>
        <v>9.0934782608695659E-3</v>
      </c>
      <c r="Z22">
        <f>SUM(Z17:Z21)</f>
        <v>4.1830000000000001E-3</v>
      </c>
      <c r="AB22" s="4" t="s">
        <v>20</v>
      </c>
      <c r="AC22" s="3">
        <v>0.9</v>
      </c>
      <c r="AD22">
        <v>33</v>
      </c>
      <c r="AE22">
        <v>0.1</v>
      </c>
      <c r="AF22">
        <f t="shared" si="5"/>
        <v>2.7272727272727275E-3</v>
      </c>
    </row>
    <row r="23" spans="1:44" x14ac:dyDescent="0.35">
      <c r="A23" t="s">
        <v>35</v>
      </c>
      <c r="C23">
        <v>3</v>
      </c>
      <c r="AB23" s="4" t="s">
        <v>13</v>
      </c>
      <c r="AC23" s="3">
        <v>0.14000000000000001</v>
      </c>
      <c r="AD23">
        <v>33</v>
      </c>
      <c r="AE23">
        <v>0.1</v>
      </c>
      <c r="AF23">
        <f t="shared" si="5"/>
        <v>4.2424242424242431E-4</v>
      </c>
    </row>
    <row r="24" spans="1:44" x14ac:dyDescent="0.35">
      <c r="P24" s="2" t="s">
        <v>7</v>
      </c>
      <c r="Q24" s="3">
        <v>204</v>
      </c>
      <c r="R24">
        <v>0.1</v>
      </c>
      <c r="S24">
        <v>0.05</v>
      </c>
      <c r="T24">
        <f>(S24/R24*Q24)</f>
        <v>102</v>
      </c>
      <c r="V24" s="2"/>
      <c r="W24" s="3"/>
      <c r="AF24">
        <f>SUM(AF17:AF23)</f>
        <v>9.5506060606060615E-3</v>
      </c>
      <c r="AO24" s="2"/>
      <c r="AP24" s="3"/>
    </row>
    <row r="25" spans="1:44" x14ac:dyDescent="0.35">
      <c r="I25" t="s">
        <v>36</v>
      </c>
      <c r="P25" s="4" t="s">
        <v>13</v>
      </c>
      <c r="Q25" s="3">
        <v>0.14000000000000001</v>
      </c>
      <c r="R25">
        <v>1.9</v>
      </c>
      <c r="S25">
        <v>0.05</v>
      </c>
      <c r="T25">
        <f>(S25/R25*Q25)</f>
        <v>3.6842105263157903E-3</v>
      </c>
      <c r="V25" s="4"/>
      <c r="W25" s="3"/>
      <c r="AO25" s="4"/>
      <c r="AP25" s="3"/>
    </row>
    <row r="26" spans="1:44" x14ac:dyDescent="0.35">
      <c r="I26" s="1" t="s">
        <v>0</v>
      </c>
      <c r="J26" s="1" t="s">
        <v>1</v>
      </c>
      <c r="P26" s="4"/>
      <c r="Q26" s="3"/>
      <c r="V26" s="4"/>
      <c r="W26" s="3"/>
      <c r="AB26" s="2" t="s">
        <v>7</v>
      </c>
      <c r="AC26" s="3">
        <v>204</v>
      </c>
      <c r="AD26">
        <v>0.05</v>
      </c>
      <c r="AE26">
        <v>0.1</v>
      </c>
      <c r="AF26">
        <f>(AE26/AD26*AC26)</f>
        <v>408</v>
      </c>
      <c r="AO26" s="4"/>
      <c r="AP26" s="3"/>
    </row>
    <row r="27" spans="1:44" x14ac:dyDescent="0.35">
      <c r="I27" s="2" t="s">
        <v>7</v>
      </c>
      <c r="J27" s="3">
        <v>204</v>
      </c>
      <c r="Q27" s="3"/>
      <c r="S27" s="4" t="s">
        <v>37</v>
      </c>
      <c r="T27">
        <f>1/((1/T22)+(1/T24)+(1/T25))</f>
        <v>2.6218690816946521E-3</v>
      </c>
      <c r="W27" s="3"/>
      <c r="Y27" s="4"/>
      <c r="AP27" s="3"/>
      <c r="AR27" s="4"/>
    </row>
    <row r="28" spans="1:44" x14ac:dyDescent="0.35">
      <c r="I28" s="4" t="s">
        <v>25</v>
      </c>
      <c r="J28" s="3">
        <v>52</v>
      </c>
      <c r="P28" s="4"/>
      <c r="Q28" s="3"/>
      <c r="V28" s="4"/>
      <c r="W28" s="3"/>
      <c r="AB28" s="4" t="s">
        <v>19</v>
      </c>
      <c r="AC28" s="3">
        <v>0.8</v>
      </c>
      <c r="AD28">
        <v>1.45</v>
      </c>
      <c r="AE28">
        <v>0.02</v>
      </c>
      <c r="AF28">
        <f>(AE28/AD28*AC28)</f>
        <v>1.1034482758620692E-2</v>
      </c>
      <c r="AO28" s="4"/>
      <c r="AP28" s="3"/>
    </row>
    <row r="29" spans="1:44" x14ac:dyDescent="0.35">
      <c r="I29" s="4"/>
      <c r="J29" s="3"/>
      <c r="P29" t="s">
        <v>8</v>
      </c>
      <c r="V29" t="s">
        <v>38</v>
      </c>
      <c r="AB29" s="4" t="s">
        <v>23</v>
      </c>
      <c r="AC29" s="3">
        <v>2.3E-2</v>
      </c>
      <c r="AD29">
        <v>1.45</v>
      </c>
      <c r="AE29">
        <v>0.01</v>
      </c>
      <c r="AF29">
        <f>(AE29/AD29*AC29)</f>
        <v>1.5862068965517243E-4</v>
      </c>
    </row>
    <row r="30" spans="1:44" x14ac:dyDescent="0.35">
      <c r="I30" s="4"/>
      <c r="J30" s="3"/>
      <c r="P30" t="s">
        <v>14</v>
      </c>
      <c r="Q30" t="s">
        <v>15</v>
      </c>
      <c r="R30" s="1" t="s">
        <v>16</v>
      </c>
      <c r="S30" s="1" t="s">
        <v>17</v>
      </c>
      <c r="T30" t="s">
        <v>18</v>
      </c>
      <c r="V30" t="s">
        <v>14</v>
      </c>
      <c r="W30" t="s">
        <v>15</v>
      </c>
      <c r="X30" s="1" t="s">
        <v>16</v>
      </c>
      <c r="Y30" s="1" t="s">
        <v>17</v>
      </c>
      <c r="Z30" t="s">
        <v>18</v>
      </c>
      <c r="AB30" s="4" t="s">
        <v>19</v>
      </c>
      <c r="AC30" s="3">
        <v>0.8</v>
      </c>
      <c r="AD30">
        <v>1.45</v>
      </c>
      <c r="AE30">
        <v>0.02</v>
      </c>
      <c r="AF30">
        <f>(AE30/AD30*AC30)</f>
        <v>1.1034482758620692E-2</v>
      </c>
      <c r="AQ30" s="1"/>
      <c r="AR30" s="1"/>
    </row>
    <row r="31" spans="1:44" x14ac:dyDescent="0.35">
      <c r="I31" t="s">
        <v>39</v>
      </c>
      <c r="P31" s="4" t="s">
        <v>13</v>
      </c>
      <c r="Q31" s="3">
        <v>0.14000000000000001</v>
      </c>
      <c r="R31">
        <v>38</v>
      </c>
      <c r="S31">
        <v>0.1</v>
      </c>
      <c r="T31">
        <f>(S31/R31*Q31)</f>
        <v>3.6842105263157896E-4</v>
      </c>
      <c r="V31" s="4" t="s">
        <v>13</v>
      </c>
      <c r="W31" s="3">
        <v>0.14000000000000001</v>
      </c>
      <c r="X31">
        <v>46</v>
      </c>
      <c r="Y31">
        <v>0.1</v>
      </c>
      <c r="Z31">
        <f>(Y31/X31*W31)</f>
        <v>3.0434782608695655E-4</v>
      </c>
      <c r="AF31">
        <f>SUM(AF28:AF30)</f>
        <v>2.2227586206896556E-2</v>
      </c>
      <c r="AO31" s="4"/>
      <c r="AP31" s="3"/>
    </row>
    <row r="32" spans="1:44" x14ac:dyDescent="0.35">
      <c r="I32" s="1" t="s">
        <v>0</v>
      </c>
      <c r="J32" s="1" t="s">
        <v>1</v>
      </c>
      <c r="P32" s="4" t="s">
        <v>20</v>
      </c>
      <c r="Q32" s="3">
        <v>0.9</v>
      </c>
      <c r="R32">
        <v>38</v>
      </c>
      <c r="S32">
        <v>0.1</v>
      </c>
      <c r="T32">
        <f t="shared" ref="T32:T35" si="7">(S32/R32*Q32)</f>
        <v>2.3684210526315791E-3</v>
      </c>
      <c r="V32" s="4" t="s">
        <v>20</v>
      </c>
      <c r="W32" s="3">
        <v>0.9</v>
      </c>
      <c r="X32">
        <v>46</v>
      </c>
      <c r="Y32">
        <v>0.1</v>
      </c>
      <c r="Z32">
        <f t="shared" ref="Z32:Z35" si="8">(Y32/X32*W32)</f>
        <v>1.9565217391304349E-3</v>
      </c>
      <c r="AO32" s="4"/>
      <c r="AP32" s="3"/>
    </row>
    <row r="33" spans="9:50" x14ac:dyDescent="0.35">
      <c r="I33" s="2" t="s">
        <v>7</v>
      </c>
      <c r="J33" s="3">
        <v>204</v>
      </c>
      <c r="P33" s="4" t="s">
        <v>23</v>
      </c>
      <c r="Q33" s="3">
        <v>2.3E-2</v>
      </c>
      <c r="R33">
        <v>38</v>
      </c>
      <c r="S33">
        <v>0.05</v>
      </c>
      <c r="T33">
        <f t="shared" si="7"/>
        <v>3.0263157894736841E-5</v>
      </c>
      <c r="V33" s="4" t="s">
        <v>23</v>
      </c>
      <c r="W33" s="3">
        <v>2.3E-2</v>
      </c>
      <c r="X33">
        <v>46</v>
      </c>
      <c r="Y33">
        <v>0.05</v>
      </c>
      <c r="Z33">
        <f t="shared" si="8"/>
        <v>2.5000000000000001E-5</v>
      </c>
      <c r="AO33" s="4"/>
      <c r="AP33" s="3"/>
    </row>
    <row r="34" spans="9:50" x14ac:dyDescent="0.35">
      <c r="I34" s="4" t="s">
        <v>19</v>
      </c>
      <c r="J34" s="3">
        <v>0.8</v>
      </c>
      <c r="P34" s="4" t="s">
        <v>20</v>
      </c>
      <c r="Q34" s="3">
        <v>0.9</v>
      </c>
      <c r="R34">
        <v>38</v>
      </c>
      <c r="S34">
        <v>0.1</v>
      </c>
      <c r="T34">
        <f t="shared" si="7"/>
        <v>2.3684210526315791E-3</v>
      </c>
      <c r="V34" s="4" t="s">
        <v>20</v>
      </c>
      <c r="W34" s="3">
        <v>0.9</v>
      </c>
      <c r="X34">
        <v>46</v>
      </c>
      <c r="Y34">
        <v>0.1</v>
      </c>
      <c r="Z34">
        <f t="shared" si="8"/>
        <v>1.9565217391304349E-3</v>
      </c>
      <c r="AO34" s="4"/>
      <c r="AP34" s="3"/>
    </row>
    <row r="35" spans="9:50" x14ac:dyDescent="0.35">
      <c r="I35" s="4" t="s">
        <v>23</v>
      </c>
      <c r="J35" s="3">
        <v>2.3E-2</v>
      </c>
      <c r="P35" s="4" t="s">
        <v>13</v>
      </c>
      <c r="Q35" s="3">
        <v>0.14000000000000001</v>
      </c>
      <c r="R35">
        <v>38</v>
      </c>
      <c r="S35">
        <v>0.1</v>
      </c>
      <c r="T35">
        <f t="shared" si="7"/>
        <v>3.6842105263157896E-4</v>
      </c>
      <c r="V35" s="4" t="s">
        <v>13</v>
      </c>
      <c r="W35" s="3">
        <v>0.14000000000000001</v>
      </c>
      <c r="X35">
        <v>46</v>
      </c>
      <c r="Y35">
        <v>0.1</v>
      </c>
      <c r="Z35">
        <f t="shared" si="8"/>
        <v>3.0434782608695655E-4</v>
      </c>
      <c r="AB35" s="2" t="s">
        <v>7</v>
      </c>
      <c r="AC35" s="3">
        <v>204</v>
      </c>
      <c r="AD35">
        <v>1</v>
      </c>
      <c r="AE35">
        <v>0.1</v>
      </c>
      <c r="AF35">
        <f>(AE35/AD35*AC35)</f>
        <v>20.400000000000002</v>
      </c>
      <c r="AO35" s="4"/>
      <c r="AP35" s="3"/>
    </row>
    <row r="36" spans="9:50" x14ac:dyDescent="0.35">
      <c r="I36" s="4" t="s">
        <v>19</v>
      </c>
      <c r="J36" s="3">
        <v>0.8</v>
      </c>
      <c r="T36">
        <f>SUM(T31:T35)</f>
        <v>5.5039473684210527E-3</v>
      </c>
      <c r="Z36">
        <f>SUM(Z31:Z35)</f>
        <v>4.5467391304347829E-3</v>
      </c>
      <c r="AB36" s="4" t="s">
        <v>25</v>
      </c>
      <c r="AC36" s="3">
        <v>52</v>
      </c>
      <c r="AD36">
        <v>13</v>
      </c>
      <c r="AE36">
        <v>0.1</v>
      </c>
      <c r="AF36">
        <f>(AE36/AD36*AC36)</f>
        <v>0.4</v>
      </c>
    </row>
    <row r="38" spans="9:50" x14ac:dyDescent="0.35">
      <c r="P38" s="2" t="s">
        <v>7</v>
      </c>
      <c r="Q38" s="3">
        <v>204</v>
      </c>
      <c r="R38">
        <v>0.1</v>
      </c>
      <c r="S38">
        <v>0.05</v>
      </c>
      <c r="T38">
        <f>(S38/R38*Q38)</f>
        <v>102</v>
      </c>
      <c r="V38" s="2" t="s">
        <v>7</v>
      </c>
      <c r="W38" s="3">
        <v>204</v>
      </c>
      <c r="X38">
        <v>0.1</v>
      </c>
      <c r="Y38">
        <v>0.05</v>
      </c>
      <c r="Z38">
        <f>(Y38/X38*W38)</f>
        <v>102</v>
      </c>
      <c r="AE38" t="s">
        <v>37</v>
      </c>
      <c r="AF38" s="6">
        <f>1/((1/AF24)+2*((1/AF26)+(1/AF31))+(1/AF35)+(1/AF36))</f>
        <v>5.0700272220631374E-3</v>
      </c>
      <c r="AO38" s="2"/>
      <c r="AP38" s="3"/>
    </row>
    <row r="39" spans="9:50" x14ac:dyDescent="0.35">
      <c r="P39" s="4" t="s">
        <v>13</v>
      </c>
      <c r="Q39" s="3">
        <v>0.14000000000000001</v>
      </c>
      <c r="R39">
        <v>1.9</v>
      </c>
      <c r="S39">
        <v>0.05</v>
      </c>
      <c r="T39">
        <f>(S39/R39*Q39)</f>
        <v>3.6842105263157903E-3</v>
      </c>
      <c r="V39" s="4" t="s">
        <v>13</v>
      </c>
      <c r="W39" s="3">
        <v>0.14000000000000001</v>
      </c>
      <c r="X39">
        <v>1.9</v>
      </c>
      <c r="Y39">
        <v>0.05</v>
      </c>
      <c r="Z39">
        <f>(Y39/X39*W39)</f>
        <v>3.6842105263157903E-3</v>
      </c>
      <c r="AW39" s="1"/>
      <c r="AX39" s="1"/>
    </row>
    <row r="40" spans="9:50" x14ac:dyDescent="0.35">
      <c r="I40" t="s">
        <v>40</v>
      </c>
      <c r="P40" s="4"/>
      <c r="Q40" s="3"/>
      <c r="V40" s="4"/>
      <c r="W40" s="3"/>
      <c r="AB40" t="s">
        <v>41</v>
      </c>
      <c r="AO40" s="4"/>
      <c r="AP40" s="3"/>
      <c r="AU40" s="4"/>
      <c r="AV40" s="3"/>
    </row>
    <row r="41" spans="9:50" x14ac:dyDescent="0.35">
      <c r="I41" t="s">
        <v>14</v>
      </c>
      <c r="J41" t="s">
        <v>15</v>
      </c>
      <c r="K41" s="1" t="s">
        <v>16</v>
      </c>
      <c r="L41" s="1" t="s">
        <v>17</v>
      </c>
      <c r="M41" t="s">
        <v>18</v>
      </c>
      <c r="Q41" s="3"/>
      <c r="S41" s="4" t="s">
        <v>37</v>
      </c>
      <c r="T41">
        <f>1/((1/T36)+(1/T38)+(1/T39))</f>
        <v>2.2068909057980464E-3</v>
      </c>
      <c r="W41" s="3"/>
      <c r="Y41" s="4" t="s">
        <v>37</v>
      </c>
      <c r="Z41">
        <f>1/((1/Z36)+2*((1/Z38)+(1/Z39)))</f>
        <v>1.3109345408473261E-3</v>
      </c>
      <c r="AB41" t="s">
        <v>14</v>
      </c>
      <c r="AC41" t="s">
        <v>15</v>
      </c>
      <c r="AD41" s="1" t="s">
        <v>16</v>
      </c>
      <c r="AE41" s="1" t="s">
        <v>17</v>
      </c>
      <c r="AF41" t="s">
        <v>18</v>
      </c>
      <c r="AO41" s="4"/>
      <c r="AP41" s="3"/>
      <c r="AU41" s="4"/>
      <c r="AV41" s="3"/>
    </row>
    <row r="42" spans="9:50" x14ac:dyDescent="0.35">
      <c r="I42" t="s">
        <v>24</v>
      </c>
      <c r="J42" s="3">
        <v>2.24E-2</v>
      </c>
      <c r="K42">
        <v>200</v>
      </c>
      <c r="L42">
        <v>0.15</v>
      </c>
      <c r="M42">
        <f>(L42/K42*J42)</f>
        <v>1.6800000000000002E-5</v>
      </c>
      <c r="AB42" s="4" t="s">
        <v>12</v>
      </c>
      <c r="AC42" s="3">
        <v>0.2</v>
      </c>
      <c r="AD42">
        <v>44</v>
      </c>
      <c r="AE42">
        <v>1E-4</v>
      </c>
      <c r="AF42">
        <f>(AE42/AD42*AC42)</f>
        <v>4.5454545454545457E-7</v>
      </c>
      <c r="AO42" s="4"/>
      <c r="AP42" s="3"/>
      <c r="AU42" s="4"/>
      <c r="AV42" s="3"/>
    </row>
    <row r="43" spans="9:50" x14ac:dyDescent="0.35">
      <c r="I43" s="4" t="s">
        <v>20</v>
      </c>
      <c r="J43" s="3">
        <v>0.9</v>
      </c>
      <c r="K43">
        <v>200</v>
      </c>
      <c r="L43">
        <v>0.2</v>
      </c>
      <c r="M43">
        <f t="shared" ref="M43:M46" si="9">(L43/K43*J43)</f>
        <v>9.0000000000000008E-4</v>
      </c>
      <c r="P43" t="s">
        <v>42</v>
      </c>
      <c r="R43">
        <f>SUM(T41,2*T27,T13)</f>
        <v>1.4458629069187351E-2</v>
      </c>
      <c r="V43" t="s">
        <v>43</v>
      </c>
      <c r="X43">
        <f>SUM(Z41,Z22,2*Z13)</f>
        <v>3.3525934540847326E-2</v>
      </c>
      <c r="AB43" s="4" t="s">
        <v>20</v>
      </c>
      <c r="AC43" s="3">
        <v>0.9</v>
      </c>
      <c r="AD43">
        <v>44</v>
      </c>
      <c r="AE43">
        <v>0.1</v>
      </c>
      <c r="AF43">
        <f t="shared" ref="AF43:AF48" si="10">(AE43/AD43*AC43)</f>
        <v>2.0454545454545456E-3</v>
      </c>
      <c r="AU43" s="4"/>
      <c r="AV43" s="3"/>
    </row>
    <row r="44" spans="9:50" x14ac:dyDescent="0.35">
      <c r="I44" s="4" t="s">
        <v>23</v>
      </c>
      <c r="J44" s="3">
        <v>2.3E-2</v>
      </c>
      <c r="K44">
        <v>200</v>
      </c>
      <c r="L44">
        <v>0.1</v>
      </c>
      <c r="M44">
        <f t="shared" si="9"/>
        <v>1.15E-5</v>
      </c>
      <c r="AB44" s="4" t="s">
        <v>22</v>
      </c>
      <c r="AC44" s="3">
        <v>0.6</v>
      </c>
      <c r="AD44">
        <v>44</v>
      </c>
      <c r="AE44">
        <v>7.0000000000000007E-2</v>
      </c>
      <c r="AF44">
        <f t="shared" si="10"/>
        <v>9.5454545454545456E-4</v>
      </c>
      <c r="AU44" s="4"/>
      <c r="AV44" s="3"/>
    </row>
    <row r="45" spans="9:50" x14ac:dyDescent="0.35">
      <c r="I45" s="4" t="s">
        <v>20</v>
      </c>
      <c r="J45" s="3">
        <v>0.9</v>
      </c>
      <c r="K45">
        <v>200</v>
      </c>
      <c r="L45">
        <v>0.2</v>
      </c>
      <c r="M45">
        <f t="shared" si="9"/>
        <v>9.0000000000000008E-4</v>
      </c>
      <c r="AB45" s="4" t="s">
        <v>23</v>
      </c>
      <c r="AC45" s="3">
        <v>2.3E-2</v>
      </c>
      <c r="AD45">
        <v>44</v>
      </c>
      <c r="AE45">
        <v>0.1</v>
      </c>
      <c r="AF45">
        <f t="shared" si="10"/>
        <v>5.2272727272727281E-5</v>
      </c>
    </row>
    <row r="46" spans="9:50" x14ac:dyDescent="0.35">
      <c r="I46" s="4" t="s">
        <v>12</v>
      </c>
      <c r="J46" s="3">
        <v>0.2</v>
      </c>
      <c r="K46">
        <v>200</v>
      </c>
      <c r="L46">
        <v>1E-4</v>
      </c>
      <c r="M46">
        <f t="shared" si="9"/>
        <v>9.9999999999999995E-8</v>
      </c>
      <c r="P46" t="s">
        <v>44</v>
      </c>
      <c r="AB46" s="4" t="s">
        <v>22</v>
      </c>
      <c r="AC46" s="3">
        <v>0.6</v>
      </c>
      <c r="AD46">
        <v>44</v>
      </c>
      <c r="AE46">
        <v>7.0000000000000007E-2</v>
      </c>
      <c r="AF46">
        <f t="shared" ref="AF46" si="11">(AE46/AD46*AC46)</f>
        <v>9.5454545454545456E-4</v>
      </c>
    </row>
    <row r="47" spans="9:50" x14ac:dyDescent="0.35">
      <c r="M47">
        <f>SUM(M42:M46)</f>
        <v>1.8284000000000002E-3</v>
      </c>
      <c r="P47" t="s">
        <v>45</v>
      </c>
      <c r="R47">
        <f>SUM(T41,2*T27,T13)</f>
        <v>1.4458629069187351E-2</v>
      </c>
      <c r="AB47" s="4" t="s">
        <v>20</v>
      </c>
      <c r="AC47" s="3">
        <v>0.9</v>
      </c>
      <c r="AD47">
        <v>44</v>
      </c>
      <c r="AE47">
        <v>0.1</v>
      </c>
      <c r="AF47">
        <f t="shared" si="10"/>
        <v>2.0454545454545456E-3</v>
      </c>
      <c r="AO47" s="2"/>
      <c r="AP47" s="3"/>
    </row>
    <row r="48" spans="9:50" x14ac:dyDescent="0.35">
      <c r="AB48" s="4" t="s">
        <v>13</v>
      </c>
      <c r="AC48" s="3">
        <v>0.14000000000000001</v>
      </c>
      <c r="AD48">
        <v>44</v>
      </c>
      <c r="AE48">
        <v>0.1</v>
      </c>
      <c r="AF48">
        <f t="shared" si="10"/>
        <v>3.1818181818181826E-4</v>
      </c>
      <c r="AO48" s="4"/>
      <c r="AP48" s="3"/>
    </row>
    <row r="49" spans="9:45" x14ac:dyDescent="0.35">
      <c r="AF49">
        <f>SUM(AF42:AF48)</f>
        <v>6.3709090909090911E-3</v>
      </c>
    </row>
    <row r="50" spans="9:45" x14ac:dyDescent="0.35">
      <c r="I50" t="s">
        <v>14</v>
      </c>
      <c r="J50" t="s">
        <v>15</v>
      </c>
      <c r="K50" s="1" t="s">
        <v>16</v>
      </c>
      <c r="L50" s="1" t="s">
        <v>17</v>
      </c>
      <c r="M50" t="s">
        <v>18</v>
      </c>
      <c r="AS50" s="6"/>
    </row>
    <row r="51" spans="9:45" x14ac:dyDescent="0.35">
      <c r="I51" t="s">
        <v>24</v>
      </c>
      <c r="J51" s="3">
        <v>2.24E-2</v>
      </c>
      <c r="K51">
        <v>40</v>
      </c>
      <c r="L51">
        <v>0.15</v>
      </c>
      <c r="M51">
        <f>(L51/K51*J51)</f>
        <v>8.3999999999999995E-5</v>
      </c>
      <c r="AB51" s="2" t="s">
        <v>7</v>
      </c>
      <c r="AC51" s="3">
        <v>204</v>
      </c>
      <c r="AD51">
        <v>0.05</v>
      </c>
      <c r="AE51">
        <v>0.1</v>
      </c>
      <c r="AF51">
        <f>(AE51/AD51*AC51)</f>
        <v>408</v>
      </c>
    </row>
    <row r="52" spans="9:45" x14ac:dyDescent="0.35">
      <c r="I52" s="4" t="s">
        <v>20</v>
      </c>
      <c r="J52" s="3">
        <v>0.9</v>
      </c>
      <c r="K52">
        <v>40</v>
      </c>
      <c r="L52">
        <v>0.2</v>
      </c>
      <c r="M52">
        <f t="shared" ref="M52:M55" si="12">(L52/K52*J52)</f>
        <v>4.5000000000000005E-3</v>
      </c>
    </row>
    <row r="53" spans="9:45" x14ac:dyDescent="0.35">
      <c r="I53" s="4" t="s">
        <v>23</v>
      </c>
      <c r="J53" s="3">
        <v>2.3E-2</v>
      </c>
      <c r="K53">
        <v>40</v>
      </c>
      <c r="L53">
        <v>0.1</v>
      </c>
      <c r="M53">
        <f t="shared" si="12"/>
        <v>5.7500000000000002E-5</v>
      </c>
      <c r="P53" t="s">
        <v>46</v>
      </c>
      <c r="AB53" s="4" t="s">
        <v>19</v>
      </c>
      <c r="AC53" s="3">
        <v>0.8</v>
      </c>
      <c r="AD53">
        <v>1.45</v>
      </c>
      <c r="AE53">
        <v>0.02</v>
      </c>
      <c r="AF53">
        <f>(AE53/AD53*AC53)</f>
        <v>1.1034482758620692E-2</v>
      </c>
    </row>
    <row r="54" spans="9:45" x14ac:dyDescent="0.35">
      <c r="I54" s="4" t="s">
        <v>20</v>
      </c>
      <c r="J54" s="3">
        <v>0.9</v>
      </c>
      <c r="K54">
        <v>40</v>
      </c>
      <c r="L54">
        <v>0.2</v>
      </c>
      <c r="M54">
        <f t="shared" si="12"/>
        <v>4.5000000000000005E-3</v>
      </c>
      <c r="AB54" s="4" t="s">
        <v>23</v>
      </c>
      <c r="AC54" s="3">
        <v>2.3E-2</v>
      </c>
      <c r="AD54">
        <v>1.45</v>
      </c>
      <c r="AE54">
        <v>0.01</v>
      </c>
      <c r="AF54">
        <f>(AE54/AD54*AC54)</f>
        <v>1.5862068965517243E-4</v>
      </c>
    </row>
    <row r="55" spans="9:45" x14ac:dyDescent="0.35">
      <c r="I55" s="4" t="s">
        <v>12</v>
      </c>
      <c r="J55" s="3">
        <v>0.2</v>
      </c>
      <c r="K55">
        <v>40</v>
      </c>
      <c r="L55">
        <v>1E-4</v>
      </c>
      <c r="M55">
        <f t="shared" si="12"/>
        <v>5.0000000000000008E-7</v>
      </c>
      <c r="AB55" s="4" t="s">
        <v>19</v>
      </c>
      <c r="AC55" s="3">
        <v>0.8</v>
      </c>
      <c r="AD55">
        <v>1.45</v>
      </c>
      <c r="AE55">
        <v>0.02</v>
      </c>
      <c r="AF55">
        <f>(AE55/AD55*AC55)</f>
        <v>1.1034482758620692E-2</v>
      </c>
    </row>
    <row r="56" spans="9:45" x14ac:dyDescent="0.35">
      <c r="M56">
        <f>SUM(M51:M55)</f>
        <v>9.1420000000000008E-3</v>
      </c>
      <c r="AF56">
        <f>SUM(AF53:AF55)</f>
        <v>2.2227586206896556E-2</v>
      </c>
    </row>
    <row r="60" spans="9:45" x14ac:dyDescent="0.35">
      <c r="AB60" s="2" t="s">
        <v>7</v>
      </c>
      <c r="AC60" s="3">
        <v>204</v>
      </c>
      <c r="AD60">
        <v>0.2</v>
      </c>
      <c r="AE60">
        <v>0.05</v>
      </c>
      <c r="AF60">
        <f>(AE60/AD60*AC60)</f>
        <v>51</v>
      </c>
    </row>
    <row r="61" spans="9:45" x14ac:dyDescent="0.35">
      <c r="AB61" s="4" t="s">
        <v>25</v>
      </c>
      <c r="AC61" s="3">
        <v>52</v>
      </c>
      <c r="AD61">
        <v>4.3</v>
      </c>
      <c r="AE61">
        <v>0.05</v>
      </c>
      <c r="AF61">
        <f>(AE61/AD61*AC61)</f>
        <v>0.60465116279069775</v>
      </c>
    </row>
    <row r="63" spans="9:45" ht="18.5" x14ac:dyDescent="0.45">
      <c r="P63" t="s">
        <v>47</v>
      </c>
      <c r="V63" t="s">
        <v>48</v>
      </c>
      <c r="W63" s="7" t="s">
        <v>4</v>
      </c>
      <c r="AE63" t="s">
        <v>37</v>
      </c>
      <c r="AF63" s="6">
        <f>1/((1/AF49)+2*((1/AF51)+(1/AF56))+(1/AF60)+(1/AF61))</f>
        <v>4.0222008208839945E-3</v>
      </c>
    </row>
    <row r="64" spans="9:45" x14ac:dyDescent="0.35">
      <c r="P64" t="s">
        <v>4</v>
      </c>
      <c r="Q64" t="s">
        <v>49</v>
      </c>
      <c r="T64">
        <f>T13</f>
        <v>7.0080000000000003E-3</v>
      </c>
      <c r="W64" t="s">
        <v>50</v>
      </c>
      <c r="Z64">
        <f>T13</f>
        <v>7.0080000000000003E-3</v>
      </c>
    </row>
    <row r="65" spans="12:62" x14ac:dyDescent="0.35">
      <c r="AD65" t="s">
        <v>51</v>
      </c>
      <c r="AF65">
        <f>SUM(AF63,AF38,2*AF13)</f>
        <v>1.4698628042947134E-2</v>
      </c>
    </row>
    <row r="66" spans="12:62" x14ac:dyDescent="0.35">
      <c r="Q66" t="s">
        <v>52</v>
      </c>
      <c r="S66">
        <f>25</f>
        <v>25</v>
      </c>
      <c r="W66" t="s">
        <v>52</v>
      </c>
      <c r="Y66">
        <v>30</v>
      </c>
    </row>
    <row r="68" spans="12:62" x14ac:dyDescent="0.35">
      <c r="L68" t="s">
        <v>103</v>
      </c>
      <c r="O68">
        <v>9.1420000000000008E-3</v>
      </c>
      <c r="Q68" t="s">
        <v>53</v>
      </c>
      <c r="R68">
        <f>25/(T64)</f>
        <v>3567.3515981735159</v>
      </c>
      <c r="T68">
        <f>R68+M72</f>
        <v>6301.9829698646117</v>
      </c>
      <c r="W68" t="s">
        <v>53</v>
      </c>
      <c r="X68">
        <f>30/(Z64)</f>
        <v>4280.821917808219</v>
      </c>
      <c r="AB68" t="s">
        <v>54</v>
      </c>
      <c r="AS68" t="s">
        <v>55</v>
      </c>
      <c r="AY68" t="s">
        <v>56</v>
      </c>
      <c r="BE68" t="s">
        <v>57</v>
      </c>
      <c r="BJ68" t="s">
        <v>58</v>
      </c>
    </row>
    <row r="69" spans="12:62" ht="18.5" x14ac:dyDescent="0.45">
      <c r="Q69" t="s">
        <v>59</v>
      </c>
      <c r="R69">
        <f>R68*3600</f>
        <v>12842465.753424658</v>
      </c>
      <c r="T69">
        <f>R69+M73</f>
        <v>22687138.691512603</v>
      </c>
      <c r="W69" t="s">
        <v>59</v>
      </c>
      <c r="X69">
        <f>X68*3600</f>
        <v>15410958.904109588</v>
      </c>
      <c r="AB69">
        <v>1</v>
      </c>
      <c r="AC69" s="10" t="s">
        <v>60</v>
      </c>
      <c r="AD69" s="10"/>
      <c r="AE69" s="10"/>
      <c r="AF69" s="10"/>
      <c r="AG69" s="10"/>
      <c r="AH69" s="10"/>
      <c r="AS69">
        <v>2</v>
      </c>
      <c r="AT69" s="7" t="s">
        <v>4</v>
      </c>
      <c r="AY69" t="s">
        <v>61</v>
      </c>
      <c r="BE69" t="s">
        <v>62</v>
      </c>
      <c r="BJ69" t="s">
        <v>63</v>
      </c>
    </row>
    <row r="70" spans="12:62" x14ac:dyDescent="0.35">
      <c r="L70" t="s">
        <v>52</v>
      </c>
      <c r="N70">
        <f>25</f>
        <v>25</v>
      </c>
      <c r="AT70" t="s">
        <v>50</v>
      </c>
      <c r="AW70">
        <f>AF86</f>
        <v>9.2530000000000008E-3</v>
      </c>
      <c r="BJ70" t="s">
        <v>64</v>
      </c>
    </row>
    <row r="71" spans="12:62" x14ac:dyDescent="0.35">
      <c r="P71" t="s">
        <v>65</v>
      </c>
      <c r="Q71" t="s">
        <v>49</v>
      </c>
      <c r="T71">
        <f>T13</f>
        <v>7.0080000000000003E-3</v>
      </c>
      <c r="AY71" t="s">
        <v>66</v>
      </c>
      <c r="AZ71">
        <f>SUM(X174,X181,X188,X195,AC200)</f>
        <v>7553.2918074940444</v>
      </c>
      <c r="BE71" t="s">
        <v>66</v>
      </c>
      <c r="BF71">
        <f>AU205</f>
        <v>-22460.801331611783</v>
      </c>
    </row>
    <row r="72" spans="12:62" x14ac:dyDescent="0.35">
      <c r="L72" t="s">
        <v>53</v>
      </c>
      <c r="M72">
        <f>25/(O68)</f>
        <v>2734.6313716910959</v>
      </c>
      <c r="W72" t="s">
        <v>67</v>
      </c>
      <c r="Z72">
        <f>T41</f>
        <v>2.2068909057980464E-3</v>
      </c>
      <c r="AB72" t="s">
        <v>4</v>
      </c>
      <c r="AH72" t="s">
        <v>5</v>
      </c>
      <c r="AN72" t="s">
        <v>66</v>
      </c>
      <c r="AT72" t="s">
        <v>52</v>
      </c>
      <c r="AV72">
        <v>30</v>
      </c>
    </row>
    <row r="73" spans="12:62" x14ac:dyDescent="0.35">
      <c r="L73" t="s">
        <v>59</v>
      </c>
      <c r="M73">
        <f>M72*3600</f>
        <v>9844672.9380879458</v>
      </c>
      <c r="Q73" t="s">
        <v>52</v>
      </c>
      <c r="S73">
        <f>15</f>
        <v>15</v>
      </c>
      <c r="AB73" t="s">
        <v>8</v>
      </c>
      <c r="AH73" t="s">
        <v>9</v>
      </c>
      <c r="AN73" t="s">
        <v>9</v>
      </c>
      <c r="AY73" t="s">
        <v>68</v>
      </c>
      <c r="AZ73">
        <f>SUM(X207,X214,X221,AC207)</f>
        <v>22333.842878351945</v>
      </c>
      <c r="BE73" t="s">
        <v>68</v>
      </c>
      <c r="BF73">
        <f>AU239</f>
        <v>1099.862576695838</v>
      </c>
    </row>
    <row r="74" spans="12:62" x14ac:dyDescent="0.35">
      <c r="W74" t="s">
        <v>52</v>
      </c>
      <c r="Y74">
        <v>10</v>
      </c>
      <c r="AB74" t="s">
        <v>14</v>
      </c>
      <c r="AC74" t="s">
        <v>15</v>
      </c>
      <c r="AD74" s="1" t="s">
        <v>16</v>
      </c>
      <c r="AE74" s="1" t="s">
        <v>17</v>
      </c>
      <c r="AF74" t="s">
        <v>18</v>
      </c>
      <c r="AH74" t="s">
        <v>14</v>
      </c>
      <c r="AI74" t="s">
        <v>15</v>
      </c>
      <c r="AJ74" s="1" t="s">
        <v>16</v>
      </c>
      <c r="AK74" s="1" t="s">
        <v>17</v>
      </c>
      <c r="AL74" t="s">
        <v>18</v>
      </c>
      <c r="AN74" t="s">
        <v>14</v>
      </c>
      <c r="AO74" t="s">
        <v>15</v>
      </c>
      <c r="AP74" s="1" t="s">
        <v>16</v>
      </c>
      <c r="AQ74" s="1" t="s">
        <v>17</v>
      </c>
      <c r="AR74" t="s">
        <v>18</v>
      </c>
      <c r="AT74" t="s">
        <v>53</v>
      </c>
      <c r="AU74">
        <f>30/AW70</f>
        <v>3242.1917216038037</v>
      </c>
    </row>
    <row r="75" spans="12:62" x14ac:dyDescent="0.35">
      <c r="L75" t="s">
        <v>102</v>
      </c>
      <c r="O75">
        <v>9.1420000000000008E-3</v>
      </c>
      <c r="Q75" t="s">
        <v>53</v>
      </c>
      <c r="R75">
        <f>15/(T71+T72)</f>
        <v>2140.4109589041095</v>
      </c>
      <c r="T75">
        <f>R75+M79</f>
        <v>3781.189781918767</v>
      </c>
      <c r="AB75" s="4" t="s">
        <v>12</v>
      </c>
      <c r="AC75" s="3">
        <v>0.2</v>
      </c>
      <c r="AD75">
        <v>40</v>
      </c>
      <c r="AE75">
        <v>1E-4</v>
      </c>
      <c r="AF75">
        <f>(AE75/AD75*AC75)</f>
        <v>5.0000000000000008E-7</v>
      </c>
      <c r="AH75" s="4" t="s">
        <v>12</v>
      </c>
      <c r="AI75" s="3">
        <v>0.2</v>
      </c>
      <c r="AJ75">
        <v>20</v>
      </c>
      <c r="AK75">
        <v>1E-4</v>
      </c>
      <c r="AL75">
        <f>(AK75/AJ75*AI75)</f>
        <v>1.0000000000000002E-6</v>
      </c>
      <c r="AN75" s="4" t="s">
        <v>12</v>
      </c>
      <c r="AO75" s="3">
        <v>0.2</v>
      </c>
      <c r="AP75">
        <v>20</v>
      </c>
      <c r="AQ75">
        <v>1E-4</v>
      </c>
      <c r="AR75">
        <f>(AQ75/AP75*AO75)</f>
        <v>1.0000000000000002E-6</v>
      </c>
      <c r="AT75" t="s">
        <v>59</v>
      </c>
      <c r="AU75">
        <f>AU74*3600</f>
        <v>11671890.197773693</v>
      </c>
      <c r="AY75" t="s">
        <v>4</v>
      </c>
      <c r="AZ75">
        <f>SUM(X68,X76,X83,X92,AC179)</f>
        <v>29256.969529156675</v>
      </c>
      <c r="BE75" t="s">
        <v>4</v>
      </c>
      <c r="BF75">
        <f>AU103</f>
        <v>39975.16517113075</v>
      </c>
    </row>
    <row r="76" spans="12:62" x14ac:dyDescent="0.35">
      <c r="T76">
        <f>R77+M80</f>
        <v>13612283.21490756</v>
      </c>
      <c r="W76" t="s">
        <v>53</v>
      </c>
      <c r="X76">
        <f>10/Z72</f>
        <v>4531.2615923730236</v>
      </c>
      <c r="AB76" s="4" t="s">
        <v>20</v>
      </c>
      <c r="AC76" s="3">
        <v>0.9</v>
      </c>
      <c r="AD76">
        <v>40</v>
      </c>
      <c r="AE76">
        <v>0.1</v>
      </c>
      <c r="AF76">
        <f t="shared" ref="AF76" si="13">(AE76/AD76*AC76)</f>
        <v>2.2500000000000003E-3</v>
      </c>
      <c r="AH76" s="4" t="s">
        <v>20</v>
      </c>
      <c r="AI76" s="3">
        <v>0.9</v>
      </c>
      <c r="AJ76">
        <v>20</v>
      </c>
      <c r="AK76">
        <v>0.1</v>
      </c>
      <c r="AL76">
        <f t="shared" ref="AL76:AL85" si="14">(AK76/AJ76*AI76)</f>
        <v>4.5000000000000005E-3</v>
      </c>
      <c r="AN76" s="4" t="s">
        <v>20</v>
      </c>
      <c r="AO76" s="3">
        <v>0.9</v>
      </c>
      <c r="AP76">
        <v>20</v>
      </c>
      <c r="AQ76">
        <v>0.1</v>
      </c>
      <c r="AR76">
        <f t="shared" ref="AR76:AR85" si="15">(AQ76/AP76*AO76)</f>
        <v>4.5000000000000005E-3</v>
      </c>
    </row>
    <row r="77" spans="12:62" x14ac:dyDescent="0.35">
      <c r="L77" t="s">
        <v>52</v>
      </c>
      <c r="N77">
        <v>15</v>
      </c>
      <c r="Q77" t="s">
        <v>69</v>
      </c>
      <c r="R77">
        <f>R75*3600</f>
        <v>7705479.4520547939</v>
      </c>
      <c r="W77" t="s">
        <v>59</v>
      </c>
      <c r="X77">
        <f>X76*3600</f>
        <v>16312541.732542885</v>
      </c>
      <c r="AB77" s="4" t="s">
        <v>22</v>
      </c>
      <c r="AC77" s="3">
        <v>0.6</v>
      </c>
      <c r="AD77">
        <v>40</v>
      </c>
      <c r="AE77">
        <v>7.0000000000000007E-2</v>
      </c>
      <c r="AF77">
        <f>(AE77/AD77*AC77)</f>
        <v>1.0500000000000002E-3</v>
      </c>
      <c r="AH77" s="4" t="s">
        <v>22</v>
      </c>
      <c r="AI77" s="3">
        <v>0.6</v>
      </c>
      <c r="AJ77">
        <v>20</v>
      </c>
      <c r="AK77">
        <v>7.0000000000000007E-2</v>
      </c>
      <c r="AL77">
        <f t="shared" si="14"/>
        <v>2.1000000000000003E-3</v>
      </c>
      <c r="AN77" s="4" t="s">
        <v>22</v>
      </c>
      <c r="AO77" s="3">
        <v>0.6</v>
      </c>
      <c r="AP77">
        <v>20</v>
      </c>
      <c r="AQ77">
        <v>7.0000000000000007E-2</v>
      </c>
      <c r="AR77">
        <f t="shared" si="15"/>
        <v>2.1000000000000003E-3</v>
      </c>
      <c r="AY77" t="s">
        <v>65</v>
      </c>
      <c r="AZ77">
        <f>SUM(X104,X112,X120,X128,AC186)</f>
        <v>19108.03039767922</v>
      </c>
      <c r="BE77" t="s">
        <v>65</v>
      </c>
      <c r="BF77">
        <f>AU139</f>
        <v>25774.941397201394</v>
      </c>
    </row>
    <row r="78" spans="12:62" x14ac:dyDescent="0.35">
      <c r="AB78" s="4" t="s">
        <v>23</v>
      </c>
      <c r="AC78" s="3">
        <v>2.3E-2</v>
      </c>
      <c r="AD78">
        <v>40</v>
      </c>
      <c r="AE78">
        <v>0.1</v>
      </c>
      <c r="AF78">
        <f t="shared" ref="AF78:AF85" si="16">(AE78/AD78*AC78)</f>
        <v>5.7500000000000002E-5</v>
      </c>
      <c r="AH78" s="4" t="s">
        <v>23</v>
      </c>
      <c r="AI78" s="3">
        <v>2.3E-2</v>
      </c>
      <c r="AJ78">
        <v>20</v>
      </c>
      <c r="AK78">
        <v>0.1</v>
      </c>
      <c r="AL78">
        <f t="shared" si="14"/>
        <v>1.15E-4</v>
      </c>
      <c r="AN78" s="4" t="s">
        <v>23</v>
      </c>
      <c r="AO78" s="3">
        <v>2.3E-2</v>
      </c>
      <c r="AP78">
        <v>20</v>
      </c>
      <c r="AQ78">
        <v>0.1</v>
      </c>
      <c r="AR78">
        <f t="shared" si="15"/>
        <v>1.15E-4</v>
      </c>
      <c r="AT78" t="s">
        <v>67</v>
      </c>
      <c r="AW78">
        <f>AF122</f>
        <v>1.5640336479244479E-3</v>
      </c>
    </row>
    <row r="79" spans="12:62" x14ac:dyDescent="0.35">
      <c r="L79" t="s">
        <v>53</v>
      </c>
      <c r="M79">
        <f>15/(O75)</f>
        <v>1640.7788230146575</v>
      </c>
      <c r="P79" t="s">
        <v>5</v>
      </c>
      <c r="Q79" t="s">
        <v>49</v>
      </c>
      <c r="T79">
        <f>2*Z13</f>
        <v>2.8032000000000001E-2</v>
      </c>
      <c r="W79" t="s">
        <v>70</v>
      </c>
      <c r="Z79">
        <f>T27</f>
        <v>2.6218690816946521E-3</v>
      </c>
      <c r="AB79" s="4" t="s">
        <v>22</v>
      </c>
      <c r="AC79" s="3">
        <v>0.6</v>
      </c>
      <c r="AD79">
        <v>40</v>
      </c>
      <c r="AE79">
        <v>7.0000000000000007E-2</v>
      </c>
      <c r="AF79">
        <f t="shared" si="16"/>
        <v>1.0500000000000002E-3</v>
      </c>
      <c r="AH79" s="4" t="s">
        <v>22</v>
      </c>
      <c r="AI79" s="3">
        <v>0.6</v>
      </c>
      <c r="AJ79">
        <v>20</v>
      </c>
      <c r="AK79">
        <v>7.0000000000000007E-2</v>
      </c>
      <c r="AL79">
        <f t="shared" si="14"/>
        <v>2.1000000000000003E-3</v>
      </c>
      <c r="AN79" s="4" t="s">
        <v>22</v>
      </c>
      <c r="AO79" s="3">
        <v>0.6</v>
      </c>
      <c r="AP79">
        <v>20</v>
      </c>
      <c r="AQ79">
        <v>7.0000000000000007E-2</v>
      </c>
      <c r="AR79">
        <f t="shared" si="15"/>
        <v>2.1000000000000003E-3</v>
      </c>
      <c r="AY79" t="s">
        <v>5</v>
      </c>
      <c r="AZ79">
        <f>SUM(X140,X148,X155,X162,AC193)</f>
        <v>-15001.018546248124</v>
      </c>
      <c r="BE79" t="s">
        <v>5</v>
      </c>
      <c r="BF79">
        <f>AU171</f>
        <v>-23322.086130941425</v>
      </c>
    </row>
    <row r="80" spans="12:62" x14ac:dyDescent="0.35">
      <c r="L80" t="s">
        <v>59</v>
      </c>
      <c r="M80">
        <f>M79*3600</f>
        <v>5906803.7628527675</v>
      </c>
      <c r="AB80" s="4" t="s">
        <v>11</v>
      </c>
      <c r="AC80" s="5">
        <v>3.5000000000000003E-2</v>
      </c>
      <c r="AD80">
        <v>40</v>
      </c>
      <c r="AE80">
        <v>0.1</v>
      </c>
      <c r="AF80">
        <f t="shared" si="16"/>
        <v>8.7500000000000013E-5</v>
      </c>
      <c r="AH80" s="4" t="s">
        <v>11</v>
      </c>
      <c r="AI80" s="5">
        <v>3.5000000000000003E-2</v>
      </c>
      <c r="AJ80">
        <v>20</v>
      </c>
      <c r="AK80">
        <v>0.1</v>
      </c>
      <c r="AL80">
        <f t="shared" si="14"/>
        <v>1.7500000000000003E-4</v>
      </c>
      <c r="AN80" s="4" t="s">
        <v>11</v>
      </c>
      <c r="AO80" s="5">
        <v>3.5000000000000003E-2</v>
      </c>
      <c r="AP80">
        <v>20</v>
      </c>
      <c r="AQ80">
        <v>0.1</v>
      </c>
      <c r="AR80">
        <f t="shared" si="15"/>
        <v>1.7500000000000003E-4</v>
      </c>
      <c r="AT80" t="s">
        <v>52</v>
      </c>
      <c r="AV80">
        <v>10</v>
      </c>
    </row>
    <row r="81" spans="12:58" x14ac:dyDescent="0.35">
      <c r="Q81" t="s">
        <v>52</v>
      </c>
      <c r="S81">
        <v>5</v>
      </c>
      <c r="W81" t="s">
        <v>52</v>
      </c>
      <c r="Y81">
        <v>20</v>
      </c>
      <c r="AB81" s="4" t="s">
        <v>22</v>
      </c>
      <c r="AC81" s="3">
        <v>0.6</v>
      </c>
      <c r="AD81">
        <v>40</v>
      </c>
      <c r="AE81">
        <v>7.0000000000000007E-2</v>
      </c>
      <c r="AF81">
        <f>(AE81/AD81*AC81)</f>
        <v>1.0500000000000002E-3</v>
      </c>
      <c r="AH81" s="4" t="s">
        <v>22</v>
      </c>
      <c r="AI81" s="3">
        <v>0.6</v>
      </c>
      <c r="AJ81">
        <v>20</v>
      </c>
      <c r="AK81">
        <v>7.0000000000000007E-2</v>
      </c>
      <c r="AL81">
        <f t="shared" ref="AL81:AL83" si="17">(AK81/AJ81*AI81)</f>
        <v>2.1000000000000003E-3</v>
      </c>
      <c r="AN81" s="4" t="s">
        <v>22</v>
      </c>
      <c r="AO81" s="3">
        <v>0.6</v>
      </c>
      <c r="AP81">
        <v>20</v>
      </c>
      <c r="AQ81">
        <v>7.0000000000000007E-2</v>
      </c>
      <c r="AR81">
        <f t="shared" si="15"/>
        <v>2.1000000000000003E-3</v>
      </c>
      <c r="AY81" t="s">
        <v>71</v>
      </c>
      <c r="AZ81">
        <f>SUM(AZ71,AZ73,AZ75,AZ77,AZ79)</f>
        <v>63251.116066433759</v>
      </c>
      <c r="BE81" t="s">
        <v>71</v>
      </c>
      <c r="BF81">
        <f>BF79+BF77+BF75+BF73+BF71</f>
        <v>21067.081682474771</v>
      </c>
    </row>
    <row r="82" spans="12:58" x14ac:dyDescent="0.35">
      <c r="L82" t="s">
        <v>101</v>
      </c>
      <c r="O82">
        <v>9.1420000000000008E-3</v>
      </c>
      <c r="AB82" s="4" t="s">
        <v>23</v>
      </c>
      <c r="AC82" s="3">
        <v>2.3E-2</v>
      </c>
      <c r="AD82">
        <v>40</v>
      </c>
      <c r="AE82">
        <v>0.1</v>
      </c>
      <c r="AF82">
        <f t="shared" ref="AF82:AF83" si="18">(AE82/AD82*AC82)</f>
        <v>5.7500000000000002E-5</v>
      </c>
      <c r="AH82" s="4" t="s">
        <v>23</v>
      </c>
      <c r="AI82" s="3">
        <v>2.3E-2</v>
      </c>
      <c r="AJ82">
        <v>20</v>
      </c>
      <c r="AK82">
        <v>0.1</v>
      </c>
      <c r="AL82">
        <f t="shared" si="17"/>
        <v>1.15E-4</v>
      </c>
      <c r="AN82" s="4" t="s">
        <v>23</v>
      </c>
      <c r="AO82" s="3">
        <v>2.3E-2</v>
      </c>
      <c r="AP82">
        <v>20</v>
      </c>
      <c r="AQ82">
        <v>0.1</v>
      </c>
      <c r="AR82">
        <f t="shared" si="15"/>
        <v>1.15E-4</v>
      </c>
      <c r="AT82" t="s">
        <v>53</v>
      </c>
      <c r="AU82">
        <f>10/AW78</f>
        <v>6393.7243378814183</v>
      </c>
    </row>
    <row r="83" spans="12:58" x14ac:dyDescent="0.35">
      <c r="Q83" t="s">
        <v>53</v>
      </c>
      <c r="R83">
        <f>5/(T79+T80)</f>
        <v>178.36757990867579</v>
      </c>
      <c r="T83">
        <f>R83+M86</f>
        <v>725.29385424689497</v>
      </c>
      <c r="W83" t="s">
        <v>53</v>
      </c>
      <c r="X83">
        <f>20/Z79</f>
        <v>7628.1459435316074</v>
      </c>
      <c r="AB83" s="4" t="s">
        <v>22</v>
      </c>
      <c r="AC83" s="3">
        <v>0.6</v>
      </c>
      <c r="AD83">
        <v>40</v>
      </c>
      <c r="AE83">
        <v>7.0000000000000007E-2</v>
      </c>
      <c r="AF83">
        <f t="shared" si="18"/>
        <v>1.0500000000000002E-3</v>
      </c>
      <c r="AH83" s="4" t="s">
        <v>22</v>
      </c>
      <c r="AI83" s="3">
        <v>0.6</v>
      </c>
      <c r="AJ83">
        <v>20</v>
      </c>
      <c r="AK83">
        <v>7.0000000000000007E-2</v>
      </c>
      <c r="AL83">
        <f t="shared" si="17"/>
        <v>2.1000000000000003E-3</v>
      </c>
      <c r="AN83" s="4" t="s">
        <v>22</v>
      </c>
      <c r="AO83" s="3">
        <v>0.6</v>
      </c>
      <c r="AP83">
        <v>20</v>
      </c>
      <c r="AQ83">
        <v>7.0000000000000007E-2</v>
      </c>
      <c r="AR83">
        <f t="shared" si="15"/>
        <v>2.1000000000000003E-3</v>
      </c>
      <c r="AT83" t="s">
        <v>59</v>
      </c>
      <c r="AU83">
        <f>AU82*3600</f>
        <v>23017407.616373107</v>
      </c>
      <c r="AY83" t="s">
        <v>72</v>
      </c>
    </row>
    <row r="84" spans="12:58" x14ac:dyDescent="0.35">
      <c r="L84" t="s">
        <v>52</v>
      </c>
      <c r="N84">
        <v>5</v>
      </c>
      <c r="T84">
        <f>R85+M87</f>
        <v>2611057.8752888218</v>
      </c>
      <c r="W84" t="s">
        <v>59</v>
      </c>
      <c r="X84">
        <f>X83*3600</f>
        <v>27461325.396713786</v>
      </c>
      <c r="AB84" s="4" t="s">
        <v>20</v>
      </c>
      <c r="AC84" s="3">
        <v>0.9</v>
      </c>
      <c r="AD84">
        <v>40</v>
      </c>
      <c r="AE84">
        <v>0.1</v>
      </c>
      <c r="AF84">
        <f t="shared" si="16"/>
        <v>2.2500000000000003E-3</v>
      </c>
      <c r="AH84" s="4" t="s">
        <v>20</v>
      </c>
      <c r="AI84" s="3">
        <v>0.9</v>
      </c>
      <c r="AJ84">
        <v>20</v>
      </c>
      <c r="AK84">
        <v>0.1</v>
      </c>
      <c r="AL84">
        <f t="shared" si="14"/>
        <v>4.5000000000000005E-3</v>
      </c>
      <c r="AN84" s="4" t="s">
        <v>20</v>
      </c>
      <c r="AO84" s="3">
        <v>0.9</v>
      </c>
      <c r="AP84">
        <v>20</v>
      </c>
      <c r="AQ84">
        <v>0.1</v>
      </c>
      <c r="AR84">
        <f t="shared" si="15"/>
        <v>4.5000000000000005E-3</v>
      </c>
    </row>
    <row r="85" spans="12:58" x14ac:dyDescent="0.35">
      <c r="Q85" t="s">
        <v>69</v>
      </c>
      <c r="R85">
        <f>R83*3600</f>
        <v>642123.28767123283</v>
      </c>
      <c r="AB85" s="4" t="s">
        <v>13</v>
      </c>
      <c r="AC85" s="3">
        <v>0.14000000000000001</v>
      </c>
      <c r="AD85">
        <v>40</v>
      </c>
      <c r="AE85">
        <v>0.1</v>
      </c>
      <c r="AF85">
        <f t="shared" si="16"/>
        <v>3.5000000000000005E-4</v>
      </c>
      <c r="AH85" s="4" t="s">
        <v>13</v>
      </c>
      <c r="AI85" s="3">
        <v>0.14000000000000001</v>
      </c>
      <c r="AJ85">
        <v>20</v>
      </c>
      <c r="AK85">
        <v>0.1</v>
      </c>
      <c r="AL85">
        <f t="shared" si="14"/>
        <v>7.000000000000001E-4</v>
      </c>
      <c r="AN85" s="4" t="s">
        <v>13</v>
      </c>
      <c r="AO85" s="3">
        <v>0.14000000000000001</v>
      </c>
      <c r="AP85">
        <v>20</v>
      </c>
      <c r="AQ85">
        <v>0.1</v>
      </c>
      <c r="AR85">
        <f t="shared" si="15"/>
        <v>7.000000000000001E-4</v>
      </c>
      <c r="AT85" t="s">
        <v>70</v>
      </c>
      <c r="AW85">
        <f>AF104</f>
        <v>1.6631130581551694E-3</v>
      </c>
      <c r="AY85" t="s">
        <v>66</v>
      </c>
      <c r="AZ85">
        <f>SUM(X341,X348,X355,X362,AC384)</f>
        <v>7553.2918074940444</v>
      </c>
    </row>
    <row r="86" spans="12:58" x14ac:dyDescent="0.35">
      <c r="L86" t="s">
        <v>53</v>
      </c>
      <c r="M86">
        <f>5/(O82)</f>
        <v>546.92627433821917</v>
      </c>
      <c r="AF86">
        <f>SUM(AF75:AF85)</f>
        <v>9.2530000000000008E-3</v>
      </c>
      <c r="AL86">
        <f>SUM(AL75:AL85)</f>
        <v>1.8506000000000002E-2</v>
      </c>
      <c r="AR86">
        <f>SUM(AR75:AR85)</f>
        <v>1.8506000000000002E-2</v>
      </c>
    </row>
    <row r="87" spans="12:58" x14ac:dyDescent="0.35">
      <c r="L87" t="s">
        <v>59</v>
      </c>
      <c r="M87">
        <f>M86*3600</f>
        <v>1968934.5876175889</v>
      </c>
      <c r="AT87" t="s">
        <v>52</v>
      </c>
      <c r="AV87">
        <v>20</v>
      </c>
      <c r="AY87" t="s">
        <v>68</v>
      </c>
      <c r="AZ87">
        <f>SUM(X374,X381,X388,AC391)</f>
        <v>22333.842878351945</v>
      </c>
    </row>
    <row r="88" spans="12:58" x14ac:dyDescent="0.35">
      <c r="W88" t="s">
        <v>73</v>
      </c>
      <c r="Z88">
        <f>T27</f>
        <v>2.6218690816946521E-3</v>
      </c>
      <c r="AB88" t="s">
        <v>27</v>
      </c>
      <c r="AH88" t="s">
        <v>28</v>
      </c>
      <c r="AN88" t="s">
        <v>29</v>
      </c>
    </row>
    <row r="89" spans="12:58" x14ac:dyDescent="0.35">
      <c r="AB89" t="s">
        <v>14</v>
      </c>
      <c r="AC89" t="s">
        <v>15</v>
      </c>
      <c r="AD89" s="1" t="s">
        <v>16</v>
      </c>
      <c r="AE89" s="1" t="s">
        <v>17</v>
      </c>
      <c r="AF89" t="s">
        <v>18</v>
      </c>
      <c r="AH89" t="s">
        <v>14</v>
      </c>
      <c r="AI89" t="s">
        <v>15</v>
      </c>
      <c r="AJ89" s="1" t="s">
        <v>16</v>
      </c>
      <c r="AK89" s="1" t="s">
        <v>17</v>
      </c>
      <c r="AL89" t="s">
        <v>18</v>
      </c>
      <c r="AN89" t="s">
        <v>14</v>
      </c>
      <c r="AO89" t="s">
        <v>15</v>
      </c>
      <c r="AP89" s="1" t="s">
        <v>16</v>
      </c>
      <c r="AQ89" s="1" t="s">
        <v>17</v>
      </c>
      <c r="AR89" t="s">
        <v>18</v>
      </c>
      <c r="AT89" t="s">
        <v>53</v>
      </c>
      <c r="AU89">
        <f>20/AW85</f>
        <v>12025.640651384982</v>
      </c>
      <c r="AY89" t="s">
        <v>4</v>
      </c>
      <c r="AZ89">
        <f>SUM(X236,X244,X251,X260,AC363)</f>
        <v>31273.604079513349</v>
      </c>
    </row>
    <row r="90" spans="12:58" x14ac:dyDescent="0.35">
      <c r="W90" t="s">
        <v>52</v>
      </c>
      <c r="Y90">
        <v>25</v>
      </c>
      <c r="AB90" s="4" t="s">
        <v>13</v>
      </c>
      <c r="AC90" s="3">
        <v>0.14000000000000001</v>
      </c>
      <c r="AD90">
        <v>23</v>
      </c>
      <c r="AE90">
        <v>0.1</v>
      </c>
      <c r="AF90">
        <f>(AE90/AD90*AC90)</f>
        <v>6.086956521739131E-4</v>
      </c>
      <c r="AH90" s="4" t="s">
        <v>13</v>
      </c>
      <c r="AI90" s="3">
        <v>0.14000000000000001</v>
      </c>
      <c r="AJ90">
        <v>50</v>
      </c>
      <c r="AK90">
        <v>0.1</v>
      </c>
      <c r="AL90">
        <f>(AK90/AJ90*AI90)</f>
        <v>2.8000000000000003E-4</v>
      </c>
      <c r="AN90" s="4" t="s">
        <v>12</v>
      </c>
      <c r="AO90" s="3">
        <v>0.2</v>
      </c>
      <c r="AP90">
        <v>33</v>
      </c>
      <c r="AQ90">
        <v>1E-4</v>
      </c>
      <c r="AR90">
        <f>(AQ90/AP90*AO90)</f>
        <v>6.060606060606061E-7</v>
      </c>
      <c r="AT90" t="s">
        <v>59</v>
      </c>
      <c r="AU90">
        <f>AU89*3600</f>
        <v>43292306.344985932</v>
      </c>
    </row>
    <row r="91" spans="12:58" x14ac:dyDescent="0.35">
      <c r="AB91" s="4" t="s">
        <v>20</v>
      </c>
      <c r="AC91" s="3">
        <v>0.9</v>
      </c>
      <c r="AD91">
        <v>23</v>
      </c>
      <c r="AE91">
        <v>0.1</v>
      </c>
      <c r="AF91">
        <f t="shared" ref="AF91:AF98" si="19">(AE91/AD91*AC91)</f>
        <v>3.9130434782608699E-3</v>
      </c>
      <c r="AH91" s="4" t="s">
        <v>20</v>
      </c>
      <c r="AI91" s="3">
        <v>0.9</v>
      </c>
      <c r="AJ91">
        <v>50</v>
      </c>
      <c r="AK91">
        <v>0.1</v>
      </c>
      <c r="AL91">
        <f t="shared" ref="AL91:AL94" si="20">(AK91/AJ91*AI91)</f>
        <v>1.8000000000000002E-3</v>
      </c>
      <c r="AN91" s="4" t="s">
        <v>20</v>
      </c>
      <c r="AO91" s="3">
        <v>0.9</v>
      </c>
      <c r="AP91">
        <v>33</v>
      </c>
      <c r="AQ91">
        <v>0.1</v>
      </c>
      <c r="AR91">
        <f t="shared" ref="AR91:AR100" si="21">(AQ91/AP91*AO91)</f>
        <v>2.7272727272727275E-3</v>
      </c>
      <c r="AY91" t="s">
        <v>65</v>
      </c>
      <c r="AZ91">
        <f>SUM(X272,X280,X288,X296,AC186)</f>
        <v>20249.582909094745</v>
      </c>
    </row>
    <row r="92" spans="12:58" x14ac:dyDescent="0.35">
      <c r="W92" t="s">
        <v>53</v>
      </c>
      <c r="X92">
        <f>25/Z88</f>
        <v>9535.1824294145081</v>
      </c>
      <c r="AB92" s="4" t="s">
        <v>23</v>
      </c>
      <c r="AC92" s="3">
        <v>2.3E-2</v>
      </c>
      <c r="AD92">
        <v>23</v>
      </c>
      <c r="AE92">
        <v>0.05</v>
      </c>
      <c r="AF92">
        <f t="shared" si="19"/>
        <v>5.0000000000000002E-5</v>
      </c>
      <c r="AH92" s="4" t="s">
        <v>23</v>
      </c>
      <c r="AI92" s="3">
        <v>2.3E-2</v>
      </c>
      <c r="AJ92">
        <v>50</v>
      </c>
      <c r="AK92">
        <v>0.05</v>
      </c>
      <c r="AL92">
        <f t="shared" si="20"/>
        <v>2.3E-5</v>
      </c>
      <c r="AN92" s="4" t="s">
        <v>22</v>
      </c>
      <c r="AO92" s="3">
        <v>0.6</v>
      </c>
      <c r="AP92">
        <v>33</v>
      </c>
      <c r="AQ92">
        <v>7.0000000000000007E-2</v>
      </c>
      <c r="AR92">
        <f t="shared" si="21"/>
        <v>1.2727272727272728E-3</v>
      </c>
    </row>
    <row r="93" spans="12:58" x14ac:dyDescent="0.35">
      <c r="W93" t="s">
        <v>59</v>
      </c>
      <c r="X93">
        <f>X92*3600</f>
        <v>34326656.745892227</v>
      </c>
      <c r="AB93" s="4" t="s">
        <v>20</v>
      </c>
      <c r="AC93" s="3">
        <v>0.9</v>
      </c>
      <c r="AD93">
        <v>23</v>
      </c>
      <c r="AE93">
        <v>0.1</v>
      </c>
      <c r="AF93">
        <f t="shared" si="19"/>
        <v>3.9130434782608699E-3</v>
      </c>
      <c r="AH93" s="4" t="s">
        <v>20</v>
      </c>
      <c r="AI93" s="3">
        <v>0.9</v>
      </c>
      <c r="AJ93">
        <v>50</v>
      </c>
      <c r="AK93">
        <v>0.1</v>
      </c>
      <c r="AL93">
        <f t="shared" si="20"/>
        <v>1.8000000000000002E-3</v>
      </c>
      <c r="AN93" s="4" t="s">
        <v>23</v>
      </c>
      <c r="AO93" s="3">
        <v>2.3E-2</v>
      </c>
      <c r="AP93">
        <v>33</v>
      </c>
      <c r="AQ93">
        <v>0.1</v>
      </c>
      <c r="AR93">
        <f t="shared" si="21"/>
        <v>6.9696969696969699E-5</v>
      </c>
      <c r="AY93" t="s">
        <v>5</v>
      </c>
      <c r="AZ93">
        <f>SUM(X308,X316,X323,X330,AC193)</f>
        <v>-14715.630418394241</v>
      </c>
    </row>
    <row r="94" spans="12:58" x14ac:dyDescent="0.35">
      <c r="AB94" s="4" t="s">
        <v>11</v>
      </c>
      <c r="AC94" s="5">
        <v>3.5000000000000003E-2</v>
      </c>
      <c r="AD94">
        <v>23</v>
      </c>
      <c r="AE94">
        <v>0.1</v>
      </c>
      <c r="AF94">
        <f t="shared" si="19"/>
        <v>1.5217391304347827E-4</v>
      </c>
      <c r="AH94" s="4" t="s">
        <v>11</v>
      </c>
      <c r="AI94" s="5">
        <v>3.5000000000000003E-2</v>
      </c>
      <c r="AJ94">
        <v>50</v>
      </c>
      <c r="AK94">
        <v>0.1</v>
      </c>
      <c r="AL94">
        <f t="shared" si="20"/>
        <v>7.0000000000000007E-5</v>
      </c>
      <c r="AN94" s="4" t="s">
        <v>22</v>
      </c>
      <c r="AO94" s="3">
        <v>0.6</v>
      </c>
      <c r="AP94">
        <v>33</v>
      </c>
      <c r="AQ94">
        <v>7.0000000000000007E-2</v>
      </c>
      <c r="AR94">
        <f t="shared" si="21"/>
        <v>1.2727272727272728E-3</v>
      </c>
      <c r="AT94" t="s">
        <v>73</v>
      </c>
      <c r="AW94">
        <f>AF104</f>
        <v>1.6631130581551694E-3</v>
      </c>
    </row>
    <row r="95" spans="12:58" x14ac:dyDescent="0.35">
      <c r="W95" t="s">
        <v>74</v>
      </c>
      <c r="X95">
        <f>X93+X84+X77+X69+AC180</f>
        <v>105325090.30496401</v>
      </c>
      <c r="AB95" s="4" t="s">
        <v>20</v>
      </c>
      <c r="AC95" s="3">
        <v>0.9</v>
      </c>
      <c r="AD95">
        <v>23</v>
      </c>
      <c r="AE95">
        <v>0.1</v>
      </c>
      <c r="AF95">
        <f t="shared" si="19"/>
        <v>3.9130434782608699E-3</v>
      </c>
      <c r="AH95" s="4" t="s">
        <v>20</v>
      </c>
      <c r="AI95" s="3">
        <v>0.9</v>
      </c>
      <c r="AJ95">
        <v>50</v>
      </c>
      <c r="AK95">
        <v>0.1</v>
      </c>
      <c r="AL95">
        <f t="shared" ref="AL95:AL98" si="22">(AK95/AJ95*AI95)</f>
        <v>1.8000000000000002E-3</v>
      </c>
      <c r="AN95" s="4" t="s">
        <v>11</v>
      </c>
      <c r="AO95" s="5">
        <v>3.5000000000000003E-2</v>
      </c>
      <c r="AP95">
        <v>33</v>
      </c>
      <c r="AQ95">
        <v>0.1</v>
      </c>
      <c r="AR95">
        <f t="shared" si="21"/>
        <v>1.0606060606060608E-4</v>
      </c>
      <c r="AY95" t="s">
        <v>71</v>
      </c>
      <c r="AZ95">
        <f>SUM(AZ85,AZ87,AZ89,AZ91,AZ93)</f>
        <v>66694.691256059843</v>
      </c>
    </row>
    <row r="96" spans="12:58" x14ac:dyDescent="0.35">
      <c r="AB96" s="4" t="s">
        <v>23</v>
      </c>
      <c r="AC96" s="3">
        <v>2.3E-2</v>
      </c>
      <c r="AD96">
        <v>23</v>
      </c>
      <c r="AE96">
        <v>0.05</v>
      </c>
      <c r="AF96">
        <f t="shared" si="19"/>
        <v>5.0000000000000002E-5</v>
      </c>
      <c r="AH96" s="4" t="s">
        <v>23</v>
      </c>
      <c r="AI96" s="3">
        <v>2.3E-2</v>
      </c>
      <c r="AJ96">
        <v>50</v>
      </c>
      <c r="AK96">
        <v>0.05</v>
      </c>
      <c r="AL96">
        <f t="shared" si="22"/>
        <v>2.3E-5</v>
      </c>
      <c r="AN96" s="4" t="s">
        <v>22</v>
      </c>
      <c r="AO96" s="3">
        <v>0.6</v>
      </c>
      <c r="AP96">
        <v>33</v>
      </c>
      <c r="AQ96">
        <v>7.0000000000000007E-2</v>
      </c>
      <c r="AR96">
        <f t="shared" si="21"/>
        <v>1.2727272727272728E-3</v>
      </c>
      <c r="AT96" t="s">
        <v>52</v>
      </c>
      <c r="AV96">
        <v>25</v>
      </c>
    </row>
    <row r="97" spans="23:53" x14ac:dyDescent="0.35">
      <c r="AB97" s="4" t="s">
        <v>20</v>
      </c>
      <c r="AC97" s="3">
        <v>0.9</v>
      </c>
      <c r="AD97">
        <v>23</v>
      </c>
      <c r="AE97">
        <v>0.1</v>
      </c>
      <c r="AF97">
        <f t="shared" si="19"/>
        <v>3.9130434782608699E-3</v>
      </c>
      <c r="AH97" s="4" t="s">
        <v>20</v>
      </c>
      <c r="AI97" s="3">
        <v>0.9</v>
      </c>
      <c r="AJ97">
        <v>50</v>
      </c>
      <c r="AK97">
        <v>0.1</v>
      </c>
      <c r="AL97">
        <f t="shared" si="22"/>
        <v>1.8000000000000002E-3</v>
      </c>
      <c r="AN97" s="4" t="s">
        <v>23</v>
      </c>
      <c r="AO97" s="3">
        <v>2.3E-2</v>
      </c>
      <c r="AP97">
        <v>33</v>
      </c>
      <c r="AQ97">
        <v>0.1</v>
      </c>
      <c r="AR97">
        <f t="shared" si="21"/>
        <v>6.9696969696969699E-5</v>
      </c>
    </row>
    <row r="98" spans="23:53" x14ac:dyDescent="0.35">
      <c r="AB98" s="4" t="s">
        <v>13</v>
      </c>
      <c r="AC98" s="3">
        <v>0.14000000000000001</v>
      </c>
      <c r="AD98">
        <v>23</v>
      </c>
      <c r="AE98">
        <v>0.1</v>
      </c>
      <c r="AF98">
        <f t="shared" si="19"/>
        <v>6.086956521739131E-4</v>
      </c>
      <c r="AH98" s="4" t="s">
        <v>13</v>
      </c>
      <c r="AI98" s="3">
        <v>0.14000000000000001</v>
      </c>
      <c r="AJ98">
        <v>50</v>
      </c>
      <c r="AK98">
        <v>0.1</v>
      </c>
      <c r="AL98">
        <f t="shared" si="22"/>
        <v>2.8000000000000003E-4</v>
      </c>
      <c r="AN98" s="4" t="s">
        <v>22</v>
      </c>
      <c r="AO98" s="3">
        <v>0.6</v>
      </c>
      <c r="AP98">
        <v>33</v>
      </c>
      <c r="AQ98">
        <v>7.0000000000000007E-2</v>
      </c>
      <c r="AR98">
        <f t="shared" si="21"/>
        <v>1.2727272727272728E-3</v>
      </c>
      <c r="AT98" t="s">
        <v>53</v>
      </c>
      <c r="AU98">
        <f>25/AW94</f>
        <v>15032.050814231226</v>
      </c>
    </row>
    <row r="99" spans="23:53" ht="18.5" x14ac:dyDescent="0.45">
      <c r="W99" s="7" t="s">
        <v>65</v>
      </c>
      <c r="AF99">
        <f>SUM(AF90:AF98)</f>
        <v>1.7121739130434781E-2</v>
      </c>
      <c r="AL99">
        <f>SUM(AL90:AL98)</f>
        <v>7.8760000000000011E-3</v>
      </c>
      <c r="AN99" s="4" t="s">
        <v>20</v>
      </c>
      <c r="AO99" s="3">
        <v>0.9</v>
      </c>
      <c r="AP99">
        <v>33</v>
      </c>
      <c r="AQ99">
        <v>0.1</v>
      </c>
      <c r="AR99">
        <f t="shared" si="21"/>
        <v>2.7272727272727275E-3</v>
      </c>
      <c r="AT99" t="s">
        <v>59</v>
      </c>
      <c r="AU99">
        <f>AU98*3600</f>
        <v>54115382.931232415</v>
      </c>
    </row>
    <row r="100" spans="23:53" x14ac:dyDescent="0.35">
      <c r="W100" t="s">
        <v>75</v>
      </c>
      <c r="Z100">
        <f>T13</f>
        <v>7.0080000000000003E-3</v>
      </c>
      <c r="AI100" s="3"/>
      <c r="AK100" s="4"/>
      <c r="AN100" s="4" t="s">
        <v>13</v>
      </c>
      <c r="AO100" s="3">
        <v>0.14000000000000001</v>
      </c>
      <c r="AP100">
        <v>33</v>
      </c>
      <c r="AQ100">
        <v>0.1</v>
      </c>
      <c r="AR100">
        <f t="shared" si="21"/>
        <v>4.2424242424242431E-4</v>
      </c>
    </row>
    <row r="101" spans="23:53" x14ac:dyDescent="0.35">
      <c r="AB101" s="2" t="s">
        <v>7</v>
      </c>
      <c r="AC101" s="3">
        <v>204</v>
      </c>
      <c r="AD101">
        <v>0.1</v>
      </c>
      <c r="AE101">
        <v>0.05</v>
      </c>
      <c r="AF101">
        <f>(AE101/AD101*AC101)</f>
        <v>102</v>
      </c>
      <c r="AH101" s="4"/>
      <c r="AI101" s="3"/>
      <c r="AR101">
        <f>SUM(AR90:AR100)</f>
        <v>1.1215757575757577E-2</v>
      </c>
      <c r="AT101" t="s">
        <v>74</v>
      </c>
      <c r="AU101">
        <f>AU99+AU90+AU83+AU75+AZ106</f>
        <v>143910594.61607069</v>
      </c>
      <c r="AY101" t="s">
        <v>99</v>
      </c>
      <c r="BA101">
        <v>9.1420000000000008E-3</v>
      </c>
    </row>
    <row r="102" spans="23:53" x14ac:dyDescent="0.35">
      <c r="W102" t="s">
        <v>52</v>
      </c>
      <c r="Y102">
        <v>20</v>
      </c>
      <c r="AB102" s="4" t="s">
        <v>13</v>
      </c>
      <c r="AC102" s="3">
        <v>0.14000000000000001</v>
      </c>
      <c r="AD102">
        <v>1.9</v>
      </c>
      <c r="AE102">
        <v>0.05</v>
      </c>
      <c r="AF102">
        <f>(AE102/AD102*AC102)</f>
        <v>3.6842105263157903E-3</v>
      </c>
      <c r="AH102" t="s">
        <v>38</v>
      </c>
    </row>
    <row r="103" spans="23:53" x14ac:dyDescent="0.35">
      <c r="AB103" s="4"/>
      <c r="AC103" s="3"/>
      <c r="AH103" t="s">
        <v>14</v>
      </c>
      <c r="AI103" t="s">
        <v>15</v>
      </c>
      <c r="AJ103" s="1" t="s">
        <v>16</v>
      </c>
      <c r="AK103" s="1" t="s">
        <v>17</v>
      </c>
      <c r="AL103" t="s">
        <v>18</v>
      </c>
      <c r="AT103" t="s">
        <v>76</v>
      </c>
      <c r="AU103">
        <f>AU98+AU89+AU82+AU74+AZ105</f>
        <v>39975.16517113075</v>
      </c>
      <c r="AY103" t="s">
        <v>87</v>
      </c>
      <c r="BA103">
        <v>30</v>
      </c>
    </row>
    <row r="104" spans="23:53" x14ac:dyDescent="0.35">
      <c r="W104" t="s">
        <v>53</v>
      </c>
      <c r="X104">
        <f>20/(Z100)</f>
        <v>2853.8812785388127</v>
      </c>
      <c r="AC104" s="3"/>
      <c r="AE104" s="4" t="s">
        <v>37</v>
      </c>
      <c r="AF104">
        <f>(1/((1/AF99)+2*((1/AF101)+(1/AF102))))</f>
        <v>1.6631130581551694E-3</v>
      </c>
      <c r="AH104" s="4" t="s">
        <v>13</v>
      </c>
      <c r="AI104" s="3">
        <v>0.14000000000000001</v>
      </c>
      <c r="AJ104">
        <v>46</v>
      </c>
      <c r="AK104">
        <v>0.1</v>
      </c>
      <c r="AL104">
        <f>(AK104/AJ104*AI104)</f>
        <v>3.0434782608695655E-4</v>
      </c>
      <c r="AN104" s="2" t="s">
        <v>7</v>
      </c>
      <c r="AO104" s="3">
        <v>204</v>
      </c>
      <c r="AP104">
        <v>0.05</v>
      </c>
      <c r="AQ104">
        <v>0.1</v>
      </c>
      <c r="AR104">
        <f>(AQ104/AP104*AO104)</f>
        <v>408</v>
      </c>
    </row>
    <row r="105" spans="23:53" ht="18.5" x14ac:dyDescent="0.45">
      <c r="W105" t="s">
        <v>59</v>
      </c>
      <c r="X105">
        <f>X104*3600</f>
        <v>10273972.602739725</v>
      </c>
      <c r="AH105" s="4" t="s">
        <v>20</v>
      </c>
      <c r="AI105" s="3">
        <v>0.9</v>
      </c>
      <c r="AJ105">
        <v>46</v>
      </c>
      <c r="AK105">
        <v>0.1</v>
      </c>
      <c r="AL105">
        <f t="shared" ref="AL105:AL112" si="23">(AK105/AJ105*AI105)</f>
        <v>1.9565217391304349E-3</v>
      </c>
      <c r="AT105" s="7" t="s">
        <v>65</v>
      </c>
      <c r="AY105" t="s">
        <v>53</v>
      </c>
      <c r="AZ105">
        <f xml:space="preserve"> BA103/BA101</f>
        <v>3281.557646029315</v>
      </c>
    </row>
    <row r="106" spans="23:53" x14ac:dyDescent="0.35">
      <c r="AB106" t="s">
        <v>8</v>
      </c>
      <c r="AH106" s="4" t="s">
        <v>23</v>
      </c>
      <c r="AI106" s="3">
        <v>2.3E-2</v>
      </c>
      <c r="AJ106">
        <v>46</v>
      </c>
      <c r="AK106">
        <v>0.05</v>
      </c>
      <c r="AL106">
        <f t="shared" si="23"/>
        <v>2.5000000000000001E-5</v>
      </c>
      <c r="AN106" s="4" t="s">
        <v>19</v>
      </c>
      <c r="AO106" s="3">
        <v>0.8</v>
      </c>
      <c r="AP106">
        <v>1.45</v>
      </c>
      <c r="AQ106">
        <v>0.02</v>
      </c>
      <c r="AR106">
        <f>(AQ106/AP106*AO106)</f>
        <v>1.1034482758620692E-2</v>
      </c>
      <c r="AT106" t="s">
        <v>75</v>
      </c>
      <c r="AW106">
        <f>AF86</f>
        <v>9.2530000000000008E-3</v>
      </c>
      <c r="AY106" t="s">
        <v>69</v>
      </c>
      <c r="AZ106">
        <f>AZ105*3600</f>
        <v>11813607.525705535</v>
      </c>
    </row>
    <row r="107" spans="23:53" x14ac:dyDescent="0.35">
      <c r="AB107" t="s">
        <v>14</v>
      </c>
      <c r="AC107" t="s">
        <v>15</v>
      </c>
      <c r="AD107" s="1" t="s">
        <v>16</v>
      </c>
      <c r="AE107" s="1" t="s">
        <v>17</v>
      </c>
      <c r="AF107" t="s">
        <v>18</v>
      </c>
      <c r="AH107" s="4" t="s">
        <v>20</v>
      </c>
      <c r="AI107" s="3">
        <v>0.9</v>
      </c>
      <c r="AJ107">
        <v>46</v>
      </c>
      <c r="AK107">
        <v>0.1</v>
      </c>
      <c r="AL107">
        <f t="shared" si="23"/>
        <v>1.9565217391304349E-3</v>
      </c>
      <c r="AN107" s="4" t="s">
        <v>23</v>
      </c>
      <c r="AO107" s="3">
        <v>2.3E-2</v>
      </c>
      <c r="AP107">
        <v>1.45</v>
      </c>
      <c r="AQ107">
        <v>0.01</v>
      </c>
      <c r="AR107">
        <f>(AQ107/AP107*AO107)</f>
        <v>1.5862068965517243E-4</v>
      </c>
    </row>
    <row r="108" spans="23:53" x14ac:dyDescent="0.35">
      <c r="W108" t="s">
        <v>77</v>
      </c>
      <c r="Z108">
        <f>T41</f>
        <v>2.2068909057980464E-3</v>
      </c>
      <c r="AB108" s="4" t="s">
        <v>13</v>
      </c>
      <c r="AC108" s="3">
        <v>0.14000000000000001</v>
      </c>
      <c r="AD108">
        <v>38</v>
      </c>
      <c r="AE108">
        <v>0.1</v>
      </c>
      <c r="AF108">
        <f>(AE108/AD108*AC108)</f>
        <v>3.6842105263157896E-4</v>
      </c>
      <c r="AH108" s="4" t="s">
        <v>11</v>
      </c>
      <c r="AI108" s="5">
        <v>3.5000000000000003E-2</v>
      </c>
      <c r="AJ108">
        <v>46</v>
      </c>
      <c r="AK108">
        <v>0.1</v>
      </c>
      <c r="AL108">
        <f t="shared" si="23"/>
        <v>7.6086956521739137E-5</v>
      </c>
      <c r="AN108" s="4" t="s">
        <v>19</v>
      </c>
      <c r="AO108" s="3">
        <v>0.8</v>
      </c>
      <c r="AP108">
        <v>1.45</v>
      </c>
      <c r="AQ108">
        <v>0.02</v>
      </c>
      <c r="AR108">
        <f>(AQ108/AP108*AO108)</f>
        <v>1.1034482758620692E-2</v>
      </c>
      <c r="AT108" t="s">
        <v>52</v>
      </c>
      <c r="AV108">
        <v>20</v>
      </c>
    </row>
    <row r="109" spans="23:53" x14ac:dyDescent="0.35">
      <c r="AB109" s="4" t="s">
        <v>20</v>
      </c>
      <c r="AC109" s="3">
        <v>0.9</v>
      </c>
      <c r="AD109">
        <v>38</v>
      </c>
      <c r="AE109">
        <v>0.1</v>
      </c>
      <c r="AF109">
        <f t="shared" ref="AF109:AF116" si="24">(AE109/AD109*AC109)</f>
        <v>2.3684210526315791E-3</v>
      </c>
      <c r="AH109" s="4" t="s">
        <v>20</v>
      </c>
      <c r="AI109" s="3">
        <v>0.9</v>
      </c>
      <c r="AJ109">
        <v>46</v>
      </c>
      <c r="AK109">
        <v>0.1</v>
      </c>
      <c r="AL109">
        <f t="shared" si="23"/>
        <v>1.9565217391304349E-3</v>
      </c>
      <c r="AR109">
        <f>SUM(AR106:AR108)</f>
        <v>2.2227586206896556E-2</v>
      </c>
    </row>
    <row r="110" spans="23:53" x14ac:dyDescent="0.35">
      <c r="W110" t="s">
        <v>52</v>
      </c>
      <c r="Y110">
        <v>10</v>
      </c>
      <c r="AB110" s="4" t="s">
        <v>23</v>
      </c>
      <c r="AC110" s="3">
        <v>2.3E-2</v>
      </c>
      <c r="AD110">
        <v>38</v>
      </c>
      <c r="AE110">
        <v>0.05</v>
      </c>
      <c r="AF110">
        <f t="shared" si="24"/>
        <v>3.0263157894736841E-5</v>
      </c>
      <c r="AH110" s="4" t="s">
        <v>23</v>
      </c>
      <c r="AI110" s="3">
        <v>2.3E-2</v>
      </c>
      <c r="AJ110">
        <v>46</v>
      </c>
      <c r="AK110">
        <v>0.05</v>
      </c>
      <c r="AL110">
        <f t="shared" si="23"/>
        <v>2.5000000000000001E-5</v>
      </c>
      <c r="AT110" t="s">
        <v>53</v>
      </c>
      <c r="AU110">
        <f>20/AW106</f>
        <v>2161.4611477358694</v>
      </c>
    </row>
    <row r="111" spans="23:53" x14ac:dyDescent="0.35">
      <c r="AB111" s="4" t="s">
        <v>20</v>
      </c>
      <c r="AC111" s="3">
        <v>0.9</v>
      </c>
      <c r="AD111">
        <v>38</v>
      </c>
      <c r="AE111">
        <v>0.1</v>
      </c>
      <c r="AF111">
        <f t="shared" si="24"/>
        <v>2.3684210526315791E-3</v>
      </c>
      <c r="AH111" s="4" t="s">
        <v>20</v>
      </c>
      <c r="AI111" s="3">
        <v>0.9</v>
      </c>
      <c r="AJ111">
        <v>46</v>
      </c>
      <c r="AK111">
        <v>0.1</v>
      </c>
      <c r="AL111">
        <f t="shared" si="23"/>
        <v>1.9565217391304349E-3</v>
      </c>
      <c r="AT111" t="s">
        <v>59</v>
      </c>
      <c r="AU111">
        <f>AU110*3600</f>
        <v>7781260.1318491297</v>
      </c>
    </row>
    <row r="112" spans="23:53" x14ac:dyDescent="0.35">
      <c r="W112" t="s">
        <v>53</v>
      </c>
      <c r="X112">
        <f>10/Z108</f>
        <v>4531.2615923730236</v>
      </c>
      <c r="AB112" s="4" t="s">
        <v>11</v>
      </c>
      <c r="AC112" s="5">
        <v>3.5000000000000003E-2</v>
      </c>
      <c r="AD112">
        <v>38</v>
      </c>
      <c r="AE112">
        <v>0.1</v>
      </c>
      <c r="AF112">
        <f t="shared" si="24"/>
        <v>9.210526315789474E-5</v>
      </c>
      <c r="AH112" s="4" t="s">
        <v>13</v>
      </c>
      <c r="AI112" s="3">
        <v>0.14000000000000001</v>
      </c>
      <c r="AJ112">
        <v>46</v>
      </c>
      <c r="AK112">
        <v>0.1</v>
      </c>
      <c r="AL112">
        <f t="shared" si="23"/>
        <v>3.0434782608695655E-4</v>
      </c>
    </row>
    <row r="113" spans="23:49" x14ac:dyDescent="0.35">
      <c r="W113" t="s">
        <v>59</v>
      </c>
      <c r="X113">
        <f>X112*3600</f>
        <v>16312541.732542885</v>
      </c>
      <c r="AB113" s="4" t="s">
        <v>20</v>
      </c>
      <c r="AC113" s="3">
        <v>0.9</v>
      </c>
      <c r="AD113">
        <v>38</v>
      </c>
      <c r="AE113">
        <v>0.1</v>
      </c>
      <c r="AF113">
        <f t="shared" si="24"/>
        <v>2.3684210526315791E-3</v>
      </c>
      <c r="AL113">
        <f>SUM(AL104:AL112)</f>
        <v>8.5608695652173907E-3</v>
      </c>
      <c r="AN113" s="2" t="s">
        <v>7</v>
      </c>
      <c r="AO113" s="3">
        <v>204</v>
      </c>
      <c r="AP113">
        <v>1</v>
      </c>
      <c r="AQ113">
        <v>0.1</v>
      </c>
      <c r="AR113">
        <f>(AQ113/AP113*AO113)</f>
        <v>20.400000000000002</v>
      </c>
    </row>
    <row r="114" spans="23:49" x14ac:dyDescent="0.35">
      <c r="AB114" s="4" t="s">
        <v>23</v>
      </c>
      <c r="AC114" s="3">
        <v>2.3E-2</v>
      </c>
      <c r="AD114">
        <v>38</v>
      </c>
      <c r="AE114">
        <v>0.05</v>
      </c>
      <c r="AF114">
        <f t="shared" si="24"/>
        <v>3.0263157894736841E-5</v>
      </c>
      <c r="AN114" s="4" t="s">
        <v>25</v>
      </c>
      <c r="AO114" s="3">
        <v>52</v>
      </c>
      <c r="AP114">
        <v>13</v>
      </c>
      <c r="AQ114">
        <v>0.1</v>
      </c>
      <c r="AR114">
        <f>(AQ114/AP114*AO114)</f>
        <v>0.4</v>
      </c>
      <c r="AT114" t="s">
        <v>77</v>
      </c>
      <c r="AW114">
        <f>AF122</f>
        <v>1.5640336479244479E-3</v>
      </c>
    </row>
    <row r="115" spans="23:49" x14ac:dyDescent="0.35">
      <c r="AB115" s="4" t="s">
        <v>20</v>
      </c>
      <c r="AC115" s="3">
        <v>0.9</v>
      </c>
      <c r="AD115">
        <v>38</v>
      </c>
      <c r="AE115">
        <v>0.1</v>
      </c>
      <c r="AF115">
        <f t="shared" si="24"/>
        <v>2.3684210526315791E-3</v>
      </c>
      <c r="AH115" s="2" t="s">
        <v>7</v>
      </c>
      <c r="AI115" s="3">
        <v>204</v>
      </c>
      <c r="AJ115">
        <v>0.1</v>
      </c>
      <c r="AK115">
        <v>0.05</v>
      </c>
      <c r="AL115">
        <f>(AK115/AJ115*AI115)</f>
        <v>102</v>
      </c>
    </row>
    <row r="116" spans="23:49" x14ac:dyDescent="0.35">
      <c r="W116" t="s">
        <v>78</v>
      </c>
      <c r="Z116">
        <f>T27</f>
        <v>2.6218690816946521E-3</v>
      </c>
      <c r="AB116" s="4" t="s">
        <v>13</v>
      </c>
      <c r="AC116" s="3">
        <v>0.14000000000000001</v>
      </c>
      <c r="AD116">
        <v>38</v>
      </c>
      <c r="AE116">
        <v>0.1</v>
      </c>
      <c r="AF116">
        <f t="shared" si="24"/>
        <v>3.6842105263157896E-4</v>
      </c>
      <c r="AH116" s="4" t="s">
        <v>13</v>
      </c>
      <c r="AI116" s="3">
        <v>0.14000000000000001</v>
      </c>
      <c r="AJ116">
        <v>1.9</v>
      </c>
      <c r="AK116">
        <v>0.05</v>
      </c>
      <c r="AL116">
        <f>(AK116/AJ116*AI116)</f>
        <v>3.6842105263157903E-3</v>
      </c>
      <c r="AQ116" t="s">
        <v>37</v>
      </c>
      <c r="AR116" s="6">
        <f>1/((1/AR101)+2*((1/AR104)+(1/AR109))+(1/AR113)+(1/AR114))</f>
        <v>5.5038052616368542E-3</v>
      </c>
      <c r="AT116" t="s">
        <v>52</v>
      </c>
      <c r="AV116">
        <v>10</v>
      </c>
    </row>
    <row r="117" spans="23:49" x14ac:dyDescent="0.35">
      <c r="AF117">
        <f>SUM(AF108:AF116)</f>
        <v>1.0363157894736843E-2</v>
      </c>
      <c r="AH117" s="4"/>
      <c r="AI117" s="3"/>
    </row>
    <row r="118" spans="23:49" x14ac:dyDescent="0.35">
      <c r="W118" t="s">
        <v>52</v>
      </c>
      <c r="Y118">
        <v>10</v>
      </c>
      <c r="AI118" s="3"/>
      <c r="AK118" s="4" t="s">
        <v>37</v>
      </c>
      <c r="AL118">
        <f>1/((1/AL113)+2*((1/AL115)+(1/AL116)))</f>
        <v>1.5158696826716885E-3</v>
      </c>
      <c r="AN118" t="s">
        <v>68</v>
      </c>
      <c r="AT118" t="s">
        <v>53</v>
      </c>
      <c r="AU118">
        <f>10/AW114</f>
        <v>6393.7243378814183</v>
      </c>
    </row>
    <row r="119" spans="23:49" x14ac:dyDescent="0.35">
      <c r="AB119" s="2" t="s">
        <v>7</v>
      </c>
      <c r="AC119" s="3">
        <v>204</v>
      </c>
      <c r="AD119">
        <v>0.1</v>
      </c>
      <c r="AE119">
        <v>0.05</v>
      </c>
      <c r="AF119">
        <f>(AE119/AD119*AC119)</f>
        <v>102</v>
      </c>
      <c r="AN119" t="s">
        <v>41</v>
      </c>
      <c r="AT119" t="s">
        <v>59</v>
      </c>
      <c r="AU119">
        <f>AU118*3600</f>
        <v>23017407.616373107</v>
      </c>
    </row>
    <row r="120" spans="23:49" x14ac:dyDescent="0.35">
      <c r="W120" t="s">
        <v>53</v>
      </c>
      <c r="X120">
        <f>10/Z116</f>
        <v>3814.0729717658037</v>
      </c>
      <c r="AB120" s="4" t="s">
        <v>13</v>
      </c>
      <c r="AC120" s="3">
        <v>0.14000000000000001</v>
      </c>
      <c r="AD120">
        <v>1.9</v>
      </c>
      <c r="AE120">
        <v>0.05</v>
      </c>
      <c r="AF120">
        <f>(AE120/AD120*AC120)</f>
        <v>3.6842105263157903E-3</v>
      </c>
      <c r="AN120" t="s">
        <v>14</v>
      </c>
      <c r="AO120" t="s">
        <v>15</v>
      </c>
      <c r="AP120" s="1" t="s">
        <v>16</v>
      </c>
      <c r="AQ120" s="1" t="s">
        <v>17</v>
      </c>
      <c r="AR120" t="s">
        <v>18</v>
      </c>
    </row>
    <row r="121" spans="23:49" x14ac:dyDescent="0.35">
      <c r="W121" t="s">
        <v>59</v>
      </c>
      <c r="X121">
        <f>X120*3600</f>
        <v>13730662.698356893</v>
      </c>
      <c r="AB121" s="4"/>
      <c r="AC121" s="3"/>
      <c r="AN121" s="4" t="s">
        <v>12</v>
      </c>
      <c r="AO121" s="3">
        <v>0.2</v>
      </c>
      <c r="AP121">
        <v>44</v>
      </c>
      <c r="AQ121">
        <v>1E-4</v>
      </c>
      <c r="AR121">
        <f>(AQ121/AP121*AO121)</f>
        <v>4.5454545454545457E-7</v>
      </c>
    </row>
    <row r="122" spans="23:49" x14ac:dyDescent="0.35">
      <c r="AC122" s="3"/>
      <c r="AE122" s="4" t="s">
        <v>37</v>
      </c>
      <c r="AF122">
        <f>(1/((1/AF117)+2*((1/AF119)+(1/AF120))))</f>
        <v>1.5640336479244479E-3</v>
      </c>
      <c r="AN122" s="4" t="s">
        <v>20</v>
      </c>
      <c r="AO122" s="3">
        <v>0.9</v>
      </c>
      <c r="AP122">
        <v>44</v>
      </c>
      <c r="AQ122">
        <v>0.1</v>
      </c>
      <c r="AR122">
        <f t="shared" ref="AR122:AR131" si="25">(AQ122/AP122*AO122)</f>
        <v>2.0454545454545456E-3</v>
      </c>
      <c r="AT122" t="s">
        <v>78</v>
      </c>
      <c r="AW122">
        <f>AF104</f>
        <v>1.6631130581551694E-3</v>
      </c>
    </row>
    <row r="123" spans="23:49" x14ac:dyDescent="0.35">
      <c r="AN123" s="4" t="s">
        <v>22</v>
      </c>
      <c r="AO123" s="3">
        <v>0.6</v>
      </c>
      <c r="AP123">
        <v>44</v>
      </c>
      <c r="AQ123">
        <v>7.0000000000000007E-2</v>
      </c>
      <c r="AR123">
        <f t="shared" si="25"/>
        <v>9.5454545454545456E-4</v>
      </c>
    </row>
    <row r="124" spans="23:49" x14ac:dyDescent="0.35">
      <c r="W124" t="s">
        <v>79</v>
      </c>
      <c r="Z124">
        <f>T27</f>
        <v>2.6218690816946521E-3</v>
      </c>
      <c r="AN124" s="4" t="s">
        <v>23</v>
      </c>
      <c r="AO124" s="3">
        <v>2.3E-2</v>
      </c>
      <c r="AP124">
        <v>44</v>
      </c>
      <c r="AQ124">
        <v>0.1</v>
      </c>
      <c r="AR124">
        <f t="shared" si="25"/>
        <v>5.2272727272727281E-5</v>
      </c>
      <c r="AT124" t="s">
        <v>52</v>
      </c>
      <c r="AV124">
        <v>10</v>
      </c>
    </row>
    <row r="125" spans="23:49" x14ac:dyDescent="0.35">
      <c r="AB125" t="s">
        <v>43</v>
      </c>
      <c r="AD125">
        <f>SUM(AF122,AF86,2*AF104)</f>
        <v>1.4143259764234788E-2</v>
      </c>
      <c r="AN125" s="4" t="s">
        <v>22</v>
      </c>
      <c r="AO125" s="3">
        <v>0.6</v>
      </c>
      <c r="AP125">
        <v>44</v>
      </c>
      <c r="AQ125">
        <v>7.0000000000000007E-2</v>
      </c>
      <c r="AR125">
        <f t="shared" si="25"/>
        <v>9.5454545454545456E-4</v>
      </c>
    </row>
    <row r="126" spans="23:49" x14ac:dyDescent="0.35">
      <c r="W126" t="s">
        <v>52</v>
      </c>
      <c r="Y126">
        <v>15</v>
      </c>
      <c r="AN126" s="4" t="s">
        <v>11</v>
      </c>
      <c r="AO126" s="5">
        <v>3.5000000000000003E-2</v>
      </c>
      <c r="AP126">
        <v>44</v>
      </c>
      <c r="AQ126">
        <v>0.1</v>
      </c>
      <c r="AR126">
        <f t="shared" si="25"/>
        <v>7.9545454545454564E-5</v>
      </c>
      <c r="AT126" t="s">
        <v>53</v>
      </c>
      <c r="AU126">
        <f>10/AW122</f>
        <v>6012.8203256924908</v>
      </c>
    </row>
    <row r="127" spans="23:49" x14ac:dyDescent="0.35">
      <c r="AN127" s="4" t="s">
        <v>22</v>
      </c>
      <c r="AO127" s="3">
        <v>0.6</v>
      </c>
      <c r="AP127">
        <v>44</v>
      </c>
      <c r="AQ127">
        <v>7.0000000000000007E-2</v>
      </c>
      <c r="AR127">
        <f t="shared" si="25"/>
        <v>9.5454545454545456E-4</v>
      </c>
      <c r="AT127" t="s">
        <v>59</v>
      </c>
      <c r="AU127">
        <f>AU126*3600</f>
        <v>21646153.172492966</v>
      </c>
    </row>
    <row r="128" spans="23:49" x14ac:dyDescent="0.35">
      <c r="W128" t="s">
        <v>53</v>
      </c>
      <c r="X128">
        <f>15/Z124</f>
        <v>5721.1094576487048</v>
      </c>
      <c r="AN128" s="4" t="s">
        <v>23</v>
      </c>
      <c r="AO128" s="3">
        <v>2.3E-2</v>
      </c>
      <c r="AP128">
        <v>44</v>
      </c>
      <c r="AQ128">
        <v>0.1</v>
      </c>
      <c r="AR128">
        <f t="shared" si="25"/>
        <v>5.2272727272727281E-5</v>
      </c>
    </row>
    <row r="129" spans="23:53" x14ac:dyDescent="0.35">
      <c r="W129" t="s">
        <v>59</v>
      </c>
      <c r="X129">
        <f>X128*3600</f>
        <v>20595994.047535338</v>
      </c>
      <c r="AN129" s="4" t="s">
        <v>22</v>
      </c>
      <c r="AO129" s="3">
        <v>0.6</v>
      </c>
      <c r="AP129">
        <v>44</v>
      </c>
      <c r="AQ129">
        <v>7.0000000000000007E-2</v>
      </c>
      <c r="AR129">
        <f t="shared" si="25"/>
        <v>9.5454545454545456E-4</v>
      </c>
    </row>
    <row r="130" spans="23:53" x14ac:dyDescent="0.35">
      <c r="AN130" s="4" t="s">
        <v>20</v>
      </c>
      <c r="AO130" s="3">
        <v>0.9</v>
      </c>
      <c r="AP130">
        <v>44</v>
      </c>
      <c r="AQ130">
        <v>0.1</v>
      </c>
      <c r="AR130">
        <f t="shared" si="25"/>
        <v>2.0454545454545456E-3</v>
      </c>
      <c r="AT130" t="s">
        <v>79</v>
      </c>
      <c r="AW130" s="9">
        <f>AF104</f>
        <v>1.6631130581551694E-3</v>
      </c>
    </row>
    <row r="131" spans="23:53" x14ac:dyDescent="0.35">
      <c r="W131" t="s">
        <v>74</v>
      </c>
      <c r="X131">
        <f>X129+X121+X113+X105+AC187</f>
        <v>68788909.431645185</v>
      </c>
      <c r="AN131" s="4" t="s">
        <v>13</v>
      </c>
      <c r="AO131" s="3">
        <v>0.14000000000000001</v>
      </c>
      <c r="AP131">
        <v>44</v>
      </c>
      <c r="AQ131">
        <v>0.1</v>
      </c>
      <c r="AR131">
        <f t="shared" si="25"/>
        <v>3.1818181818181826E-4</v>
      </c>
    </row>
    <row r="132" spans="23:53" x14ac:dyDescent="0.35">
      <c r="AR132">
        <f>SUM(AR121:AR131)</f>
        <v>8.4118181818181818E-3</v>
      </c>
      <c r="AT132" t="s">
        <v>52</v>
      </c>
      <c r="AV132">
        <v>15</v>
      </c>
    </row>
    <row r="133" spans="23:53" x14ac:dyDescent="0.35">
      <c r="AN133" s="4"/>
      <c r="AO133" s="3"/>
    </row>
    <row r="134" spans="23:53" x14ac:dyDescent="0.35">
      <c r="AN134" s="2" t="s">
        <v>7</v>
      </c>
      <c r="AO134" s="3">
        <v>204</v>
      </c>
      <c r="AP134">
        <v>0.05</v>
      </c>
      <c r="AQ134">
        <v>0.1</v>
      </c>
      <c r="AR134">
        <f>(AQ134/AP134*AO134)</f>
        <v>408</v>
      </c>
      <c r="AT134" t="s">
        <v>53</v>
      </c>
      <c r="AU134">
        <f>15/AW130</f>
        <v>9019.2304885387366</v>
      </c>
    </row>
    <row r="135" spans="23:53" ht="18.5" x14ac:dyDescent="0.45">
      <c r="W135" s="8" t="s">
        <v>5</v>
      </c>
      <c r="AT135" t="s">
        <v>59</v>
      </c>
      <c r="AU135">
        <f>AU134*3600</f>
        <v>32469229.758739453</v>
      </c>
      <c r="AY135" t="s">
        <v>99</v>
      </c>
      <c r="BA135">
        <v>9.1420000000000008E-3</v>
      </c>
    </row>
    <row r="136" spans="23:53" x14ac:dyDescent="0.35">
      <c r="W136" t="s">
        <v>80</v>
      </c>
      <c r="Z136">
        <f>2*Z13</f>
        <v>2.8032000000000001E-2</v>
      </c>
      <c r="AN136" s="4" t="s">
        <v>19</v>
      </c>
      <c r="AO136" s="3">
        <v>0.8</v>
      </c>
      <c r="AP136">
        <v>1.45</v>
      </c>
      <c r="AQ136">
        <v>0.02</v>
      </c>
      <c r="AR136">
        <f>(AQ136/AP136*AO136)</f>
        <v>1.1034482758620692E-2</v>
      </c>
    </row>
    <row r="137" spans="23:53" x14ac:dyDescent="0.35">
      <c r="AN137" s="4" t="s">
        <v>23</v>
      </c>
      <c r="AO137" s="3">
        <v>2.3E-2</v>
      </c>
      <c r="AP137">
        <v>1.45</v>
      </c>
      <c r="AQ137">
        <v>0.01</v>
      </c>
      <c r="AR137">
        <f>(AQ137/AP137*AO137)</f>
        <v>1.5862068965517243E-4</v>
      </c>
      <c r="AT137" t="s">
        <v>74</v>
      </c>
      <c r="AU137">
        <f>AU135+AU127+AU119+AU111+AZ140</f>
        <v>92789789.029925004</v>
      </c>
      <c r="AY137" t="s">
        <v>87</v>
      </c>
      <c r="BA137">
        <v>20</v>
      </c>
    </row>
    <row r="138" spans="23:53" x14ac:dyDescent="0.35">
      <c r="W138" t="s">
        <v>52</v>
      </c>
      <c r="Y138">
        <v>10</v>
      </c>
      <c r="AN138" s="4" t="s">
        <v>19</v>
      </c>
      <c r="AO138" s="3">
        <v>0.8</v>
      </c>
      <c r="AP138">
        <v>1.45</v>
      </c>
      <c r="AQ138">
        <v>0.02</v>
      </c>
      <c r="AR138">
        <f>(AQ138/AP138*AO138)</f>
        <v>1.1034482758620692E-2</v>
      </c>
    </row>
    <row r="139" spans="23:53" x14ac:dyDescent="0.35">
      <c r="AR139">
        <f>SUM(AR136:AR138)</f>
        <v>2.2227586206896556E-2</v>
      </c>
      <c r="AT139" t="s">
        <v>81</v>
      </c>
      <c r="AU139">
        <f>AU134+AU126+AU118+AU110+AZ139</f>
        <v>25774.941397201394</v>
      </c>
      <c r="AY139" t="s">
        <v>53</v>
      </c>
      <c r="AZ139">
        <f xml:space="preserve"> BA137/BA135</f>
        <v>2187.7050973528767</v>
      </c>
    </row>
    <row r="140" spans="23:53" x14ac:dyDescent="0.35">
      <c r="W140" t="s">
        <v>53</v>
      </c>
      <c r="X140">
        <f>Y138/(Z136+Z137)</f>
        <v>356.73515981735159</v>
      </c>
      <c r="AY140" t="s">
        <v>69</v>
      </c>
      <c r="AZ140">
        <f>AZ139*3600</f>
        <v>7875738.3504703557</v>
      </c>
    </row>
    <row r="141" spans="23:53" ht="18.5" x14ac:dyDescent="0.45">
      <c r="W141" t="s">
        <v>59</v>
      </c>
      <c r="X141">
        <f>X140*3600</f>
        <v>1284246.5753424657</v>
      </c>
      <c r="AT141" s="8" t="s">
        <v>5</v>
      </c>
    </row>
    <row r="142" spans="23:53" x14ac:dyDescent="0.35">
      <c r="AT142" t="s">
        <v>80</v>
      </c>
      <c r="AW142">
        <f>2*AL86</f>
        <v>3.7012000000000003E-2</v>
      </c>
    </row>
    <row r="143" spans="23:53" x14ac:dyDescent="0.35">
      <c r="AN143" s="2" t="s">
        <v>7</v>
      </c>
      <c r="AO143" s="3">
        <v>204</v>
      </c>
      <c r="AP143">
        <v>0.2</v>
      </c>
      <c r="AQ143">
        <v>0.05</v>
      </c>
      <c r="AR143">
        <f>(AQ143/AP143*AO143)</f>
        <v>51</v>
      </c>
    </row>
    <row r="144" spans="23:53" x14ac:dyDescent="0.35">
      <c r="W144" t="s">
        <v>82</v>
      </c>
      <c r="Z144">
        <f>T27</f>
        <v>2.6218690816946521E-3</v>
      </c>
      <c r="AN144" s="4" t="s">
        <v>25</v>
      </c>
      <c r="AO144" s="3">
        <v>52</v>
      </c>
      <c r="AP144">
        <v>4.3</v>
      </c>
      <c r="AQ144">
        <v>0.05</v>
      </c>
      <c r="AR144">
        <f>(AQ144/AP144*AO144)</f>
        <v>0.60465116279069775</v>
      </c>
      <c r="AT144" t="s">
        <v>52</v>
      </c>
      <c r="AV144">
        <v>10</v>
      </c>
    </row>
    <row r="146" spans="23:49" x14ac:dyDescent="0.35">
      <c r="W146" t="s">
        <v>52</v>
      </c>
      <c r="Y146">
        <v>-25</v>
      </c>
      <c r="AQ146" t="s">
        <v>37</v>
      </c>
      <c r="AR146" s="6">
        <f>1/((1/AR132)+2*((1/AR134)+(1/AR139))+(1/AR143)+(1/AR144))</f>
        <v>4.7497589454964595E-3</v>
      </c>
      <c r="AT146" t="s">
        <v>53</v>
      </c>
      <c r="AU146">
        <f>AV144/AW142</f>
        <v>270.18264346698368</v>
      </c>
    </row>
    <row r="147" spans="23:49" x14ac:dyDescent="0.35">
      <c r="AT147" t="s">
        <v>59</v>
      </c>
      <c r="AU147">
        <f>AU146*3600</f>
        <v>972657.51648114121</v>
      </c>
    </row>
    <row r="148" spans="23:49" x14ac:dyDescent="0.35">
      <c r="W148" t="s">
        <v>53</v>
      </c>
      <c r="X148">
        <f>Y146/Z144</f>
        <v>-9535.1824294145081</v>
      </c>
    </row>
    <row r="149" spans="23:49" x14ac:dyDescent="0.35">
      <c r="W149" t="s">
        <v>69</v>
      </c>
      <c r="X149">
        <f>X148*3600</f>
        <v>-34326656.745892227</v>
      </c>
    </row>
    <row r="150" spans="23:49" x14ac:dyDescent="0.35">
      <c r="AT150" t="s">
        <v>82</v>
      </c>
      <c r="AW150">
        <f>AF104</f>
        <v>1.6631130581551694E-3</v>
      </c>
    </row>
    <row r="151" spans="23:49" x14ac:dyDescent="0.35">
      <c r="W151" t="s">
        <v>83</v>
      </c>
      <c r="Z151">
        <f>Z144</f>
        <v>2.6218690816946521E-3</v>
      </c>
    </row>
    <row r="152" spans="23:49" x14ac:dyDescent="0.35">
      <c r="AT152" t="s">
        <v>52</v>
      </c>
      <c r="AV152">
        <v>-25</v>
      </c>
    </row>
    <row r="153" spans="23:49" x14ac:dyDescent="0.35">
      <c r="W153" t="s">
        <v>52</v>
      </c>
      <c r="Y153">
        <v>-15</v>
      </c>
    </row>
    <row r="154" spans="23:49" x14ac:dyDescent="0.35">
      <c r="AT154" t="s">
        <v>53</v>
      </c>
      <c r="AU154">
        <f>AV152/AW150</f>
        <v>-15032.050814231226</v>
      </c>
    </row>
    <row r="155" spans="23:49" x14ac:dyDescent="0.35">
      <c r="W155" t="s">
        <v>84</v>
      </c>
      <c r="X155">
        <f>Y153/Z151</f>
        <v>-5721.1094576487048</v>
      </c>
      <c r="AT155" t="s">
        <v>69</v>
      </c>
      <c r="AU155">
        <f>AU154*3600</f>
        <v>-54115382.931232415</v>
      </c>
    </row>
    <row r="156" spans="23:49" x14ac:dyDescent="0.35">
      <c r="W156" t="s">
        <v>69</v>
      </c>
      <c r="X156">
        <f>X155*3600</f>
        <v>-20595994.047535338</v>
      </c>
    </row>
    <row r="157" spans="23:49" x14ac:dyDescent="0.35">
      <c r="AT157" t="s">
        <v>83</v>
      </c>
      <c r="AW157">
        <f>AF104</f>
        <v>1.6631130581551694E-3</v>
      </c>
    </row>
    <row r="158" spans="23:49" x14ac:dyDescent="0.35">
      <c r="W158" t="s">
        <v>85</v>
      </c>
      <c r="Z158">
        <f>Z22</f>
        <v>4.1830000000000001E-3</v>
      </c>
    </row>
    <row r="159" spans="23:49" x14ac:dyDescent="0.35">
      <c r="AT159" t="s">
        <v>52</v>
      </c>
      <c r="AV159">
        <v>-15</v>
      </c>
    </row>
    <row r="160" spans="23:49" x14ac:dyDescent="0.35">
      <c r="W160" t="s">
        <v>52</v>
      </c>
      <c r="Y160">
        <v>-5</v>
      </c>
    </row>
    <row r="161" spans="23:53" x14ac:dyDescent="0.35">
      <c r="AT161" t="s">
        <v>84</v>
      </c>
      <c r="AU161">
        <f>AV159/AW157</f>
        <v>-9019.2304885387366</v>
      </c>
    </row>
    <row r="162" spans="23:53" x14ac:dyDescent="0.35">
      <c r="W162" t="s">
        <v>84</v>
      </c>
      <c r="X162">
        <f>Y160/Z158</f>
        <v>-1195.3143676786995</v>
      </c>
      <c r="AT162" t="s">
        <v>69</v>
      </c>
      <c r="AU162">
        <f>AU161*3600</f>
        <v>-32469229.758739453</v>
      </c>
    </row>
    <row r="163" spans="23:53" x14ac:dyDescent="0.35">
      <c r="W163" t="s">
        <v>69</v>
      </c>
      <c r="X163">
        <f xml:space="preserve"> X162*3600</f>
        <v>-4303131.7236433178</v>
      </c>
    </row>
    <row r="164" spans="23:53" x14ac:dyDescent="0.35">
      <c r="AT164" t="s">
        <v>85</v>
      </c>
      <c r="AW164">
        <f>AL99</f>
        <v>7.8760000000000011E-3</v>
      </c>
    </row>
    <row r="165" spans="23:53" x14ac:dyDescent="0.35">
      <c r="W165" t="s">
        <v>74</v>
      </c>
      <c r="X165">
        <f>X163+X156+X149+X141+AC194</f>
        <v>-54003666.766493239</v>
      </c>
    </row>
    <row r="166" spans="23:53" x14ac:dyDescent="0.35">
      <c r="AT166" t="s">
        <v>52</v>
      </c>
      <c r="AV166">
        <v>-5</v>
      </c>
    </row>
    <row r="167" spans="23:53" ht="18.5" x14ac:dyDescent="0.45">
      <c r="W167" s="7" t="s">
        <v>66</v>
      </c>
    </row>
    <row r="168" spans="23:53" x14ac:dyDescent="0.35">
      <c r="AT168" t="s">
        <v>84</v>
      </c>
      <c r="AU168">
        <f>AV166/AW164</f>
        <v>-634.84002031488058</v>
      </c>
    </row>
    <row r="169" spans="23:53" x14ac:dyDescent="0.35">
      <c r="W169" t="s">
        <v>86</v>
      </c>
      <c r="Y169">
        <f>AF24</f>
        <v>9.5506060606060615E-3</v>
      </c>
      <c r="AT169" t="s">
        <v>69</v>
      </c>
      <c r="AU169">
        <f xml:space="preserve"> AU168*3600</f>
        <v>-2285424.0731335701</v>
      </c>
      <c r="AY169" t="s">
        <v>100</v>
      </c>
      <c r="BA169">
        <v>9.1420000000000008E-3</v>
      </c>
    </row>
    <row r="171" spans="23:53" x14ac:dyDescent="0.35">
      <c r="AT171" t="s">
        <v>76</v>
      </c>
      <c r="AU171">
        <f>AU168+AU161+AU154+AU146+AZ173</f>
        <v>-23322.086130941425</v>
      </c>
      <c r="AY171" t="s">
        <v>87</v>
      </c>
      <c r="BA171">
        <v>10</v>
      </c>
    </row>
    <row r="172" spans="23:53" x14ac:dyDescent="0.35">
      <c r="W172" t="s">
        <v>87</v>
      </c>
      <c r="Y172">
        <v>5</v>
      </c>
      <c r="AT172" t="s">
        <v>74</v>
      </c>
      <c r="AU172">
        <f>AU169+AU162+AU155+AU147+AZ174</f>
        <v>-83959510.071389109</v>
      </c>
    </row>
    <row r="173" spans="23:53" x14ac:dyDescent="0.35">
      <c r="AY173" t="s">
        <v>53</v>
      </c>
      <c r="AZ173">
        <f xml:space="preserve"> BA171/BA169</f>
        <v>1093.8525486764383</v>
      </c>
    </row>
    <row r="174" spans="23:53" ht="18.5" x14ac:dyDescent="0.45">
      <c r="W174" t="s">
        <v>53</v>
      </c>
      <c r="X174">
        <f xml:space="preserve"> Y172/(Y169+Y170)</f>
        <v>523.52698543643112</v>
      </c>
      <c r="AT174" s="7" t="s">
        <v>66</v>
      </c>
      <c r="AY174" t="s">
        <v>69</v>
      </c>
      <c r="AZ174">
        <f>AZ173*3600</f>
        <v>3937869.1752351779</v>
      </c>
    </row>
    <row r="175" spans="23:53" x14ac:dyDescent="0.35">
      <c r="W175" t="s">
        <v>69</v>
      </c>
      <c r="X175">
        <f>X174*3600</f>
        <v>1884697.1475711521</v>
      </c>
      <c r="AB175" t="s">
        <v>105</v>
      </c>
      <c r="AD175">
        <v>9.1420000000000008E-3</v>
      </c>
    </row>
    <row r="176" spans="23:53" x14ac:dyDescent="0.35">
      <c r="AT176" t="s">
        <v>86</v>
      </c>
      <c r="AV176">
        <f>AR116</f>
        <v>5.5038052616368542E-3</v>
      </c>
    </row>
    <row r="177" spans="23:48" x14ac:dyDescent="0.35">
      <c r="W177" t="s">
        <v>88</v>
      </c>
      <c r="Y177">
        <f>T27</f>
        <v>2.6218690816946521E-3</v>
      </c>
      <c r="AB177" t="s">
        <v>87</v>
      </c>
      <c r="AD177">
        <v>30</v>
      </c>
    </row>
    <row r="178" spans="23:48" x14ac:dyDescent="0.35">
      <c r="AT178" t="s">
        <v>87</v>
      </c>
      <c r="AV178">
        <v>5</v>
      </c>
    </row>
    <row r="179" spans="23:48" x14ac:dyDescent="0.35">
      <c r="W179" t="s">
        <v>52</v>
      </c>
      <c r="Y179">
        <v>-25</v>
      </c>
      <c r="AB179" t="s">
        <v>53</v>
      </c>
      <c r="AC179">
        <f xml:space="preserve"> AD177/(AD175+AD176)</f>
        <v>3281.557646029315</v>
      </c>
    </row>
    <row r="180" spans="23:48" x14ac:dyDescent="0.35">
      <c r="AB180" t="s">
        <v>69</v>
      </c>
      <c r="AC180">
        <f>AC179*3600</f>
        <v>11813607.525705535</v>
      </c>
      <c r="AT180" t="s">
        <v>53</v>
      </c>
      <c r="AU180">
        <f xml:space="preserve"> AV178/(AV176+AV177)</f>
        <v>908.46237508646504</v>
      </c>
    </row>
    <row r="181" spans="23:48" x14ac:dyDescent="0.35">
      <c r="W181" t="s">
        <v>84</v>
      </c>
      <c r="X181">
        <f>Y179/Y177</f>
        <v>-9535.1824294145081</v>
      </c>
      <c r="AT181" t="s">
        <v>69</v>
      </c>
      <c r="AU181">
        <f>AU180*3600</f>
        <v>3270464.5503112744</v>
      </c>
    </row>
    <row r="182" spans="23:48" x14ac:dyDescent="0.35">
      <c r="W182" t="s">
        <v>69</v>
      </c>
      <c r="X182">
        <f>X181*3600</f>
        <v>-34326656.745892227</v>
      </c>
      <c r="AB182" t="s">
        <v>106</v>
      </c>
      <c r="AD182">
        <v>9.1420000000000008E-3</v>
      </c>
    </row>
    <row r="183" spans="23:48" x14ac:dyDescent="0.35">
      <c r="AT183" t="s">
        <v>88</v>
      </c>
      <c r="AV183" s="9">
        <f>AF104</f>
        <v>1.6631130581551694E-3</v>
      </c>
    </row>
    <row r="184" spans="23:48" x14ac:dyDescent="0.35">
      <c r="W184" t="s">
        <v>89</v>
      </c>
      <c r="Y184">
        <f>Y177</f>
        <v>2.6218690816946521E-3</v>
      </c>
      <c r="AB184" t="s">
        <v>87</v>
      </c>
      <c r="AD184">
        <v>20</v>
      </c>
    </row>
    <row r="185" spans="23:48" x14ac:dyDescent="0.35">
      <c r="AT185" t="s">
        <v>52</v>
      </c>
      <c r="AV185">
        <v>-25</v>
      </c>
    </row>
    <row r="186" spans="23:48" x14ac:dyDescent="0.35">
      <c r="W186" t="s">
        <v>52</v>
      </c>
      <c r="Y186">
        <v>-15</v>
      </c>
      <c r="AB186" t="s">
        <v>53</v>
      </c>
      <c r="AC186">
        <f xml:space="preserve"> AD184/(AD182+AD183)</f>
        <v>2187.7050973528767</v>
      </c>
    </row>
    <row r="187" spans="23:48" x14ac:dyDescent="0.35">
      <c r="AB187" t="s">
        <v>69</v>
      </c>
      <c r="AC187">
        <f>AC186*3600</f>
        <v>7875738.3504703557</v>
      </c>
      <c r="AT187" t="s">
        <v>84</v>
      </c>
      <c r="AU187">
        <f>AV185/AV183</f>
        <v>-15032.050814231226</v>
      </c>
    </row>
    <row r="188" spans="23:48" x14ac:dyDescent="0.35">
      <c r="W188" t="s">
        <v>84</v>
      </c>
      <c r="X188">
        <f>Y186/Y184</f>
        <v>-5721.1094576487048</v>
      </c>
      <c r="AT188" t="s">
        <v>69</v>
      </c>
      <c r="AU188">
        <f>AU187*3600</f>
        <v>-54115382.931232415</v>
      </c>
    </row>
    <row r="189" spans="23:48" x14ac:dyDescent="0.35">
      <c r="W189" t="s">
        <v>69</v>
      </c>
      <c r="X189">
        <f>X188*3600</f>
        <v>-20595994.047535338</v>
      </c>
      <c r="AB189" t="s">
        <v>107</v>
      </c>
      <c r="AD189">
        <v>9.1420000000000008E-3</v>
      </c>
    </row>
    <row r="190" spans="23:48" x14ac:dyDescent="0.35">
      <c r="AT190" t="s">
        <v>89</v>
      </c>
      <c r="AV190">
        <f>AV183</f>
        <v>1.6631130581551694E-3</v>
      </c>
    </row>
    <row r="191" spans="23:48" x14ac:dyDescent="0.35">
      <c r="W191" t="s">
        <v>90</v>
      </c>
      <c r="Z191">
        <f>2*AR82</f>
        <v>2.3000000000000001E-4</v>
      </c>
      <c r="AB191" t="s">
        <v>87</v>
      </c>
      <c r="AD191">
        <v>10</v>
      </c>
    </row>
    <row r="192" spans="23:48" x14ac:dyDescent="0.35">
      <c r="AT192" t="s">
        <v>52</v>
      </c>
      <c r="AV192">
        <v>-15</v>
      </c>
    </row>
    <row r="193" spans="23:49" x14ac:dyDescent="0.35">
      <c r="W193" t="s">
        <v>52</v>
      </c>
      <c r="Y193">
        <v>5</v>
      </c>
      <c r="AB193" t="s">
        <v>53</v>
      </c>
      <c r="AC193">
        <f xml:space="preserve"> AD191/(AD189+AD190)</f>
        <v>1093.8525486764383</v>
      </c>
    </row>
    <row r="194" spans="23:49" x14ac:dyDescent="0.35">
      <c r="AB194" t="s">
        <v>69</v>
      </c>
      <c r="AC194">
        <f>AC193*3600</f>
        <v>3937869.1752351779</v>
      </c>
      <c r="AT194" t="s">
        <v>84</v>
      </c>
      <c r="AU194">
        <f>AV192/AV190</f>
        <v>-9019.2304885387366</v>
      </c>
    </row>
    <row r="195" spans="23:49" x14ac:dyDescent="0.35">
      <c r="W195" t="s">
        <v>84</v>
      </c>
      <c r="X195">
        <f>Y193/Z191</f>
        <v>21739.130434782608</v>
      </c>
      <c r="AT195" t="s">
        <v>69</v>
      </c>
      <c r="AU195">
        <f>AU194*3600</f>
        <v>-32469229.758739453</v>
      </c>
    </row>
    <row r="196" spans="23:49" x14ac:dyDescent="0.35">
      <c r="W196" t="s">
        <v>69</v>
      </c>
      <c r="X196">
        <f>X195*3600</f>
        <v>78260869.565217391</v>
      </c>
      <c r="AB196" t="s">
        <v>104</v>
      </c>
      <c r="AD196">
        <v>9.1420000000000008E-3</v>
      </c>
    </row>
    <row r="197" spans="23:49" x14ac:dyDescent="0.35">
      <c r="AT197" t="s">
        <v>90</v>
      </c>
      <c r="AW197">
        <f>2*AR86</f>
        <v>3.7012000000000003E-2</v>
      </c>
    </row>
    <row r="198" spans="23:49" x14ac:dyDescent="0.35">
      <c r="W198" t="s">
        <v>74</v>
      </c>
      <c r="X198">
        <f>X196+X189+X182+X175+AC201</f>
        <v>27191850.506978568</v>
      </c>
      <c r="AB198" t="s">
        <v>87</v>
      </c>
      <c r="AD198">
        <v>5</v>
      </c>
    </row>
    <row r="199" spans="23:49" x14ac:dyDescent="0.35">
      <c r="AT199" t="s">
        <v>52</v>
      </c>
      <c r="AV199">
        <v>5</v>
      </c>
    </row>
    <row r="200" spans="23:49" x14ac:dyDescent="0.35">
      <c r="AB200" t="s">
        <v>53</v>
      </c>
      <c r="AC200">
        <f xml:space="preserve"> AD198/(AD196+AD197)</f>
        <v>546.92627433821917</v>
      </c>
    </row>
    <row r="201" spans="23:49" ht="18.5" x14ac:dyDescent="0.45">
      <c r="W201" s="7" t="s">
        <v>68</v>
      </c>
      <c r="AB201" t="s">
        <v>69</v>
      </c>
      <c r="AC201">
        <f>AC200*3600</f>
        <v>1968934.5876175889</v>
      </c>
      <c r="AT201" t="s">
        <v>84</v>
      </c>
      <c r="AU201">
        <f>AV199/AW197</f>
        <v>135.09132173349184</v>
      </c>
    </row>
    <row r="202" spans="23:49" x14ac:dyDescent="0.35">
      <c r="AT202" t="s">
        <v>69</v>
      </c>
      <c r="AU202">
        <f>AU201*3600</f>
        <v>486328.75824057061</v>
      </c>
    </row>
    <row r="203" spans="23:49" x14ac:dyDescent="0.35">
      <c r="W203" t="s">
        <v>91</v>
      </c>
      <c r="Y203">
        <f>AF63</f>
        <v>4.0222008208839945E-3</v>
      </c>
      <c r="AB203" t="s">
        <v>91</v>
      </c>
      <c r="AD203">
        <v>9.1420000000000008E-3</v>
      </c>
    </row>
    <row r="204" spans="23:49" x14ac:dyDescent="0.35">
      <c r="AT204" t="s">
        <v>74</v>
      </c>
      <c r="AU204">
        <f>AU202+AU195+AU188+AU181+AP235</f>
        <v>-80858884.79380244</v>
      </c>
    </row>
    <row r="205" spans="23:49" x14ac:dyDescent="0.35">
      <c r="W205" t="s">
        <v>87</v>
      </c>
      <c r="Y205">
        <v>5</v>
      </c>
      <c r="AB205" t="s">
        <v>87</v>
      </c>
      <c r="AD205">
        <v>5</v>
      </c>
      <c r="AT205" t="s">
        <v>81</v>
      </c>
      <c r="AU205">
        <f>AU201+AU194+AU187+AU180+AP234</f>
        <v>-22460.801331611783</v>
      </c>
    </row>
    <row r="207" spans="23:49" ht="18.5" x14ac:dyDescent="0.45">
      <c r="W207" t="s">
        <v>53</v>
      </c>
      <c r="X207">
        <f xml:space="preserve"> Y205/(Y203+Y204)</f>
        <v>1243.100536909817</v>
      </c>
      <c r="AB207" t="s">
        <v>53</v>
      </c>
      <c r="AC207">
        <f xml:space="preserve"> AD205/(AD203+AD204)</f>
        <v>546.92627433821917</v>
      </c>
      <c r="AT207" s="7" t="s">
        <v>68</v>
      </c>
    </row>
    <row r="208" spans="23:49" x14ac:dyDescent="0.35">
      <c r="W208" t="s">
        <v>69</v>
      </c>
      <c r="X208">
        <f>X207*3600</f>
        <v>4475161.9328753417</v>
      </c>
      <c r="AB208" t="s">
        <v>69</v>
      </c>
      <c r="AC208">
        <f>AC207*3600</f>
        <v>1968934.5876175889</v>
      </c>
    </row>
    <row r="209" spans="23:48" x14ac:dyDescent="0.35">
      <c r="AT209" t="s">
        <v>91</v>
      </c>
      <c r="AV209">
        <f>AR146</f>
        <v>4.7497589454964595E-3</v>
      </c>
    </row>
    <row r="210" spans="23:48" x14ac:dyDescent="0.35">
      <c r="W210" t="s">
        <v>92</v>
      </c>
      <c r="Y210" s="9">
        <f>2*AR82</f>
        <v>2.3000000000000001E-4</v>
      </c>
    </row>
    <row r="211" spans="23:48" x14ac:dyDescent="0.35">
      <c r="AT211" t="s">
        <v>87</v>
      </c>
      <c r="AV211">
        <v>5</v>
      </c>
    </row>
    <row r="212" spans="23:48" x14ac:dyDescent="0.35">
      <c r="W212" t="s">
        <v>87</v>
      </c>
      <c r="Y212">
        <v>5</v>
      </c>
    </row>
    <row r="213" spans="23:48" x14ac:dyDescent="0.35">
      <c r="AT213" t="s">
        <v>53</v>
      </c>
      <c r="AU213">
        <f xml:space="preserve"> AV211/(AV209+AV210)</f>
        <v>1052.6850009390075</v>
      </c>
    </row>
    <row r="214" spans="23:48" x14ac:dyDescent="0.35">
      <c r="W214" t="s">
        <v>53</v>
      </c>
      <c r="X214">
        <f xml:space="preserve"> Y212/Y210</f>
        <v>21739.130434782608</v>
      </c>
      <c r="AT214" t="s">
        <v>69</v>
      </c>
      <c r="AU214">
        <f>AU213*3600</f>
        <v>3789666.0033804271</v>
      </c>
    </row>
    <row r="215" spans="23:48" x14ac:dyDescent="0.35">
      <c r="W215" t="s">
        <v>69</v>
      </c>
      <c r="X215">
        <f>X214*3600</f>
        <v>78260869.565217391</v>
      </c>
    </row>
    <row r="216" spans="23:48" x14ac:dyDescent="0.35">
      <c r="AT216" t="s">
        <v>92</v>
      </c>
      <c r="AV216" s="9">
        <f>2*AR86</f>
        <v>3.7012000000000003E-2</v>
      </c>
    </row>
    <row r="217" spans="23:48" x14ac:dyDescent="0.35">
      <c r="W217" t="s">
        <v>93</v>
      </c>
      <c r="Y217" s="9">
        <f>Z22</f>
        <v>4.1830000000000001E-3</v>
      </c>
    </row>
    <row r="218" spans="23:48" x14ac:dyDescent="0.35">
      <c r="AT218" t="s">
        <v>87</v>
      </c>
      <c r="AV218">
        <v>5</v>
      </c>
    </row>
    <row r="219" spans="23:48" x14ac:dyDescent="0.35">
      <c r="W219" t="s">
        <v>87</v>
      </c>
      <c r="Y219">
        <f>-5</f>
        <v>-5</v>
      </c>
    </row>
    <row r="220" spans="23:48" x14ac:dyDescent="0.35">
      <c r="AT220" t="s">
        <v>53</v>
      </c>
      <c r="AU220">
        <f xml:space="preserve"> AV218/AV216</f>
        <v>135.09132173349184</v>
      </c>
    </row>
    <row r="221" spans="23:48" x14ac:dyDescent="0.35">
      <c r="W221" t="s">
        <v>53</v>
      </c>
      <c r="X221">
        <f xml:space="preserve"> Y219/Y217</f>
        <v>-1195.3143676786995</v>
      </c>
      <c r="AT221" t="s">
        <v>69</v>
      </c>
      <c r="AU221">
        <f>AU220*3600</f>
        <v>486328.75824057061</v>
      </c>
    </row>
    <row r="222" spans="23:48" x14ac:dyDescent="0.35">
      <c r="W222" t="s">
        <v>69</v>
      </c>
      <c r="X222">
        <f>X221*3600</f>
        <v>-4303131.7236433178</v>
      </c>
    </row>
    <row r="223" spans="23:48" x14ac:dyDescent="0.35">
      <c r="AT223" t="s">
        <v>93</v>
      </c>
      <c r="AV223" s="9">
        <f>AL99</f>
        <v>7.8760000000000011E-3</v>
      </c>
    </row>
    <row r="224" spans="23:48" x14ac:dyDescent="0.35">
      <c r="W224" t="s">
        <v>74</v>
      </c>
      <c r="X224">
        <f>X222+X215+X208+AC208</f>
        <v>80401834.362066999</v>
      </c>
    </row>
    <row r="225" spans="22:48" x14ac:dyDescent="0.35">
      <c r="AT225" t="s">
        <v>87</v>
      </c>
      <c r="AV225">
        <f>-5</f>
        <v>-5</v>
      </c>
    </row>
    <row r="227" spans="22:48" x14ac:dyDescent="0.35">
      <c r="W227" t="s">
        <v>94</v>
      </c>
      <c r="Y227">
        <f>SUM(X224,X198,X165,X131,X95)</f>
        <v>227704017.83916152</v>
      </c>
      <c r="Z227" t="s">
        <v>108</v>
      </c>
      <c r="AT227" t="s">
        <v>53</v>
      </c>
      <c r="AU227">
        <f xml:space="preserve"> AV225/AV223</f>
        <v>-634.84002031488058</v>
      </c>
    </row>
    <row r="228" spans="22:48" x14ac:dyDescent="0.35">
      <c r="AT228" t="s">
        <v>69</v>
      </c>
      <c r="AU228">
        <f>AU227*3600</f>
        <v>-2285424.0731335701</v>
      </c>
    </row>
    <row r="230" spans="22:48" x14ac:dyDescent="0.35">
      <c r="AO230" t="s">
        <v>98</v>
      </c>
      <c r="AQ230">
        <v>9.1420000000000008E-3</v>
      </c>
      <c r="AT230" t="s">
        <v>97</v>
      </c>
      <c r="AV230">
        <v>9.1420000000000008E-3</v>
      </c>
    </row>
    <row r="231" spans="22:48" ht="18.5" x14ac:dyDescent="0.45">
      <c r="V231" t="s">
        <v>95</v>
      </c>
      <c r="W231" s="7" t="s">
        <v>4</v>
      </c>
    </row>
    <row r="232" spans="22:48" x14ac:dyDescent="0.35">
      <c r="W232" t="s">
        <v>50</v>
      </c>
      <c r="Z232">
        <f>T13</f>
        <v>7.0080000000000003E-3</v>
      </c>
      <c r="AO232" t="s">
        <v>87</v>
      </c>
      <c r="AQ232">
        <f>5</f>
        <v>5</v>
      </c>
      <c r="AT232" t="s">
        <v>87</v>
      </c>
      <c r="AV232">
        <f>5</f>
        <v>5</v>
      </c>
    </row>
    <row r="234" spans="22:48" x14ac:dyDescent="0.35">
      <c r="W234" t="s">
        <v>52</v>
      </c>
      <c r="Y234">
        <v>38</v>
      </c>
      <c r="AO234" t="s">
        <v>53</v>
      </c>
      <c r="AP234">
        <f xml:space="preserve"> AQ232/AQ230</f>
        <v>546.92627433821917</v>
      </c>
      <c r="AT234" t="s">
        <v>53</v>
      </c>
      <c r="AU234">
        <f xml:space="preserve"> AV232/AV230</f>
        <v>546.92627433821917</v>
      </c>
    </row>
    <row r="235" spans="22:48" x14ac:dyDescent="0.35">
      <c r="AO235" t="s">
        <v>69</v>
      </c>
      <c r="AP235">
        <f>AP234*3600</f>
        <v>1968934.5876175889</v>
      </c>
      <c r="AT235" t="s">
        <v>69</v>
      </c>
      <c r="AU235">
        <f>AU234*3600</f>
        <v>1968934.5876175889</v>
      </c>
    </row>
    <row r="236" spans="22:48" x14ac:dyDescent="0.35">
      <c r="W236" t="s">
        <v>53</v>
      </c>
      <c r="X236">
        <f>Y234/(Z232+Z233)</f>
        <v>5422.3744292237443</v>
      </c>
    </row>
    <row r="237" spans="22:48" x14ac:dyDescent="0.35">
      <c r="W237" t="s">
        <v>59</v>
      </c>
      <c r="X237">
        <f>X236*3600</f>
        <v>19520547.94520548</v>
      </c>
    </row>
    <row r="238" spans="22:48" x14ac:dyDescent="0.35">
      <c r="AT238" t="s">
        <v>74</v>
      </c>
      <c r="AU238">
        <f>AU228+AU221+AU214+AU235</f>
        <v>3959505.2761050165</v>
      </c>
    </row>
    <row r="239" spans="22:48" x14ac:dyDescent="0.35">
      <c r="AT239" t="s">
        <v>81</v>
      </c>
      <c r="AU239">
        <f>AU213+AU220+AU227+AU234</f>
        <v>1099.862576695838</v>
      </c>
    </row>
    <row r="240" spans="22:48" x14ac:dyDescent="0.35">
      <c r="W240" t="s">
        <v>67</v>
      </c>
      <c r="Z240">
        <f>T41</f>
        <v>2.2068909057980464E-3</v>
      </c>
    </row>
    <row r="241" spans="23:49" x14ac:dyDescent="0.35">
      <c r="AT241" t="s">
        <v>94</v>
      </c>
      <c r="AV241">
        <f>SUM(AU238,AU204,AU172,AU137,AU101)</f>
        <v>75841494.056909159</v>
      </c>
      <c r="AW241" t="s">
        <v>96</v>
      </c>
    </row>
    <row r="242" spans="23:49" x14ac:dyDescent="0.35">
      <c r="W242" t="s">
        <v>52</v>
      </c>
      <c r="Y242">
        <v>10</v>
      </c>
    </row>
    <row r="244" spans="23:49" x14ac:dyDescent="0.35">
      <c r="W244" t="s">
        <v>53</v>
      </c>
      <c r="X244">
        <f>Y242/Z240</f>
        <v>4531.2615923730236</v>
      </c>
    </row>
    <row r="245" spans="23:49" x14ac:dyDescent="0.35">
      <c r="W245" t="s">
        <v>59</v>
      </c>
      <c r="X245">
        <f>X244*3600</f>
        <v>16312541.732542885</v>
      </c>
    </row>
    <row r="247" spans="23:49" x14ac:dyDescent="0.35">
      <c r="W247" t="s">
        <v>70</v>
      </c>
      <c r="Z247">
        <f>T27</f>
        <v>2.6218690816946521E-3</v>
      </c>
    </row>
    <row r="249" spans="23:49" x14ac:dyDescent="0.35">
      <c r="W249" t="s">
        <v>52</v>
      </c>
      <c r="Y249">
        <v>20</v>
      </c>
    </row>
    <row r="251" spans="23:49" x14ac:dyDescent="0.35">
      <c r="W251" t="s">
        <v>53</v>
      </c>
      <c r="X251">
        <f>20/Z247</f>
        <v>7628.1459435316074</v>
      </c>
    </row>
    <row r="252" spans="23:49" x14ac:dyDescent="0.35">
      <c r="W252" t="s">
        <v>59</v>
      </c>
      <c r="X252">
        <f>X251*3600</f>
        <v>27461325.396713786</v>
      </c>
    </row>
    <row r="256" spans="23:49" x14ac:dyDescent="0.35">
      <c r="W256" t="s">
        <v>73</v>
      </c>
      <c r="Z256">
        <f>T27</f>
        <v>2.6218690816946521E-3</v>
      </c>
    </row>
    <row r="258" spans="23:26" x14ac:dyDescent="0.35">
      <c r="W258" t="s">
        <v>52</v>
      </c>
      <c r="Y258">
        <v>25</v>
      </c>
    </row>
    <row r="260" spans="23:26" x14ac:dyDescent="0.35">
      <c r="W260" t="s">
        <v>53</v>
      </c>
      <c r="X260">
        <f>Y258/Z256</f>
        <v>9535.1824294145081</v>
      </c>
    </row>
    <row r="261" spans="23:26" x14ac:dyDescent="0.35">
      <c r="W261" t="s">
        <v>59</v>
      </c>
      <c r="X261">
        <f>X260*3600</f>
        <v>34326656.745892227</v>
      </c>
    </row>
    <row r="263" spans="23:26" x14ac:dyDescent="0.35">
      <c r="W263" t="s">
        <v>74</v>
      </c>
      <c r="X263">
        <f>X261+X252+X245+X237+AC364</f>
        <v>112584974.68624805</v>
      </c>
    </row>
    <row r="267" spans="23:26" ht="18.5" x14ac:dyDescent="0.45">
      <c r="W267" s="7" t="s">
        <v>65</v>
      </c>
    </row>
    <row r="268" spans="23:26" x14ac:dyDescent="0.35">
      <c r="W268" t="s">
        <v>75</v>
      </c>
      <c r="Z268">
        <f>T13</f>
        <v>7.0080000000000003E-3</v>
      </c>
    </row>
    <row r="270" spans="23:26" x14ac:dyDescent="0.35">
      <c r="W270" t="s">
        <v>52</v>
      </c>
      <c r="Y270">
        <v>28</v>
      </c>
    </row>
    <row r="272" spans="23:26" x14ac:dyDescent="0.35">
      <c r="W272" t="s">
        <v>53</v>
      </c>
      <c r="X272">
        <f>Y270/(Z268+Z269)</f>
        <v>3995.4337899543375</v>
      </c>
    </row>
    <row r="273" spans="23:26" x14ac:dyDescent="0.35">
      <c r="W273" t="s">
        <v>59</v>
      </c>
      <c r="X273">
        <f>X272*3600</f>
        <v>14383561.643835615</v>
      </c>
    </row>
    <row r="276" spans="23:26" x14ac:dyDescent="0.35">
      <c r="W276" t="s">
        <v>77</v>
      </c>
      <c r="Z276">
        <f>T41</f>
        <v>2.2068909057980464E-3</v>
      </c>
    </row>
    <row r="278" spans="23:26" x14ac:dyDescent="0.35">
      <c r="W278" t="s">
        <v>52</v>
      </c>
      <c r="Y278">
        <v>10</v>
      </c>
    </row>
    <row r="280" spans="23:26" x14ac:dyDescent="0.35">
      <c r="W280" t="s">
        <v>53</v>
      </c>
      <c r="X280">
        <f>Y278/Z276</f>
        <v>4531.2615923730236</v>
      </c>
    </row>
    <row r="281" spans="23:26" x14ac:dyDescent="0.35">
      <c r="W281" t="s">
        <v>59</v>
      </c>
      <c r="X281">
        <f>X280*3600</f>
        <v>16312541.732542885</v>
      </c>
    </row>
    <row r="284" spans="23:26" x14ac:dyDescent="0.35">
      <c r="W284" t="s">
        <v>78</v>
      </c>
      <c r="Z284">
        <f>T27</f>
        <v>2.6218690816946521E-3</v>
      </c>
    </row>
    <row r="286" spans="23:26" x14ac:dyDescent="0.35">
      <c r="W286" t="s">
        <v>52</v>
      </c>
      <c r="Y286">
        <v>10</v>
      </c>
    </row>
    <row r="288" spans="23:26" x14ac:dyDescent="0.35">
      <c r="W288" t="s">
        <v>53</v>
      </c>
      <c r="X288">
        <f>Y286/Z284</f>
        <v>3814.0729717658037</v>
      </c>
    </row>
    <row r="289" spans="23:26" x14ac:dyDescent="0.35">
      <c r="W289" t="s">
        <v>59</v>
      </c>
      <c r="X289">
        <f>X288*3600</f>
        <v>13730662.698356893</v>
      </c>
    </row>
    <row r="292" spans="23:26" x14ac:dyDescent="0.35">
      <c r="W292" t="s">
        <v>79</v>
      </c>
      <c r="Z292">
        <f>T27</f>
        <v>2.6218690816946521E-3</v>
      </c>
    </row>
    <row r="294" spans="23:26" x14ac:dyDescent="0.35">
      <c r="W294" t="s">
        <v>52</v>
      </c>
      <c r="Y294">
        <v>15</v>
      </c>
    </row>
    <row r="296" spans="23:26" x14ac:dyDescent="0.35">
      <c r="W296" t="s">
        <v>53</v>
      </c>
      <c r="X296">
        <f>Y294/Z292</f>
        <v>5721.1094576487048</v>
      </c>
    </row>
    <row r="297" spans="23:26" x14ac:dyDescent="0.35">
      <c r="W297" t="s">
        <v>59</v>
      </c>
      <c r="X297">
        <f>X296*3600</f>
        <v>20595994.047535338</v>
      </c>
    </row>
    <row r="299" spans="23:26" x14ac:dyDescent="0.35">
      <c r="W299" t="s">
        <v>74</v>
      </c>
      <c r="X299">
        <f>X297+X289+X281+X273+AC371</f>
        <v>76048793.812929228</v>
      </c>
    </row>
    <row r="303" spans="23:26" ht="18.5" x14ac:dyDescent="0.45">
      <c r="W303" s="8" t="s">
        <v>5</v>
      </c>
    </row>
    <row r="304" spans="23:26" x14ac:dyDescent="0.35">
      <c r="W304" t="s">
        <v>80</v>
      </c>
      <c r="Z304">
        <f>2*Z13</f>
        <v>2.8032000000000001E-2</v>
      </c>
    </row>
    <row r="306" spans="23:26" x14ac:dyDescent="0.35">
      <c r="W306" t="s">
        <v>52</v>
      </c>
      <c r="Y306">
        <v>18</v>
      </c>
    </row>
    <row r="308" spans="23:26" x14ac:dyDescent="0.35">
      <c r="W308" t="s">
        <v>53</v>
      </c>
      <c r="X308">
        <f>Y306/(Z304+Z305)</f>
        <v>642.1232876712329</v>
      </c>
    </row>
    <row r="309" spans="23:26" x14ac:dyDescent="0.35">
      <c r="W309" t="s">
        <v>59</v>
      </c>
      <c r="X309">
        <f>X308*3600</f>
        <v>2311643.8356164386</v>
      </c>
    </row>
    <row r="312" spans="23:26" x14ac:dyDescent="0.35">
      <c r="W312" t="s">
        <v>82</v>
      </c>
      <c r="Z312">
        <f>T27</f>
        <v>2.6218690816946521E-3</v>
      </c>
    </row>
    <row r="314" spans="23:26" x14ac:dyDescent="0.35">
      <c r="W314" t="s">
        <v>52</v>
      </c>
      <c r="Y314">
        <v>-25</v>
      </c>
    </row>
    <row r="316" spans="23:26" x14ac:dyDescent="0.35">
      <c r="W316" t="s">
        <v>53</v>
      </c>
      <c r="X316">
        <f>Y314/Z312</f>
        <v>-9535.1824294145081</v>
      </c>
    </row>
    <row r="317" spans="23:26" x14ac:dyDescent="0.35">
      <c r="W317" t="s">
        <v>69</v>
      </c>
      <c r="X317">
        <f>X316*3600</f>
        <v>-34326656.745892227</v>
      </c>
    </row>
    <row r="319" spans="23:26" x14ac:dyDescent="0.35">
      <c r="W319" t="s">
        <v>83</v>
      </c>
      <c r="Z319">
        <f>Z144</f>
        <v>2.6218690816946521E-3</v>
      </c>
    </row>
    <row r="321" spans="23:26" x14ac:dyDescent="0.35">
      <c r="W321" t="s">
        <v>52</v>
      </c>
      <c r="Y321">
        <v>-15</v>
      </c>
    </row>
    <row r="323" spans="23:26" x14ac:dyDescent="0.35">
      <c r="W323" t="s">
        <v>84</v>
      </c>
      <c r="X323">
        <f>Y321/Z319</f>
        <v>-5721.1094576487048</v>
      </c>
    </row>
    <row r="324" spans="23:26" x14ac:dyDescent="0.35">
      <c r="W324" t="s">
        <v>69</v>
      </c>
      <c r="X324">
        <f>X323*3600</f>
        <v>-20595994.047535338</v>
      </c>
    </row>
    <row r="326" spans="23:26" x14ac:dyDescent="0.35">
      <c r="W326" t="s">
        <v>85</v>
      </c>
      <c r="Z326">
        <f>Z22</f>
        <v>4.1830000000000001E-3</v>
      </c>
    </row>
    <row r="328" spans="23:26" x14ac:dyDescent="0.35">
      <c r="W328" t="s">
        <v>52</v>
      </c>
      <c r="Y328">
        <v>-5</v>
      </c>
    </row>
    <row r="330" spans="23:26" x14ac:dyDescent="0.35">
      <c r="W330" t="s">
        <v>84</v>
      </c>
      <c r="X330">
        <f>Y328/Z326</f>
        <v>-1195.3143676786995</v>
      </c>
    </row>
    <row r="331" spans="23:26" x14ac:dyDescent="0.35">
      <c r="W331" t="s">
        <v>69</v>
      </c>
      <c r="X331">
        <f xml:space="preserve"> X330*3600</f>
        <v>-4303131.7236433178</v>
      </c>
    </row>
    <row r="333" spans="23:26" x14ac:dyDescent="0.35">
      <c r="W333" t="s">
        <v>74</v>
      </c>
      <c r="X333">
        <f>X331+X324+X317+X309+AC378</f>
        <v>-49825974.166031122</v>
      </c>
    </row>
    <row r="335" spans="23:26" ht="18.5" x14ac:dyDescent="0.45">
      <c r="W335" s="7" t="s">
        <v>66</v>
      </c>
    </row>
    <row r="337" spans="23:25" x14ac:dyDescent="0.35">
      <c r="W337" t="s">
        <v>86</v>
      </c>
      <c r="Y337">
        <f>AF24</f>
        <v>9.5506060606060615E-3</v>
      </c>
    </row>
    <row r="339" spans="23:25" x14ac:dyDescent="0.35">
      <c r="W339" t="s">
        <v>87</v>
      </c>
      <c r="Y339">
        <v>5</v>
      </c>
    </row>
    <row r="341" spans="23:25" x14ac:dyDescent="0.35">
      <c r="W341" t="s">
        <v>53</v>
      </c>
      <c r="X341">
        <f xml:space="preserve"> Y339/(Y337+Y338)</f>
        <v>523.52698543643112</v>
      </c>
    </row>
    <row r="342" spans="23:25" x14ac:dyDescent="0.35">
      <c r="W342" t="s">
        <v>69</v>
      </c>
      <c r="X342">
        <f>X341*3600</f>
        <v>1884697.1475711521</v>
      </c>
    </row>
    <row r="344" spans="23:25" x14ac:dyDescent="0.35">
      <c r="W344" t="s">
        <v>88</v>
      </c>
      <c r="Y344">
        <f>T27</f>
        <v>2.6218690816946521E-3</v>
      </c>
    </row>
    <row r="346" spans="23:25" x14ac:dyDescent="0.35">
      <c r="W346" t="s">
        <v>52</v>
      </c>
      <c r="Y346">
        <v>-25</v>
      </c>
    </row>
    <row r="348" spans="23:25" x14ac:dyDescent="0.35">
      <c r="W348" t="s">
        <v>84</v>
      </c>
      <c r="X348">
        <f>Y346/Y344</f>
        <v>-9535.1824294145081</v>
      </c>
    </row>
    <row r="349" spans="23:25" x14ac:dyDescent="0.35">
      <c r="W349" t="s">
        <v>69</v>
      </c>
      <c r="X349">
        <f>X348*3600</f>
        <v>-34326656.745892227</v>
      </c>
    </row>
    <row r="351" spans="23:25" x14ac:dyDescent="0.35">
      <c r="W351" t="s">
        <v>89</v>
      </c>
      <c r="Y351">
        <f>Y177</f>
        <v>2.6218690816946521E-3</v>
      </c>
    </row>
    <row r="353" spans="23:30" x14ac:dyDescent="0.35">
      <c r="W353" t="s">
        <v>52</v>
      </c>
      <c r="Y353">
        <v>-15</v>
      </c>
    </row>
    <row r="355" spans="23:30" x14ac:dyDescent="0.35">
      <c r="W355" t="s">
        <v>84</v>
      </c>
      <c r="X355">
        <f>Y353/Y351</f>
        <v>-5721.1094576487048</v>
      </c>
    </row>
    <row r="356" spans="23:30" x14ac:dyDescent="0.35">
      <c r="W356" t="s">
        <v>69</v>
      </c>
      <c r="X356">
        <f>X355*3600</f>
        <v>-20595994.047535338</v>
      </c>
    </row>
    <row r="358" spans="23:30" x14ac:dyDescent="0.35">
      <c r="W358" t="s">
        <v>90</v>
      </c>
      <c r="Z358">
        <f>2*AR82</f>
        <v>2.3000000000000001E-4</v>
      </c>
    </row>
    <row r="359" spans="23:30" x14ac:dyDescent="0.35">
      <c r="AB359" t="s">
        <v>105</v>
      </c>
      <c r="AD359">
        <v>9.1420000000000008E-3</v>
      </c>
    </row>
    <row r="360" spans="23:30" x14ac:dyDescent="0.35">
      <c r="W360" t="s">
        <v>52</v>
      </c>
      <c r="Y360">
        <v>5</v>
      </c>
    </row>
    <row r="361" spans="23:30" x14ac:dyDescent="0.35">
      <c r="AB361" t="s">
        <v>87</v>
      </c>
      <c r="AD361">
        <v>38</v>
      </c>
    </row>
    <row r="362" spans="23:30" x14ac:dyDescent="0.35">
      <c r="W362" t="s">
        <v>84</v>
      </c>
      <c r="X362">
        <f>Y360/Z358</f>
        <v>21739.130434782608</v>
      </c>
    </row>
    <row r="363" spans="23:30" x14ac:dyDescent="0.35">
      <c r="W363" t="s">
        <v>69</v>
      </c>
      <c r="X363">
        <f>X362*3600</f>
        <v>78260869.565217391</v>
      </c>
      <c r="AB363" t="s">
        <v>53</v>
      </c>
      <c r="AC363">
        <f xml:space="preserve"> AD361/(AD359+AD360)</f>
        <v>4156.6396849704652</v>
      </c>
    </row>
    <row r="364" spans="23:30" x14ac:dyDescent="0.35">
      <c r="AB364" t="s">
        <v>69</v>
      </c>
      <c r="AC364">
        <f>AC363*3600</f>
        <v>14963902.865893675</v>
      </c>
    </row>
    <row r="365" spans="23:30" x14ac:dyDescent="0.35">
      <c r="W365" t="s">
        <v>74</v>
      </c>
      <c r="X365">
        <f>X363+X356+X349+X342+AC385</f>
        <v>27191850.506978568</v>
      </c>
    </row>
    <row r="366" spans="23:30" x14ac:dyDescent="0.35">
      <c r="AB366" t="s">
        <v>106</v>
      </c>
      <c r="AD366">
        <v>9.1420000000000008E-3</v>
      </c>
    </row>
    <row r="368" spans="23:30" ht="18.5" x14ac:dyDescent="0.45">
      <c r="W368" s="7" t="s">
        <v>68</v>
      </c>
      <c r="AB368" t="s">
        <v>87</v>
      </c>
      <c r="AD368">
        <v>28</v>
      </c>
    </row>
    <row r="370" spans="23:30" x14ac:dyDescent="0.35">
      <c r="W370" t="s">
        <v>91</v>
      </c>
      <c r="Y370">
        <f>AF63</f>
        <v>4.0222008208839945E-3</v>
      </c>
      <c r="AB370" t="s">
        <v>53</v>
      </c>
      <c r="AC370">
        <f xml:space="preserve"> AD368/(AD366+AD367)</f>
        <v>3062.7871362940273</v>
      </c>
    </row>
    <row r="371" spans="23:30" x14ac:dyDescent="0.35">
      <c r="AB371" t="s">
        <v>69</v>
      </c>
      <c r="AC371">
        <f>AC370*3600</f>
        <v>11026033.690658499</v>
      </c>
    </row>
    <row r="372" spans="23:30" x14ac:dyDescent="0.35">
      <c r="W372" t="s">
        <v>87</v>
      </c>
      <c r="Y372">
        <v>5</v>
      </c>
    </row>
    <row r="373" spans="23:30" x14ac:dyDescent="0.35">
      <c r="AB373" t="s">
        <v>107</v>
      </c>
      <c r="AD373">
        <v>9.1420000000000008E-3</v>
      </c>
    </row>
    <row r="374" spans="23:30" x14ac:dyDescent="0.35">
      <c r="W374" t="s">
        <v>53</v>
      </c>
      <c r="X374">
        <f xml:space="preserve"> Y372/(Y370+Y371)</f>
        <v>1243.100536909817</v>
      </c>
    </row>
    <row r="375" spans="23:30" x14ac:dyDescent="0.35">
      <c r="W375" t="s">
        <v>69</v>
      </c>
      <c r="X375">
        <f>X374*3600</f>
        <v>4475161.9328753417</v>
      </c>
      <c r="AB375" t="s">
        <v>87</v>
      </c>
      <c r="AD375">
        <v>18</v>
      </c>
    </row>
    <row r="377" spans="23:30" x14ac:dyDescent="0.35">
      <c r="W377" t="s">
        <v>92</v>
      </c>
      <c r="Y377" s="6">
        <f>2*AR82</f>
        <v>2.3000000000000001E-4</v>
      </c>
      <c r="AB377" t="s">
        <v>53</v>
      </c>
      <c r="AC377">
        <f xml:space="preserve"> AD375/(AD373+AD374)</f>
        <v>1968.9345876175889</v>
      </c>
    </row>
    <row r="378" spans="23:30" x14ac:dyDescent="0.35">
      <c r="AB378" t="s">
        <v>69</v>
      </c>
      <c r="AC378">
        <f>AC377*3600</f>
        <v>7088164.5154233202</v>
      </c>
    </row>
    <row r="379" spans="23:30" x14ac:dyDescent="0.35">
      <c r="W379" t="s">
        <v>87</v>
      </c>
      <c r="Y379">
        <v>5</v>
      </c>
    </row>
    <row r="380" spans="23:30" x14ac:dyDescent="0.35">
      <c r="AB380" t="s">
        <v>104</v>
      </c>
      <c r="AD380">
        <v>9.1420000000000008E-3</v>
      </c>
    </row>
    <row r="381" spans="23:30" x14ac:dyDescent="0.35">
      <c r="W381" t="s">
        <v>53</v>
      </c>
      <c r="X381">
        <f xml:space="preserve"> Y379/Y377</f>
        <v>21739.130434782608</v>
      </c>
    </row>
    <row r="382" spans="23:30" x14ac:dyDescent="0.35">
      <c r="W382" t="s">
        <v>69</v>
      </c>
      <c r="X382">
        <f>X381*3600</f>
        <v>78260869.565217391</v>
      </c>
      <c r="AB382" t="s">
        <v>87</v>
      </c>
      <c r="AD382">
        <v>5</v>
      </c>
    </row>
    <row r="384" spans="23:30" x14ac:dyDescent="0.35">
      <c r="W384" t="s">
        <v>93</v>
      </c>
      <c r="Y384" s="6">
        <f>Z22</f>
        <v>4.1830000000000001E-3</v>
      </c>
      <c r="AB384" t="s">
        <v>53</v>
      </c>
      <c r="AC384">
        <f xml:space="preserve"> AD382/(AD380+AD381)</f>
        <v>546.92627433821917</v>
      </c>
    </row>
    <row r="385" spans="23:30" x14ac:dyDescent="0.35">
      <c r="AB385" t="s">
        <v>69</v>
      </c>
      <c r="AC385">
        <f>AC384*3600</f>
        <v>1968934.5876175889</v>
      </c>
    </row>
    <row r="386" spans="23:30" x14ac:dyDescent="0.35">
      <c r="W386" t="s">
        <v>87</v>
      </c>
      <c r="Y386">
        <f>-5</f>
        <v>-5</v>
      </c>
    </row>
    <row r="387" spans="23:30" x14ac:dyDescent="0.35">
      <c r="AB387" t="s">
        <v>91</v>
      </c>
      <c r="AD387">
        <v>9.1420000000000008E-3</v>
      </c>
    </row>
    <row r="388" spans="23:30" x14ac:dyDescent="0.35">
      <c r="W388" t="s">
        <v>53</v>
      </c>
      <c r="X388">
        <f xml:space="preserve"> Y386/Y384</f>
        <v>-1195.3143676786995</v>
      </c>
    </row>
    <row r="389" spans="23:30" x14ac:dyDescent="0.35">
      <c r="W389" t="s">
        <v>69</v>
      </c>
      <c r="X389">
        <f>X388*3600</f>
        <v>-4303131.7236433178</v>
      </c>
      <c r="AB389" t="s">
        <v>87</v>
      </c>
      <c r="AD389">
        <v>5</v>
      </c>
    </row>
    <row r="391" spans="23:30" x14ac:dyDescent="0.35">
      <c r="W391" t="s">
        <v>74</v>
      </c>
      <c r="X391">
        <f>X389+X382+X375+AC392</f>
        <v>80401834.362066999</v>
      </c>
      <c r="AB391" t="s">
        <v>53</v>
      </c>
      <c r="AC391">
        <f xml:space="preserve"> AD389/(AD387+AD388)</f>
        <v>546.92627433821917</v>
      </c>
    </row>
    <row r="392" spans="23:30" x14ac:dyDescent="0.35">
      <c r="AB392" t="s">
        <v>69</v>
      </c>
      <c r="AC392">
        <f>AC391*3600</f>
        <v>1968934.5876175889</v>
      </c>
    </row>
    <row r="394" spans="23:30" x14ac:dyDescent="0.35">
      <c r="W394" t="s">
        <v>94</v>
      </c>
      <c r="Y394">
        <f>SUM(X391,X365,X333,X299,X263)</f>
        <v>246401479.20219171</v>
      </c>
      <c r="Z394" t="s">
        <v>109</v>
      </c>
    </row>
  </sheetData>
  <mergeCells count="1">
    <mergeCell ref="AC69:AH6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35b2a7-6dc2-427f-bf39-1b57500510ae">
      <Terms xmlns="http://schemas.microsoft.com/office/infopath/2007/PartnerControls"/>
    </lcf76f155ced4ddcb4097134ff3c332f>
    <TaxCatchAll xmlns="d9fc68e4-6bba-438d-be8d-3ab97eca621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522527971524428892777AC9C70A21" ma:contentTypeVersion="8" ma:contentTypeDescription="Create a new document." ma:contentTypeScope="" ma:versionID="3647d8abf53ead7cd5afd0929e0bfa34">
  <xsd:schema xmlns:xsd="http://www.w3.org/2001/XMLSchema" xmlns:xs="http://www.w3.org/2001/XMLSchema" xmlns:p="http://schemas.microsoft.com/office/2006/metadata/properties" xmlns:ns2="db35b2a7-6dc2-427f-bf39-1b57500510ae" xmlns:ns3="d9fc68e4-6bba-438d-be8d-3ab97eca6211" targetNamespace="http://schemas.microsoft.com/office/2006/metadata/properties" ma:root="true" ma:fieldsID="cd559506f59bdf524336a7608827847c" ns2:_="" ns3:_="">
    <xsd:import namespace="db35b2a7-6dc2-427f-bf39-1b57500510ae"/>
    <xsd:import namespace="d9fc68e4-6bba-438d-be8d-3ab97eca6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35b2a7-6dc2-427f-bf39-1b5750051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c68e4-6bba-438d-be8d-3ab97eca621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eedc88f-b9b6-4747-961a-d03c7129614d}" ma:internalName="TaxCatchAll" ma:showField="CatchAllData" ma:web="d9fc68e4-6bba-438d-be8d-3ab97eca62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4FDEDA-7A15-40AB-B7B1-E9C52B8466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12962-0188-4052-82DF-C18A0B3B3484}">
  <ds:schemaRefs>
    <ds:schemaRef ds:uri="http://purl.org/dc/elements/1.1/"/>
    <ds:schemaRef ds:uri="db35b2a7-6dc2-427f-bf39-1b57500510ae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9fc68e4-6bba-438d-be8d-3ab97eca621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14C3262-D526-42A4-921B-69E07A5E4E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35b2a7-6dc2-427f-bf39-1b57500510ae"/>
    <ds:schemaRef ds:uri="d9fc68e4-6bba-438d-be8d-3ab97eca62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Costa</cp:lastModifiedBy>
  <cp:revision/>
  <dcterms:created xsi:type="dcterms:W3CDTF">2022-11-14T10:37:40Z</dcterms:created>
  <dcterms:modified xsi:type="dcterms:W3CDTF">2023-01-07T17:17:50Z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0x01010002522527971524428892777AC9C70A21</vt:lpwstr>
  </property>
  <property fmtid="{D5CDD505-2E9C-101B-9397-08002B2CF9AE}" pid="3" name="MediaServiceImageTags">
    <vt:lpwstr/>
  </property>
</Properties>
</file>