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OCloud\FEUP\CPAR\CPAR-2017\cpar_ex1\"/>
    </mc:Choice>
  </mc:AlternateContent>
  <bookViews>
    <workbookView xWindow="0" yWindow="0" windowWidth="30720" windowHeight="13116"/>
  </bookViews>
  <sheets>
    <sheet name="Sheet1" sheetId="1" r:id="rId1"/>
  </sheets>
  <calcPr calcId="171027" fullCalcOnLoad="1"/>
</workbook>
</file>

<file path=xl/calcChain.xml><?xml version="1.0" encoding="utf-8"?>
<calcChain xmlns="http://schemas.openxmlformats.org/spreadsheetml/2006/main">
  <c r="AW9" i="1" l="1"/>
  <c r="AW8" i="1"/>
  <c r="AW7" i="1"/>
  <c r="AW6" i="1"/>
  <c r="AW5" i="1"/>
  <c r="AW4" i="1"/>
  <c r="AW3" i="1"/>
  <c r="AR9" i="1"/>
  <c r="AR8" i="1"/>
  <c r="AR7" i="1"/>
  <c r="AR6" i="1"/>
  <c r="AR5" i="1"/>
  <c r="AR4" i="1"/>
  <c r="AR3" i="1"/>
  <c r="AM9" i="1"/>
  <c r="AM8" i="1"/>
  <c r="AM7" i="1"/>
  <c r="AM6" i="1"/>
  <c r="AM5" i="1"/>
  <c r="AM4" i="1"/>
  <c r="AM3" i="1"/>
  <c r="AH9" i="1"/>
  <c r="AH8" i="1"/>
  <c r="AH7" i="1"/>
  <c r="AH6" i="1"/>
  <c r="AH5" i="1"/>
  <c r="AH4" i="1"/>
  <c r="AH3" i="1"/>
  <c r="AC9" i="1"/>
  <c r="AC8" i="1"/>
  <c r="AC7" i="1"/>
  <c r="AC6" i="1"/>
  <c r="AC5" i="1"/>
  <c r="AC4" i="1"/>
  <c r="AC3" i="1"/>
  <c r="X9" i="1"/>
  <c r="X8" i="1"/>
  <c r="X7" i="1"/>
  <c r="X6" i="1"/>
  <c r="X5" i="1"/>
  <c r="X4" i="1"/>
  <c r="X3" i="1"/>
  <c r="S9" i="1"/>
  <c r="S8" i="1"/>
  <c r="S7" i="1"/>
  <c r="S6" i="1"/>
  <c r="S5" i="1"/>
  <c r="S4" i="1"/>
  <c r="S3" i="1"/>
  <c r="N9" i="1"/>
  <c r="N8" i="1"/>
  <c r="N7" i="1"/>
  <c r="N6" i="1"/>
  <c r="N5" i="1"/>
  <c r="N4" i="1"/>
  <c r="N3" i="1"/>
  <c r="I4" i="1"/>
  <c r="I5" i="1"/>
  <c r="I6" i="1"/>
  <c r="I7" i="1"/>
  <c r="I8" i="1"/>
  <c r="I9" i="1"/>
  <c r="I10" i="1"/>
  <c r="I11" i="1"/>
  <c r="I12" i="1"/>
  <c r="I13" i="1"/>
  <c r="I3" i="1"/>
  <c r="E4" i="1"/>
  <c r="E5" i="1"/>
  <c r="E6" i="1"/>
  <c r="E7" i="1"/>
  <c r="E8" i="1"/>
  <c r="E9" i="1"/>
  <c r="E3" i="1"/>
  <c r="J20" i="1"/>
  <c r="J21" i="1"/>
  <c r="J22" i="1"/>
  <c r="J23" i="1"/>
  <c r="J24" i="1"/>
  <c r="J25" i="1"/>
  <c r="J26" i="1"/>
  <c r="G20" i="1"/>
  <c r="G21" i="1"/>
  <c r="G22" i="1"/>
  <c r="G23" i="1"/>
  <c r="G24" i="1"/>
  <c r="G25" i="1"/>
  <c r="G26" i="1"/>
  <c r="G9" i="1"/>
  <c r="H9" i="1"/>
  <c r="H10" i="1"/>
  <c r="G10" i="1"/>
  <c r="F10" i="1"/>
  <c r="F9" i="1"/>
  <c r="D9" i="1"/>
  <c r="C9" i="1"/>
  <c r="B9" i="1"/>
  <c r="H8" i="1"/>
  <c r="G8" i="1"/>
  <c r="F8" i="1"/>
  <c r="D8" i="1"/>
  <c r="C8" i="1"/>
  <c r="B8" i="1"/>
  <c r="H7" i="1"/>
  <c r="G7" i="1"/>
  <c r="F7" i="1"/>
  <c r="D7" i="1"/>
  <c r="C7" i="1"/>
  <c r="B7" i="1"/>
  <c r="H6" i="1"/>
  <c r="G6" i="1"/>
  <c r="F6" i="1"/>
  <c r="D6" i="1"/>
  <c r="C6" i="1"/>
  <c r="B6" i="1"/>
  <c r="H5" i="1"/>
  <c r="G5" i="1"/>
  <c r="F5" i="1"/>
  <c r="D5" i="1"/>
  <c r="C5" i="1"/>
  <c r="B5" i="1"/>
  <c r="H4" i="1"/>
  <c r="G4" i="1"/>
  <c r="F4" i="1"/>
  <c r="D4" i="1"/>
  <c r="C4" i="1"/>
  <c r="B4" i="1"/>
  <c r="H3" i="1"/>
  <c r="G3" i="1"/>
  <c r="F3" i="1"/>
  <c r="D3" i="1"/>
  <c r="C3" i="1"/>
  <c r="B3" i="1"/>
</calcChain>
</file>

<file path=xl/sharedStrings.xml><?xml version="1.0" encoding="utf-8"?>
<sst xmlns="http://schemas.openxmlformats.org/spreadsheetml/2006/main" count="53" uniqueCount="17">
  <si>
    <t>C++ Original Version</t>
  </si>
  <si>
    <t>C++ Line Multiplication</t>
  </si>
  <si>
    <t>Original Parallel (1 thread)</t>
  </si>
  <si>
    <t>Original Parallel (2 threads)</t>
  </si>
  <si>
    <t>Original Parallel (3 threads)</t>
  </si>
  <si>
    <t>Original Parallel (4 threads)</t>
  </si>
  <si>
    <t>Line Mult. Parallel (1 threads)</t>
  </si>
  <si>
    <t>Line Mult. Parallel (2 threads)</t>
  </si>
  <si>
    <t>Line Mult. Parallel (3 threads)</t>
  </si>
  <si>
    <t>Line Mult. Parallel (4 threads)</t>
  </si>
  <si>
    <t>Tempo</t>
  </si>
  <si>
    <t>L1 DCM</t>
  </si>
  <si>
    <t>L2 DCM</t>
  </si>
  <si>
    <t>Dimensão</t>
  </si>
  <si>
    <t>Java Line Multiplication</t>
  </si>
  <si>
    <t>Java Original</t>
  </si>
  <si>
    <t>MFLOPS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</si>
</sst>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816];[Red]&quot;-&quot;#,##0.00&quot; &quot;[$€-816]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Tempos (C++ Line Multiplication)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C++ Original Version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0.18666666666666668</c:v>
                </c:pt>
                <c:pt idx="1">
                  <c:v>1.0469999999999999</c:v>
                </c:pt>
                <c:pt idx="2">
                  <c:v>4.5270000000000001</c:v>
                </c:pt>
                <c:pt idx="3">
                  <c:v>9.6450000000000014</c:v>
                </c:pt>
                <c:pt idx="4">
                  <c:v>17.722333333333335</c:v>
                </c:pt>
                <c:pt idx="5">
                  <c:v>29.401333333333337</c:v>
                </c:pt>
                <c:pt idx="6">
                  <c:v>46.304666666666662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B-49C5-AF86-C1D885C77E3F}"/>
            </c:ext>
          </c:extLst>
        </c:ser>
        <c:ser>
          <c:idx val="0"/>
          <c:order val="1"/>
          <c:tx>
            <c:strRef>
              <c:f>Sheet1!$F$1</c:f>
              <c:strCache>
                <c:ptCount val="1"/>
                <c:pt idx="0">
                  <c:v>C++ Line Multiplication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Sheet1!$F$3:$F$13</c:f>
              <c:numCache>
                <c:formatCode>General</c:formatCode>
                <c:ptCount val="11"/>
                <c:pt idx="0">
                  <c:v>7.4666666666666659E-2</c:v>
                </c:pt>
                <c:pt idx="1">
                  <c:v>0.33166666666666672</c:v>
                </c:pt>
                <c:pt idx="2">
                  <c:v>1.2916666666666667</c:v>
                </c:pt>
                <c:pt idx="3">
                  <c:v>2.6966666666666668</c:v>
                </c:pt>
                <c:pt idx="4">
                  <c:v>5.187333333333334</c:v>
                </c:pt>
                <c:pt idx="5">
                  <c:v>8.6816666666666666</c:v>
                </c:pt>
                <c:pt idx="6">
                  <c:v>13.270000000000001</c:v>
                </c:pt>
                <c:pt idx="7">
                  <c:v>31.897000000000002</c:v>
                </c:pt>
                <c:pt idx="8">
                  <c:v>108.07299999999999</c:v>
                </c:pt>
                <c:pt idx="9">
                  <c:v>257.23599999999999</c:v>
                </c:pt>
                <c:pt idx="10">
                  <c:v>506.67700000000002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B-49C5-AF86-C1D885C77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152896"/>
        <c:axId val="493148304"/>
      </c:scatterChart>
      <c:valAx>
        <c:axId val="493152896"/>
        <c:scaling>
          <c:orientation val="minMax"/>
          <c:max val="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Dimensão</a:t>
                </a:r>
                <a:r>
                  <a:rPr lang="pt-PT" baseline="0"/>
                  <a:t> das Matrizes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3148304"/>
        <c:crosses val="autoZero"/>
        <c:crossBetween val="midCat"/>
      </c:valAx>
      <c:valAx>
        <c:axId val="4931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315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" l="0" r="0" t="0" header="0" footer="0"/>
    <c:pageSetup paperSize="166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Tempos (Versões paralelas)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Sheet1!$K$1</c:f>
              <c:strCache>
                <c:ptCount val="1"/>
                <c:pt idx="0">
                  <c:v>Original Parallel (1 thread)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Sheet1!$K$3:$K$9</c:f>
              <c:numCache>
                <c:formatCode>General</c:formatCode>
                <c:ptCount val="7"/>
                <c:pt idx="0">
                  <c:v>0.18620999999999999</c:v>
                </c:pt>
                <c:pt idx="1">
                  <c:v>1.20047666666667</c:v>
                </c:pt>
                <c:pt idx="2">
                  <c:v>4.48105333333333</c:v>
                </c:pt>
                <c:pt idx="3">
                  <c:v>9.4950366666666692</c:v>
                </c:pt>
                <c:pt idx="4">
                  <c:v>17.5636333333333</c:v>
                </c:pt>
                <c:pt idx="5">
                  <c:v>29.549433333333301</c:v>
                </c:pt>
                <c:pt idx="6">
                  <c:v>46.339366666666699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65-4034-85F7-090D885615D6}"/>
            </c:ext>
          </c:extLst>
        </c:ser>
        <c:ser>
          <c:idx val="3"/>
          <c:order val="1"/>
          <c:tx>
            <c:strRef>
              <c:f>Sheet1!$P$1</c:f>
              <c:strCache>
                <c:ptCount val="1"/>
                <c:pt idx="0">
                  <c:v>Original Parallel (2 threads)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Sheet1!$P$3:$P$9</c:f>
              <c:numCache>
                <c:formatCode>General</c:formatCode>
                <c:ptCount val="7"/>
                <c:pt idx="0">
                  <c:v>9.4058333333333299E-2</c:v>
                </c:pt>
                <c:pt idx="1">
                  <c:v>0.53579299999999996</c:v>
                </c:pt>
                <c:pt idx="2">
                  <c:v>2.0391966666666699</c:v>
                </c:pt>
                <c:pt idx="3">
                  <c:v>4.30558</c:v>
                </c:pt>
                <c:pt idx="4">
                  <c:v>7.9494300000000004</c:v>
                </c:pt>
                <c:pt idx="5">
                  <c:v>13.166966666666699</c:v>
                </c:pt>
                <c:pt idx="6">
                  <c:v>20.336666666666702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65-4034-85F7-090D885615D6}"/>
            </c:ext>
          </c:extLst>
        </c:ser>
        <c:ser>
          <c:idx val="4"/>
          <c:order val="2"/>
          <c:tx>
            <c:strRef>
              <c:f>Sheet1!$U$1</c:f>
              <c:strCache>
                <c:ptCount val="1"/>
                <c:pt idx="0">
                  <c:v>Original Parallel (3 threads)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Sheet1!$U$3:$U$9</c:f>
              <c:numCache>
                <c:formatCode>General</c:formatCode>
                <c:ptCount val="7"/>
                <c:pt idx="0">
                  <c:v>8.87569E-2</c:v>
                </c:pt>
                <c:pt idx="1">
                  <c:v>0.41136899999999998</c:v>
                </c:pt>
                <c:pt idx="2">
                  <c:v>1.29986333333333</c:v>
                </c:pt>
                <c:pt idx="3">
                  <c:v>2.7819699999999998</c:v>
                </c:pt>
                <c:pt idx="4">
                  <c:v>5.1575566666666699</c:v>
                </c:pt>
                <c:pt idx="5">
                  <c:v>8.5023700000000009</c:v>
                </c:pt>
                <c:pt idx="6">
                  <c:v>13.154733333333301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65-4034-85F7-090D885615D6}"/>
            </c:ext>
          </c:extLst>
        </c:ser>
        <c:ser>
          <c:idx val="5"/>
          <c:order val="3"/>
          <c:tx>
            <c:strRef>
              <c:f>Sheet1!$Z$1</c:f>
              <c:strCache>
                <c:ptCount val="1"/>
                <c:pt idx="0">
                  <c:v>Original Parallel (4 threads)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Sheet1!$Z$3:$Z$9</c:f>
              <c:numCache>
                <c:formatCode>General</c:formatCode>
                <c:ptCount val="7"/>
                <c:pt idx="0">
                  <c:v>6.4683066666666705E-2</c:v>
                </c:pt>
                <c:pt idx="1">
                  <c:v>0.283526</c:v>
                </c:pt>
                <c:pt idx="2">
                  <c:v>0.97365766666666698</c:v>
                </c:pt>
                <c:pt idx="3">
                  <c:v>2.08503333333333</c:v>
                </c:pt>
                <c:pt idx="4">
                  <c:v>3.8695333333333299</c:v>
                </c:pt>
                <c:pt idx="5">
                  <c:v>6.3561033333333299</c:v>
                </c:pt>
                <c:pt idx="6">
                  <c:v>9.9314699999999991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65-4034-85F7-090D885615D6}"/>
            </c:ext>
          </c:extLst>
        </c:ser>
        <c:ser>
          <c:idx val="6"/>
          <c:order val="4"/>
          <c:tx>
            <c:strRef>
              <c:f>Sheet1!$AE$1</c:f>
              <c:strCache>
                <c:ptCount val="1"/>
                <c:pt idx="0">
                  <c:v>Line Mult. Parallel (1 threads)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Sheet1!$AE$3:$AE$9</c:f>
              <c:numCache>
                <c:formatCode>General</c:formatCode>
                <c:ptCount val="7"/>
                <c:pt idx="0">
                  <c:v>7.1539400000000003E-2</c:v>
                </c:pt>
                <c:pt idx="1">
                  <c:v>0.56552166666666703</c:v>
                </c:pt>
                <c:pt idx="2">
                  <c:v>1.6791833333333299</c:v>
                </c:pt>
                <c:pt idx="3">
                  <c:v>2.74216333333333</c:v>
                </c:pt>
                <c:pt idx="4">
                  <c:v>5.00326</c:v>
                </c:pt>
                <c:pt idx="5">
                  <c:v>8.6186833333333297</c:v>
                </c:pt>
                <c:pt idx="6">
                  <c:v>13.207266666666699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65-4034-85F7-090D885615D6}"/>
            </c:ext>
          </c:extLst>
        </c:ser>
        <c:ser>
          <c:idx val="7"/>
          <c:order val="5"/>
          <c:tx>
            <c:strRef>
              <c:f>Sheet1!$AJ$1</c:f>
              <c:strCache>
                <c:ptCount val="1"/>
                <c:pt idx="0">
                  <c:v>Line Mult. Parallel (2 threads)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Sheet1!$AJ$3:$AJ$9</c:f>
              <c:numCache>
                <c:formatCode>General</c:formatCode>
                <c:ptCount val="7"/>
                <c:pt idx="0">
                  <c:v>3.3804366666666703E-2</c:v>
                </c:pt>
                <c:pt idx="1">
                  <c:v>0.181244666666667</c:v>
                </c:pt>
                <c:pt idx="2">
                  <c:v>0.66483266666666696</c:v>
                </c:pt>
                <c:pt idx="3">
                  <c:v>1.4164433333333299</c:v>
                </c:pt>
                <c:pt idx="4">
                  <c:v>2.6691833333333301</c:v>
                </c:pt>
                <c:pt idx="5">
                  <c:v>4.6059266666666696</c:v>
                </c:pt>
                <c:pt idx="6">
                  <c:v>7.1025566666666702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465-4034-85F7-090D885615D6}"/>
            </c:ext>
          </c:extLst>
        </c:ser>
        <c:ser>
          <c:idx val="8"/>
          <c:order val="6"/>
          <c:tx>
            <c:strRef>
              <c:f>Sheet1!$AO$1</c:f>
              <c:strCache>
                <c:ptCount val="1"/>
                <c:pt idx="0">
                  <c:v>Line Mult. Parallel (3 threads)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Sheet1!$AO$3:$AO$9</c:f>
              <c:numCache>
                <c:formatCode>General</c:formatCode>
                <c:ptCount val="7"/>
                <c:pt idx="0">
                  <c:v>2.35995666666667E-2</c:v>
                </c:pt>
                <c:pt idx="1">
                  <c:v>0.13170633333333301</c:v>
                </c:pt>
                <c:pt idx="2">
                  <c:v>0.47138099999999999</c:v>
                </c:pt>
                <c:pt idx="3">
                  <c:v>0.99437533333333294</c:v>
                </c:pt>
                <c:pt idx="4">
                  <c:v>1.87519666666667</c:v>
                </c:pt>
                <c:pt idx="5">
                  <c:v>3.2079499999999999</c:v>
                </c:pt>
                <c:pt idx="6">
                  <c:v>4.9127066666666703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465-4034-85F7-090D885615D6}"/>
            </c:ext>
          </c:extLst>
        </c:ser>
        <c:ser>
          <c:idx val="9"/>
          <c:order val="7"/>
          <c:tx>
            <c:strRef>
              <c:f>Sheet1!$AT$1</c:f>
              <c:strCache>
                <c:ptCount val="1"/>
                <c:pt idx="0">
                  <c:v>Line Mult. Parallel (4 threads)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Sheet1!$AT$3:$AT$9</c:f>
              <c:numCache>
                <c:formatCode>General</c:formatCode>
                <c:ptCount val="7"/>
                <c:pt idx="0">
                  <c:v>3.1586066666666697E-2</c:v>
                </c:pt>
                <c:pt idx="1">
                  <c:v>0.10962633333333301</c:v>
                </c:pt>
                <c:pt idx="2">
                  <c:v>0.37236999999999998</c:v>
                </c:pt>
                <c:pt idx="3">
                  <c:v>0.78609733333333298</c:v>
                </c:pt>
                <c:pt idx="4">
                  <c:v>1.4724633333333299</c:v>
                </c:pt>
                <c:pt idx="5">
                  <c:v>2.50776666666667</c:v>
                </c:pt>
                <c:pt idx="6">
                  <c:v>3.82673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465-4034-85F7-090D88561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153552"/>
        <c:axId val="493152896"/>
      </c:scatterChart>
      <c:valAx>
        <c:axId val="493153552"/>
        <c:scaling>
          <c:orientation val="minMax"/>
          <c:max val="30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Dimensão</a:t>
                </a:r>
                <a:r>
                  <a:rPr lang="pt-PT" baseline="0"/>
                  <a:t> das Matrizes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3152896"/>
        <c:crosses val="autoZero"/>
        <c:crossBetween val="midCat"/>
        <c:majorUnit val="400"/>
      </c:valAx>
      <c:valAx>
        <c:axId val="4931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315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" l="0" r="0" t="0" header="0" footer="0"/>
    <c:pageSetup paperSize="166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Tempos (Versões</a:t>
            </a:r>
            <a:r>
              <a:rPr lang="pt-PT" baseline="0"/>
              <a:t> single-threaded)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C++ Original Version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0.18666666666666668</c:v>
                </c:pt>
                <c:pt idx="1">
                  <c:v>1.0469999999999999</c:v>
                </c:pt>
                <c:pt idx="2">
                  <c:v>4.5270000000000001</c:v>
                </c:pt>
                <c:pt idx="3">
                  <c:v>9.6450000000000014</c:v>
                </c:pt>
                <c:pt idx="4">
                  <c:v>17.722333333333335</c:v>
                </c:pt>
                <c:pt idx="5">
                  <c:v>29.401333333333337</c:v>
                </c:pt>
                <c:pt idx="6">
                  <c:v>46.304666666666662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7-4D9A-A513-1FEA96BA1DBA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C++ Line Multiplication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Sheet1!$F$3:$F$9</c:f>
              <c:numCache>
                <c:formatCode>General</c:formatCode>
                <c:ptCount val="7"/>
                <c:pt idx="0">
                  <c:v>7.4666666666666659E-2</c:v>
                </c:pt>
                <c:pt idx="1">
                  <c:v>0.33166666666666672</c:v>
                </c:pt>
                <c:pt idx="2">
                  <c:v>1.2916666666666667</c:v>
                </c:pt>
                <c:pt idx="3">
                  <c:v>2.6966666666666668</c:v>
                </c:pt>
                <c:pt idx="4">
                  <c:v>5.187333333333334</c:v>
                </c:pt>
                <c:pt idx="5">
                  <c:v>8.6816666666666666</c:v>
                </c:pt>
                <c:pt idx="6">
                  <c:v>13.270000000000001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A7-4D9A-A513-1FEA96BA1DBA}"/>
            </c:ext>
          </c:extLst>
        </c:ser>
        <c:ser>
          <c:idx val="11"/>
          <c:order val="2"/>
          <c:tx>
            <c:strRef>
              <c:f>Sheet1!$I$19</c:f>
              <c:strCache>
                <c:ptCount val="1"/>
                <c:pt idx="0">
                  <c:v>Java Original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Sheet1!$I$20:$I$26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Sheet1!$J$20:$J$26</c:f>
              <c:numCache>
                <c:formatCode>General</c:formatCode>
                <c:ptCount val="7"/>
                <c:pt idx="0">
                  <c:v>0.226125828</c:v>
                </c:pt>
                <c:pt idx="1">
                  <c:v>1.2212198106666667</c:v>
                </c:pt>
                <c:pt idx="2">
                  <c:v>4.8441274056666677</c:v>
                </c:pt>
                <c:pt idx="3">
                  <c:v>10.530321217999999</c:v>
                </c:pt>
                <c:pt idx="4">
                  <c:v>19.672997605333332</c:v>
                </c:pt>
                <c:pt idx="5">
                  <c:v>31.925387396333331</c:v>
                </c:pt>
                <c:pt idx="6">
                  <c:v>58.780976353999996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FA7-4D9A-A513-1FEA96BA1DBA}"/>
            </c:ext>
          </c:extLst>
        </c:ser>
        <c:ser>
          <c:idx val="10"/>
          <c:order val="3"/>
          <c:tx>
            <c:strRef>
              <c:f>Sheet1!$F$19</c:f>
              <c:strCache>
                <c:ptCount val="1"/>
                <c:pt idx="0">
                  <c:v>Java Line Multiplication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Sheet1!$F$20:$F$26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Sheet1!$G$20:$G$26</c:f>
              <c:numCache>
                <c:formatCode>General</c:formatCode>
                <c:ptCount val="7"/>
                <c:pt idx="0">
                  <c:v>0.17871717766666664</c:v>
                </c:pt>
                <c:pt idx="1">
                  <c:v>1.1161102283333333</c:v>
                </c:pt>
                <c:pt idx="2">
                  <c:v>3.4943154506666665</c:v>
                </c:pt>
                <c:pt idx="3">
                  <c:v>4.2495171743333335</c:v>
                </c:pt>
                <c:pt idx="4">
                  <c:v>7.8009067573333333</c:v>
                </c:pt>
                <c:pt idx="5">
                  <c:v>12.799103731999999</c:v>
                </c:pt>
                <c:pt idx="6">
                  <c:v>19.546151232333333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FA7-4D9A-A513-1FEA96BA1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153552"/>
        <c:axId val="493152896"/>
      </c:scatterChart>
      <c:valAx>
        <c:axId val="493153552"/>
        <c:scaling>
          <c:orientation val="minMax"/>
          <c:max val="30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Dimensão das Matrizes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3152896"/>
        <c:crosses val="autoZero"/>
        <c:crossBetween val="midCat"/>
        <c:majorUnit val="400"/>
      </c:valAx>
      <c:valAx>
        <c:axId val="4931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315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" l="0" r="0" t="0" header="0" footer="0"/>
    <c:pageSetup paperSize="166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0.18666666666666668</c:v>
                </c:pt>
                <c:pt idx="1">
                  <c:v>1.0469999999999999</c:v>
                </c:pt>
                <c:pt idx="2">
                  <c:v>4.5270000000000001</c:v>
                </c:pt>
                <c:pt idx="3">
                  <c:v>9.6450000000000014</c:v>
                </c:pt>
                <c:pt idx="4">
                  <c:v>17.722333333333335</c:v>
                </c:pt>
                <c:pt idx="5">
                  <c:v>29.401333333333337</c:v>
                </c:pt>
                <c:pt idx="6">
                  <c:v>46.304666666666662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1157142857.1428571</c:v>
                </c:pt>
                <c:pt idx="1">
                  <c:v>955109837.63132763</c:v>
                </c:pt>
                <c:pt idx="2">
                  <c:v>606140932.18466973</c:v>
                </c:pt>
                <c:pt idx="3">
                  <c:v>604665629.86003101</c:v>
                </c:pt>
                <c:pt idx="4">
                  <c:v>600823819.28639936</c:v>
                </c:pt>
                <c:pt idx="5">
                  <c:v>597796018.32116449</c:v>
                </c:pt>
                <c:pt idx="6">
                  <c:v>583094576.50056875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0-4332-A57C-B8D320598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406832"/>
        <c:axId val="635409456"/>
      </c:scatterChart>
      <c:valAx>
        <c:axId val="63540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409456"/>
        <c:crosses val="autoZero"/>
        <c:crossBetween val="midCat"/>
      </c:valAx>
      <c:valAx>
        <c:axId val="63540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40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77</xdr:row>
      <xdr:rowOff>7620</xdr:rowOff>
    </xdr:from>
    <xdr:to>
      <xdr:col>8</xdr:col>
      <xdr:colOff>7620</xdr:colOff>
      <xdr:row>97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A8E708-BDF0-44A3-B336-00E39FBE9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8</xdr:col>
      <xdr:colOff>7620</xdr:colOff>
      <xdr:row>75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D6D891-F2BC-48D1-BE55-497595E7F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</xdr:colOff>
      <xdr:row>35</xdr:row>
      <xdr:rowOff>7620</xdr:rowOff>
    </xdr:from>
    <xdr:to>
      <xdr:col>8</xdr:col>
      <xdr:colOff>7620</xdr:colOff>
      <xdr:row>54</xdr:row>
      <xdr:rowOff>167640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DBA43A2-FA3A-41F0-8F01-4382EC0B2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144780</xdr:colOff>
      <xdr:row>15</xdr:row>
      <xdr:rowOff>167640</xdr:rowOff>
    </xdr:from>
    <xdr:to>
      <xdr:col>16</xdr:col>
      <xdr:colOff>640080</xdr:colOff>
      <xdr:row>31</xdr:row>
      <xdr:rowOff>106680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B684BB0-406C-4F01-AA83-D716274EF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topLeftCell="B1" zoomScaleNormal="100" workbookViewId="0">
      <selection activeCell="E3" activeCellId="1" sqref="B3:B9 E3:E9"/>
    </sheetView>
  </sheetViews>
  <sheetFormatPr defaultRowHeight="13.8"/>
  <cols>
    <col min="1" max="1" width="10.69921875" customWidth="1"/>
    <col min="2" max="2" width="5.796875" customWidth="1"/>
    <col min="3" max="4" width="11.8984375" bestFit="1" customWidth="1"/>
    <col min="5" max="5" width="11.8984375" customWidth="1"/>
    <col min="6" max="6" width="19" customWidth="1"/>
    <col min="7" max="8" width="10.69921875" customWidth="1"/>
    <col min="9" max="10" width="12.8984375" customWidth="1"/>
    <col min="11" max="49" width="10.69921875" customWidth="1"/>
  </cols>
  <sheetData>
    <row r="1" spans="1:49">
      <c r="B1" s="3" t="s">
        <v>0</v>
      </c>
      <c r="C1" s="3"/>
      <c r="D1" s="3"/>
      <c r="E1" s="1"/>
      <c r="F1" s="3" t="s">
        <v>1</v>
      </c>
      <c r="G1" s="3"/>
      <c r="H1" s="3"/>
      <c r="I1" s="1"/>
      <c r="J1" s="1"/>
      <c r="K1" s="3" t="s">
        <v>2</v>
      </c>
      <c r="L1" s="3"/>
      <c r="M1" s="3"/>
      <c r="N1" s="1"/>
      <c r="O1" s="1"/>
      <c r="P1" s="3" t="s">
        <v>3</v>
      </c>
      <c r="Q1" s="3"/>
      <c r="R1" s="3"/>
      <c r="S1" s="1"/>
      <c r="T1" s="1"/>
      <c r="U1" s="3" t="s">
        <v>4</v>
      </c>
      <c r="V1" s="3"/>
      <c r="W1" s="3"/>
      <c r="X1" s="1"/>
      <c r="Y1" s="1"/>
      <c r="Z1" s="3" t="s">
        <v>5</v>
      </c>
      <c r="AA1" s="3"/>
      <c r="AB1" s="3"/>
      <c r="AC1" s="1"/>
      <c r="AD1" s="1"/>
      <c r="AE1" s="3" t="s">
        <v>6</v>
      </c>
      <c r="AF1" s="3"/>
      <c r="AG1" s="3"/>
      <c r="AH1" s="1"/>
      <c r="AI1" s="1"/>
      <c r="AJ1" s="3" t="s">
        <v>7</v>
      </c>
      <c r="AK1" s="3"/>
      <c r="AL1" s="3"/>
      <c r="AM1" s="1"/>
      <c r="AN1" s="1"/>
      <c r="AO1" s="3" t="s">
        <v>8</v>
      </c>
      <c r="AP1" s="3"/>
      <c r="AQ1" s="3"/>
      <c r="AR1" s="1"/>
      <c r="AS1" s="1"/>
      <c r="AT1" s="3" t="s">
        <v>9</v>
      </c>
      <c r="AU1" s="3"/>
      <c r="AV1" s="3"/>
      <c r="AW1" s="1"/>
    </row>
    <row r="2" spans="1:49">
      <c r="A2" t="s">
        <v>13</v>
      </c>
      <c r="B2" s="2" t="s">
        <v>10</v>
      </c>
      <c r="C2" s="2" t="s">
        <v>11</v>
      </c>
      <c r="D2" s="2" t="s">
        <v>12</v>
      </c>
      <c r="E2" s="2" t="s">
        <v>16</v>
      </c>
      <c r="F2" s="2" t="s">
        <v>10</v>
      </c>
      <c r="G2" s="2" t="s">
        <v>11</v>
      </c>
      <c r="H2" s="2" t="s">
        <v>12</v>
      </c>
      <c r="I2" s="2" t="s">
        <v>16</v>
      </c>
      <c r="J2" s="2"/>
      <c r="K2" s="2" t="s">
        <v>10</v>
      </c>
      <c r="L2" s="2" t="s">
        <v>11</v>
      </c>
      <c r="M2" s="2" t="s">
        <v>12</v>
      </c>
      <c r="N2" s="2" t="s">
        <v>16</v>
      </c>
      <c r="O2" s="2"/>
      <c r="P2" s="2" t="s">
        <v>10</v>
      </c>
      <c r="Q2" s="2" t="s">
        <v>11</v>
      </c>
      <c r="R2" s="2" t="s">
        <v>12</v>
      </c>
      <c r="S2" s="2" t="s">
        <v>16</v>
      </c>
      <c r="T2" s="2"/>
      <c r="U2" s="2" t="s">
        <v>10</v>
      </c>
      <c r="V2" s="2" t="s">
        <v>11</v>
      </c>
      <c r="W2" s="2" t="s">
        <v>12</v>
      </c>
      <c r="X2" s="2" t="s">
        <v>16</v>
      </c>
      <c r="Y2" s="2"/>
      <c r="Z2" s="2" t="s">
        <v>10</v>
      </c>
      <c r="AA2" s="2" t="s">
        <v>11</v>
      </c>
      <c r="AB2" s="2" t="s">
        <v>12</v>
      </c>
      <c r="AC2" s="2" t="s">
        <v>16</v>
      </c>
      <c r="AD2" s="2"/>
      <c r="AE2" s="2" t="s">
        <v>10</v>
      </c>
      <c r="AF2" s="2" t="s">
        <v>11</v>
      </c>
      <c r="AG2" s="2" t="s">
        <v>12</v>
      </c>
      <c r="AH2" s="2" t="s">
        <v>16</v>
      </c>
      <c r="AI2" s="2"/>
      <c r="AJ2" s="2" t="s">
        <v>10</v>
      </c>
      <c r="AK2" s="2" t="s">
        <v>11</v>
      </c>
      <c r="AL2" s="2" t="s">
        <v>12</v>
      </c>
      <c r="AM2" s="2" t="s">
        <v>16</v>
      </c>
      <c r="AN2" s="2"/>
      <c r="AO2" s="2" t="s">
        <v>10</v>
      </c>
      <c r="AP2" s="2" t="s">
        <v>11</v>
      </c>
      <c r="AQ2" s="2" t="s">
        <v>12</v>
      </c>
      <c r="AR2" s="2" t="s">
        <v>16</v>
      </c>
      <c r="AS2" s="2"/>
      <c r="AT2" s="2" t="s">
        <v>10</v>
      </c>
      <c r="AU2" s="2" t="s">
        <v>11</v>
      </c>
      <c r="AV2" s="2" t="s">
        <v>12</v>
      </c>
      <c r="AW2" s="2" t="s">
        <v>16</v>
      </c>
    </row>
    <row r="3" spans="1:49">
      <c r="A3">
        <v>600</v>
      </c>
      <c r="B3">
        <f>AVERAGE(0.185, 0.19, 0.185)</f>
        <v>0.18666666666666668</v>
      </c>
      <c r="C3">
        <f>AVERAGE(244555021, 244453529, 244405947)</f>
        <v>244471499</v>
      </c>
      <c r="D3">
        <f>AVERAGE(27343804, 27430926, 27415442)</f>
        <v>27396724</v>
      </c>
      <c r="E3">
        <f>$A3^3/B3</f>
        <v>1157142857.1428571</v>
      </c>
      <c r="F3">
        <f>AVERAGE(0.072, 0.075, 0.077)</f>
        <v>7.4666666666666659E-2</v>
      </c>
      <c r="G3">
        <f>AVERAGE(27265094, 27206543, 27223725)</f>
        <v>27231787.333333332</v>
      </c>
      <c r="H3">
        <f>AVERAGE(698453, 1611854, 1610747)</f>
        <v>1307018</v>
      </c>
      <c r="I3">
        <f>$A3^3/F3</f>
        <v>2892857142.8571429</v>
      </c>
      <c r="K3">
        <v>0.18620999999999999</v>
      </c>
      <c r="L3">
        <v>258099643.66666701</v>
      </c>
      <c r="M3">
        <v>34657130</v>
      </c>
      <c r="N3">
        <f>$A3^3/K3</f>
        <v>1159980666.9888835</v>
      </c>
      <c r="P3">
        <v>9.4058333333333299E-2</v>
      </c>
      <c r="Q3">
        <v>127909773.666667</v>
      </c>
      <c r="R3">
        <v>17468049.333333299</v>
      </c>
      <c r="S3">
        <f>$A3^3/P3</f>
        <v>2296447240.1878276</v>
      </c>
      <c r="U3">
        <v>8.87569E-2</v>
      </c>
      <c r="V3">
        <v>80806401</v>
      </c>
      <c r="W3">
        <v>9904462.3333333395</v>
      </c>
      <c r="X3">
        <f>$A3^3/U3</f>
        <v>2433613612.0121365</v>
      </c>
      <c r="Z3">
        <v>6.4683066666666705E-2</v>
      </c>
      <c r="AA3">
        <v>62363648.333333299</v>
      </c>
      <c r="AB3">
        <v>7448439</v>
      </c>
      <c r="AC3">
        <f>$A3^3/Z3</f>
        <v>3339359296.508306</v>
      </c>
      <c r="AE3">
        <v>7.1539400000000003E-2</v>
      </c>
      <c r="AF3">
        <v>27227833.666666701</v>
      </c>
      <c r="AG3">
        <v>929380.66666666698</v>
      </c>
      <c r="AH3">
        <f>$A3^3/AE3</f>
        <v>3019315230.4883742</v>
      </c>
      <c r="AJ3">
        <v>3.3804366666666703E-2</v>
      </c>
      <c r="AK3">
        <v>13661172.3333333</v>
      </c>
      <c r="AL3">
        <v>426251.66666666698</v>
      </c>
      <c r="AM3">
        <f>$A3^3/AJ3</f>
        <v>6389707049.6809511</v>
      </c>
      <c r="AO3">
        <v>2.35995666666667E-2</v>
      </c>
      <c r="AP3">
        <v>9140246.3333333302</v>
      </c>
      <c r="AQ3">
        <v>317243.66666666698</v>
      </c>
      <c r="AR3">
        <f>$A3^3/AO3</f>
        <v>9152710431.1237221</v>
      </c>
      <c r="AT3">
        <v>3.1586066666666697E-2</v>
      </c>
      <c r="AU3">
        <v>6880825</v>
      </c>
      <c r="AV3">
        <v>231667.66666666701</v>
      </c>
      <c r="AW3">
        <f>$A3^3/AT3</f>
        <v>6838458307.5659876</v>
      </c>
    </row>
    <row r="4" spans="1:49">
      <c r="A4">
        <v>1000</v>
      </c>
      <c r="B4">
        <f>AVERAGE(1.085, 1.032, 1.024)</f>
        <v>1.0469999999999999</v>
      </c>
      <c r="C4">
        <f>AVERAGE(1128877563, 1128563761, 1128507748)</f>
        <v>1128649690.6666667</v>
      </c>
      <c r="D4">
        <f>AVERAGE(126737486, 125558474, 125472157)</f>
        <v>125922705.66666667</v>
      </c>
      <c r="E4">
        <f t="shared" ref="E4:E9" si="0">$A4^3/B4</f>
        <v>955109837.63132763</v>
      </c>
      <c r="F4">
        <f>AVERAGE(0.332, 0.331, 0.332)</f>
        <v>0.33166666666666672</v>
      </c>
      <c r="G4">
        <f>AVERAGE(125741864, 125743494, 25751265)</f>
        <v>92412207.666666672</v>
      </c>
      <c r="H4">
        <f>AVERAGE(3787993, 3289430, 3860467)</f>
        <v>3645963.3333333335</v>
      </c>
      <c r="I4">
        <f t="shared" ref="I4:I13" si="1">$A4^3/F4</f>
        <v>3015075376.8844218</v>
      </c>
      <c r="K4">
        <v>1.20047666666667</v>
      </c>
      <c r="L4">
        <v>1130919505.3333299</v>
      </c>
      <c r="M4">
        <v>127942579</v>
      </c>
      <c r="N4">
        <f t="shared" ref="N4:N9" si="2">$A4^3/K4</f>
        <v>833002446.25051486</v>
      </c>
      <c r="P4">
        <v>0.53579299999999996</v>
      </c>
      <c r="Q4">
        <v>565888620.66666698</v>
      </c>
      <c r="R4">
        <v>62890346.333333299</v>
      </c>
      <c r="S4">
        <f t="shared" ref="S4:S9" si="3">$A4^3/P4</f>
        <v>1866392431.4054122</v>
      </c>
      <c r="U4">
        <v>0.41136899999999998</v>
      </c>
      <c r="V4">
        <v>377850602.33333302</v>
      </c>
      <c r="W4">
        <v>42086529</v>
      </c>
      <c r="X4">
        <f t="shared" ref="X4:X9" si="4">$A4^3/U4</f>
        <v>2430907530.7084394</v>
      </c>
      <c r="Z4">
        <v>0.283526</v>
      </c>
      <c r="AA4">
        <v>283067900</v>
      </c>
      <c r="AB4">
        <v>31535027</v>
      </c>
      <c r="AC4">
        <f t="shared" ref="AC4:AC9" si="5">$A4^3/Z4</f>
        <v>3527013395.5968766</v>
      </c>
      <c r="AE4">
        <v>0.56552166666666703</v>
      </c>
      <c r="AF4">
        <v>125906441.666667</v>
      </c>
      <c r="AG4">
        <v>25628836.333333299</v>
      </c>
      <c r="AH4">
        <f t="shared" ref="AH4:AH9" si="6">$A4^3/AE4</f>
        <v>1768278845.7854536</v>
      </c>
      <c r="AJ4">
        <v>0.181244666666667</v>
      </c>
      <c r="AK4">
        <v>63067152.333333299</v>
      </c>
      <c r="AL4">
        <v>7688555.3333333302</v>
      </c>
      <c r="AM4">
        <f t="shared" ref="AM4:AM9" si="7">$A4^3/AJ4</f>
        <v>5517403730.5005655</v>
      </c>
      <c r="AO4">
        <v>0.13170633333333301</v>
      </c>
      <c r="AP4">
        <v>42263305.666666701</v>
      </c>
      <c r="AQ4">
        <v>8296185.3333333302</v>
      </c>
      <c r="AR4">
        <f t="shared" ref="AR4:AR9" si="8">$A4^3/AO4</f>
        <v>7592649303.121357</v>
      </c>
      <c r="AT4">
        <v>0.10962633333333301</v>
      </c>
      <c r="AU4">
        <v>31700883.333333299</v>
      </c>
      <c r="AV4">
        <v>5632222.6666666698</v>
      </c>
      <c r="AW4">
        <f t="shared" ref="AW4:AW9" si="9">$A4^3/AT4</f>
        <v>9121895894.8428116</v>
      </c>
    </row>
    <row r="5" spans="1:49">
      <c r="A5">
        <v>1400</v>
      </c>
      <c r="B5">
        <f>AVERAGE(4.531, 4.468, 4.582)</f>
        <v>4.5270000000000001</v>
      </c>
      <c r="C5">
        <f>AVERAGE(3093807707, 3093841957, 3093759691)</f>
        <v>3093803118.3333335</v>
      </c>
      <c r="D5">
        <f>AVERAGE(344635963, 344713208, 345463062)</f>
        <v>344937411</v>
      </c>
      <c r="E5">
        <f t="shared" si="0"/>
        <v>606140932.18466973</v>
      </c>
      <c r="F5">
        <f>AVERAGE(1.309, 1.319, 1.247)</f>
        <v>1.2916666666666667</v>
      </c>
      <c r="G5">
        <f>AVERAGE(348060740, 345395601, 345463711)</f>
        <v>346306684</v>
      </c>
      <c r="H5">
        <f>AVERAGE(137449980, 137524240, 139083044)</f>
        <v>138019088</v>
      </c>
      <c r="I5">
        <f t="shared" si="1"/>
        <v>2124387096.7741935</v>
      </c>
      <c r="K5">
        <v>4.48105333333333</v>
      </c>
      <c r="L5">
        <v>3098727202.6666698</v>
      </c>
      <c r="M5">
        <v>344647761</v>
      </c>
      <c r="N5">
        <f t="shared" si="2"/>
        <v>612356023.43496668</v>
      </c>
      <c r="P5">
        <v>2.0391966666666699</v>
      </c>
      <c r="Q5">
        <v>1550331071</v>
      </c>
      <c r="R5">
        <v>172457180.33333299</v>
      </c>
      <c r="S5">
        <f t="shared" si="3"/>
        <v>1345627935.183624</v>
      </c>
      <c r="U5">
        <v>1.29986333333333</v>
      </c>
      <c r="V5">
        <v>1034500156.33333</v>
      </c>
      <c r="W5">
        <v>115120728.333333</v>
      </c>
      <c r="X5">
        <f t="shared" si="4"/>
        <v>2110991155.4804533</v>
      </c>
      <c r="Z5">
        <v>0.97365766666666698</v>
      </c>
      <c r="AA5">
        <v>775423996.33333302</v>
      </c>
      <c r="AB5">
        <v>86391012.333333299</v>
      </c>
      <c r="AC5">
        <f t="shared" si="5"/>
        <v>2818238990.9115891</v>
      </c>
      <c r="AE5">
        <v>1.6791833333333299</v>
      </c>
      <c r="AF5">
        <v>345770639</v>
      </c>
      <c r="AG5">
        <v>205243958.66666701</v>
      </c>
      <c r="AH5">
        <f t="shared" si="6"/>
        <v>1634127700.9657505</v>
      </c>
      <c r="AJ5">
        <v>0.66483266666666696</v>
      </c>
      <c r="AK5">
        <v>173342139.66666701</v>
      </c>
      <c r="AL5">
        <v>108077646.333333</v>
      </c>
      <c r="AM5">
        <f t="shared" si="7"/>
        <v>4127354351.8218603</v>
      </c>
      <c r="AO5">
        <v>0.47138099999999999</v>
      </c>
      <c r="AP5">
        <v>116175902.666667</v>
      </c>
      <c r="AQ5">
        <v>74432527</v>
      </c>
      <c r="AR5">
        <f t="shared" si="8"/>
        <v>5821193471.9473209</v>
      </c>
      <c r="AT5">
        <v>0.37236999999999998</v>
      </c>
      <c r="AU5">
        <v>86829991</v>
      </c>
      <c r="AV5">
        <v>55387535.333333299</v>
      </c>
      <c r="AW5">
        <f t="shared" si="9"/>
        <v>7369014689.690362</v>
      </c>
    </row>
    <row r="6" spans="1:49">
      <c r="A6">
        <v>1800</v>
      </c>
      <c r="B6">
        <f>AVERAGE(9.707, 9.539, 9.689)</f>
        <v>9.6450000000000014</v>
      </c>
      <c r="C6">
        <f>AVERAGE(6579316952, 6578421670, 6578615833)</f>
        <v>6578784818.333333</v>
      </c>
      <c r="D6">
        <f>AVERAGE(737313680, 736677361, 738380297)</f>
        <v>737457112.66666663</v>
      </c>
      <c r="E6">
        <f t="shared" si="0"/>
        <v>604665629.86003101</v>
      </c>
      <c r="F6">
        <f>AVERAGE(2.711, 2.662, 2.717)</f>
        <v>2.6966666666666668</v>
      </c>
      <c r="G6">
        <f>AVERAGE(746924334, 746961369, 749044876)</f>
        <v>747643526.33333337</v>
      </c>
      <c r="H6">
        <f>AVERAGE(396426678, 398378952, 400977185)</f>
        <v>398594271.66666669</v>
      </c>
      <c r="I6">
        <f t="shared" si="1"/>
        <v>2162669962.9171815</v>
      </c>
      <c r="K6">
        <v>9.4950366666666692</v>
      </c>
      <c r="L6">
        <v>6592442862.3333302</v>
      </c>
      <c r="M6">
        <v>738113778</v>
      </c>
      <c r="N6">
        <f t="shared" si="2"/>
        <v>614215637.57345486</v>
      </c>
      <c r="P6">
        <v>4.30558</v>
      </c>
      <c r="Q6">
        <v>3296141702</v>
      </c>
      <c r="R6">
        <v>369410597.66666698</v>
      </c>
      <c r="S6">
        <f t="shared" si="3"/>
        <v>1354521342.0723805</v>
      </c>
      <c r="U6">
        <v>2.7819699999999998</v>
      </c>
      <c r="V6">
        <v>2197503112.6666698</v>
      </c>
      <c r="W6">
        <v>246528758.33333299</v>
      </c>
      <c r="X6">
        <f t="shared" si="4"/>
        <v>2096356179.2542696</v>
      </c>
      <c r="Z6">
        <v>2.08503333333333</v>
      </c>
      <c r="AA6">
        <v>1648260448.3333299</v>
      </c>
      <c r="AB6">
        <v>185471342.33333299</v>
      </c>
      <c r="AC6">
        <f t="shared" si="5"/>
        <v>2797077584.690897</v>
      </c>
      <c r="AE6">
        <v>2.74216333333333</v>
      </c>
      <c r="AF6">
        <v>749010936.66666698</v>
      </c>
      <c r="AG6">
        <v>428987752</v>
      </c>
      <c r="AH6">
        <f t="shared" si="6"/>
        <v>2126787973.9718909</v>
      </c>
      <c r="AJ6">
        <v>1.4164433333333299</v>
      </c>
      <c r="AK6">
        <v>375098014.33333302</v>
      </c>
      <c r="AL6">
        <v>228675454</v>
      </c>
      <c r="AM6">
        <f t="shared" si="7"/>
        <v>4117354971.2543015</v>
      </c>
      <c r="AO6">
        <v>0.99437533333333294</v>
      </c>
      <c r="AP6">
        <v>251172798.33333299</v>
      </c>
      <c r="AQ6">
        <v>158077110.33333299</v>
      </c>
      <c r="AR6">
        <f t="shared" si="8"/>
        <v>5864988605.912056</v>
      </c>
      <c r="AT6">
        <v>0.78609733333333298</v>
      </c>
      <c r="AU6">
        <v>188488130</v>
      </c>
      <c r="AV6">
        <v>117874711.666667</v>
      </c>
      <c r="AW6">
        <f t="shared" si="9"/>
        <v>7418928614.4379101</v>
      </c>
    </row>
    <row r="7" spans="1:49">
      <c r="A7">
        <v>2200</v>
      </c>
      <c r="B7">
        <f>AVERAGE(17.737, 17.802, 17.628)</f>
        <v>17.722333333333335</v>
      </c>
      <c r="C7">
        <f>AVERAGE(11996785730, 11996096880, 11996643674)</f>
        <v>11996508761.333334</v>
      </c>
      <c r="D7">
        <f>AVERAGE(1343461845, 1343170950, 1344846657)</f>
        <v>1343826484</v>
      </c>
      <c r="E7">
        <f t="shared" si="0"/>
        <v>600823819.28639936</v>
      </c>
      <c r="F7">
        <f>AVERAGE(5.162, 5.196, 5.204)</f>
        <v>5.187333333333334</v>
      </c>
      <c r="G7">
        <f>AVERAGE(2087286867, 2088494636, 2089497935)</f>
        <v>2088426479.3333333</v>
      </c>
      <c r="H7">
        <f>AVERAGE(724088339, 724499723, 725285468)</f>
        <v>724624510</v>
      </c>
      <c r="I7">
        <f t="shared" si="1"/>
        <v>2052692455.9825213</v>
      </c>
      <c r="K7">
        <v>17.5636333333333</v>
      </c>
      <c r="L7">
        <v>12009961969.3333</v>
      </c>
      <c r="M7">
        <v>1341576631.6666701</v>
      </c>
      <c r="N7">
        <f t="shared" si="2"/>
        <v>606252692.59018278</v>
      </c>
      <c r="P7">
        <v>7.9494300000000004</v>
      </c>
      <c r="Q7">
        <v>6005886016.3333302</v>
      </c>
      <c r="R7">
        <v>670915854.33333302</v>
      </c>
      <c r="S7">
        <f t="shared" si="3"/>
        <v>1339467106.4466257</v>
      </c>
      <c r="U7">
        <v>5.1575566666666699</v>
      </c>
      <c r="V7">
        <v>4008021119.3333302</v>
      </c>
      <c r="W7">
        <v>448554285.33333302</v>
      </c>
      <c r="X7">
        <f t="shared" si="4"/>
        <v>2064543482.1527236</v>
      </c>
      <c r="Z7">
        <v>3.8695333333333299</v>
      </c>
      <c r="AA7">
        <v>3003536658.6666698</v>
      </c>
      <c r="AB7">
        <v>337413835.66666698</v>
      </c>
      <c r="AC7">
        <f t="shared" si="5"/>
        <v>2751753010.698967</v>
      </c>
      <c r="AE7">
        <v>5.00326</v>
      </c>
      <c r="AF7">
        <v>2073306513</v>
      </c>
      <c r="AG7">
        <v>763614706</v>
      </c>
      <c r="AH7">
        <f t="shared" si="6"/>
        <v>2128212405.5116065</v>
      </c>
      <c r="AJ7">
        <v>2.6691833333333301</v>
      </c>
      <c r="AK7">
        <v>1034734009.33333</v>
      </c>
      <c r="AL7">
        <v>393608234.66666698</v>
      </c>
      <c r="AM7">
        <f t="shared" si="7"/>
        <v>3989235159.318398</v>
      </c>
      <c r="AO7">
        <v>1.87519666666667</v>
      </c>
      <c r="AP7">
        <v>694455596.66666698</v>
      </c>
      <c r="AQ7">
        <v>275648792.33333302</v>
      </c>
      <c r="AR7">
        <f t="shared" si="8"/>
        <v>5678337738.7971649</v>
      </c>
      <c r="AT7">
        <v>1.4724633333333299</v>
      </c>
      <c r="AU7">
        <v>515880849.66666698</v>
      </c>
      <c r="AV7">
        <v>207589871.33333299</v>
      </c>
      <c r="AW7">
        <f t="shared" si="9"/>
        <v>7231419458.0963135</v>
      </c>
    </row>
    <row r="8" spans="1:49">
      <c r="A8">
        <v>2600</v>
      </c>
      <c r="B8">
        <f>AVERAGE(29.376, 29.286, 29.542)</f>
        <v>29.401333333333337</v>
      </c>
      <c r="C8">
        <f>AVERAGE(19801179973, 19801124325, 19801249563)</f>
        <v>19801184620.333332</v>
      </c>
      <c r="D8">
        <f>AVERAGE(2223524213, 2222715998, 2226132262)</f>
        <v>2224124157.6666665</v>
      </c>
      <c r="E8">
        <f t="shared" si="0"/>
        <v>597796018.32116449</v>
      </c>
      <c r="F8">
        <f>AVERAGE(8.632, 8.795, 8.618)</f>
        <v>8.6816666666666666</v>
      </c>
      <c r="G8">
        <f>AVERAGE(4436435034, 4436200279, 4435633466)</f>
        <v>4436089593</v>
      </c>
      <c r="H8">
        <f>AVERAGE(1148828181, 1149275872, 1150272146)</f>
        <v>1149458733</v>
      </c>
      <c r="I8">
        <f t="shared" si="1"/>
        <v>2024496064.5037434</v>
      </c>
      <c r="K8">
        <v>29.549433333333301</v>
      </c>
      <c r="L8">
        <v>19814432153</v>
      </c>
      <c r="M8">
        <v>2247755377.3333302</v>
      </c>
      <c r="N8">
        <f t="shared" si="2"/>
        <v>594799900.28009629</v>
      </c>
      <c r="P8">
        <v>13.166966666666699</v>
      </c>
      <c r="Q8">
        <v>9908110951.3333302</v>
      </c>
      <c r="R8">
        <v>1118017518.6666701</v>
      </c>
      <c r="S8">
        <f t="shared" si="3"/>
        <v>1334855661.5165699</v>
      </c>
      <c r="U8">
        <v>8.5023700000000009</v>
      </c>
      <c r="V8">
        <v>6608470580.6666698</v>
      </c>
      <c r="W8">
        <v>747633504.33333302</v>
      </c>
      <c r="X8">
        <f t="shared" si="4"/>
        <v>2067188325.137579</v>
      </c>
      <c r="Z8">
        <v>6.3561033333333299</v>
      </c>
      <c r="AA8">
        <v>4954883370</v>
      </c>
      <c r="AB8">
        <v>566687973.66666698</v>
      </c>
      <c r="AC8">
        <f t="shared" si="5"/>
        <v>2765216214.7563171</v>
      </c>
      <c r="AE8">
        <v>8.6186833333333297</v>
      </c>
      <c r="AF8">
        <v>4411002309.6666698</v>
      </c>
      <c r="AG8">
        <v>1197176038.6666701</v>
      </c>
      <c r="AH8">
        <f t="shared" si="6"/>
        <v>2039290610.9015114</v>
      </c>
      <c r="AJ8">
        <v>4.6059266666666696</v>
      </c>
      <c r="AK8">
        <v>2188425129.6666698</v>
      </c>
      <c r="AL8">
        <v>613191390.33333302</v>
      </c>
      <c r="AM8">
        <f t="shared" si="7"/>
        <v>3815953069.1616139</v>
      </c>
      <c r="AO8">
        <v>3.2079499999999999</v>
      </c>
      <c r="AP8">
        <v>1471600026.3333299</v>
      </c>
      <c r="AQ8">
        <v>426024197.33333302</v>
      </c>
      <c r="AR8">
        <f t="shared" si="8"/>
        <v>5478888386.664381</v>
      </c>
      <c r="AT8">
        <v>2.50776666666667</v>
      </c>
      <c r="AU8">
        <v>1101793573.6666701</v>
      </c>
      <c r="AV8">
        <v>323725808.66666698</v>
      </c>
      <c r="AW8">
        <f t="shared" si="9"/>
        <v>7008626533.5690365</v>
      </c>
    </row>
    <row r="9" spans="1:49">
      <c r="A9">
        <v>3000</v>
      </c>
      <c r="B9">
        <f>AVERAGE(46.567, 46.127, 46.22)</f>
        <v>46.304666666666662</v>
      </c>
      <c r="C9">
        <f>AVERAGE(30410864627, 30411183172, 30410967878)</f>
        <v>30411005225.666668</v>
      </c>
      <c r="D9">
        <f>AVERAGE(3487266744, 3447901675, 3451509098)</f>
        <v>3462225839</v>
      </c>
      <c r="E9">
        <f t="shared" si="0"/>
        <v>583094576.50056875</v>
      </c>
      <c r="F9">
        <f>AVERAGE(13.229, 13.331, 13.25)</f>
        <v>13.270000000000001</v>
      </c>
      <c r="G9">
        <f>AVERAGE(1790731451, 1792249541, 1790197225)</f>
        <v>1791059405.6666667</v>
      </c>
      <c r="H9">
        <f>AVERAGE(471245118, 471649879, 471104550)</f>
        <v>471333182.33333331</v>
      </c>
      <c r="I9">
        <f t="shared" si="1"/>
        <v>2034664657.1213262</v>
      </c>
      <c r="K9">
        <v>46.339366666666699</v>
      </c>
      <c r="L9">
        <v>30433618299.666698</v>
      </c>
      <c r="M9">
        <v>3465360774.3333302</v>
      </c>
      <c r="N9">
        <f t="shared" si="2"/>
        <v>582657941.66371107</v>
      </c>
      <c r="P9">
        <v>20.336666666666702</v>
      </c>
      <c r="Q9">
        <v>15218246729.6667</v>
      </c>
      <c r="R9">
        <v>1721284730.6666701</v>
      </c>
      <c r="S9">
        <f t="shared" si="3"/>
        <v>1327651204.7205353</v>
      </c>
      <c r="U9">
        <v>13.154733333333301</v>
      </c>
      <c r="V9">
        <v>10146002577</v>
      </c>
      <c r="W9">
        <v>1157612160.6666701</v>
      </c>
      <c r="X9">
        <f t="shared" si="4"/>
        <v>2052493145.6864753</v>
      </c>
      <c r="Z9">
        <v>9.9314699999999991</v>
      </c>
      <c r="AA9">
        <v>7610078304.6666698</v>
      </c>
      <c r="AB9">
        <v>898267252.66666698</v>
      </c>
      <c r="AC9">
        <f t="shared" si="5"/>
        <v>2718630776.7128134</v>
      </c>
      <c r="AE9">
        <v>13.207266666666699</v>
      </c>
      <c r="AF9">
        <v>6811420849</v>
      </c>
      <c r="AG9">
        <v>1856921687.6666701</v>
      </c>
      <c r="AH9">
        <f t="shared" si="6"/>
        <v>2044329131.9425113</v>
      </c>
      <c r="AJ9">
        <v>7.1025566666666702</v>
      </c>
      <c r="AK9">
        <v>3405010396.6666698</v>
      </c>
      <c r="AL9">
        <v>941776361.33333302</v>
      </c>
      <c r="AM9">
        <f t="shared" si="7"/>
        <v>3801448023.1766291</v>
      </c>
      <c r="AO9">
        <v>4.9127066666666703</v>
      </c>
      <c r="AP9">
        <v>2271035976</v>
      </c>
      <c r="AQ9">
        <v>654957650</v>
      </c>
      <c r="AR9">
        <f t="shared" si="8"/>
        <v>5495951993.8770981</v>
      </c>
      <c r="AT9">
        <v>3.82673</v>
      </c>
      <c r="AU9">
        <v>1703617208.3333299</v>
      </c>
      <c r="AV9">
        <v>497554076.33333302</v>
      </c>
      <c r="AW9">
        <f t="shared" si="9"/>
        <v>7055632354.5167809</v>
      </c>
    </row>
    <row r="10" spans="1:49">
      <c r="A10">
        <v>4000</v>
      </c>
      <c r="F10">
        <f>AVERAGE(31.997, 31.671, 32.023)</f>
        <v>31.897000000000002</v>
      </c>
      <c r="G10">
        <f>AVERAGE(16123839614, 16124051945, 16123748157)</f>
        <v>16123879905.333334</v>
      </c>
      <c r="H10">
        <f>AVERAGE(4290425397, 4316029984, 4316839043)</f>
        <v>4307764808</v>
      </c>
      <c r="I10">
        <f t="shared" si="1"/>
        <v>2006458287.613255</v>
      </c>
    </row>
    <row r="11" spans="1:49">
      <c r="A11">
        <v>6000</v>
      </c>
      <c r="F11">
        <v>108.07299999999999</v>
      </c>
      <c r="G11">
        <v>54284439204</v>
      </c>
      <c r="H11">
        <v>14688938805</v>
      </c>
      <c r="I11">
        <f t="shared" si="1"/>
        <v>1998649061.2826517</v>
      </c>
    </row>
    <row r="12" spans="1:49">
      <c r="A12">
        <v>8000</v>
      </c>
      <c r="F12">
        <v>257.23599999999999</v>
      </c>
      <c r="G12">
        <v>128597804622</v>
      </c>
      <c r="H12">
        <v>34625484250</v>
      </c>
      <c r="I12">
        <f t="shared" si="1"/>
        <v>1990390147.5687697</v>
      </c>
    </row>
    <row r="13" spans="1:49">
      <c r="A13">
        <v>10000</v>
      </c>
      <c r="F13">
        <v>506.67700000000002</v>
      </c>
      <c r="G13">
        <v>250844910325</v>
      </c>
      <c r="H13">
        <v>68017209167</v>
      </c>
      <c r="I13">
        <f t="shared" si="1"/>
        <v>1973643958.5771606</v>
      </c>
    </row>
    <row r="19" spans="6:10">
      <c r="F19" s="4" t="s">
        <v>14</v>
      </c>
      <c r="G19" s="4"/>
      <c r="I19" s="4" t="s">
        <v>15</v>
      </c>
      <c r="J19" s="4"/>
    </row>
    <row r="20" spans="6:10">
      <c r="F20">
        <v>600</v>
      </c>
      <c r="G20">
        <f>AVERAGE(0.162116312, 0.211601951, 0.16243327)</f>
        <v>0.17871717766666664</v>
      </c>
      <c r="I20">
        <v>600</v>
      </c>
      <c r="J20">
        <f>AVERAGE(0.222844411, 0.228577596, 0.226955477)</f>
        <v>0.226125828</v>
      </c>
    </row>
    <row r="21" spans="6:10">
      <c r="F21">
        <v>1000</v>
      </c>
      <c r="G21">
        <f>AVERAGE(0.971095445, 1.196420886, 1.180814354)</f>
        <v>1.1161102283333333</v>
      </c>
      <c r="I21">
        <v>1000</v>
      </c>
      <c r="J21">
        <f>AVERAGE(1.237640386, 1.214870439, 1.211148607)</f>
        <v>1.2212198106666667</v>
      </c>
    </row>
    <row r="22" spans="6:10">
      <c r="F22">
        <v>1400</v>
      </c>
      <c r="G22">
        <f>AVERAGE(3.528746931, 3.524573565, 3.429625856)</f>
        <v>3.4943154506666665</v>
      </c>
      <c r="I22">
        <v>1400</v>
      </c>
      <c r="J22">
        <f>AVERAGE(4.798161083, 4.871603826, 4.862617308)</f>
        <v>4.8441274056666677</v>
      </c>
    </row>
    <row r="23" spans="6:10">
      <c r="F23">
        <v>1800</v>
      </c>
      <c r="G23">
        <f>AVERAGE(4.244412773, 4.257712021, 4.246426729)</f>
        <v>4.2495171743333335</v>
      </c>
      <c r="I23">
        <v>1800</v>
      </c>
      <c r="J23">
        <f>AVERAGE(10.457324091, 10.473447718, 10.660191845)</f>
        <v>10.530321217999999</v>
      </c>
    </row>
    <row r="24" spans="6:10">
      <c r="F24">
        <v>2200</v>
      </c>
      <c r="G24">
        <f>AVERAGE(7.903746169, 7.739936821, 7.759037282)</f>
        <v>7.8009067573333333</v>
      </c>
      <c r="I24">
        <v>2200</v>
      </c>
      <c r="J24">
        <f>AVERAGE(19.674815159, 19.674750553, 19.669427104)</f>
        <v>19.672997605333332</v>
      </c>
    </row>
    <row r="25" spans="6:10">
      <c r="F25">
        <v>2600</v>
      </c>
      <c r="G25">
        <f>AVERAGE(12.891967331, 12.739487459, 12.765856406)</f>
        <v>12.799103731999999</v>
      </c>
      <c r="I25">
        <v>2600</v>
      </c>
      <c r="J25">
        <f>AVERAGE(30.920504827, 32.230553058, 32.625104304)</f>
        <v>31.925387396333331</v>
      </c>
    </row>
    <row r="26" spans="6:10">
      <c r="F26">
        <v>3000</v>
      </c>
      <c r="G26">
        <f>AVERAGE(19.491107603, 19.56499321, 19.582352884)</f>
        <v>19.546151232333333</v>
      </c>
      <c r="I26">
        <v>3000</v>
      </c>
      <c r="J26">
        <f>AVERAGE(57.566604163, 59.23974943, 59.536575469)</f>
        <v>58.780976353999996</v>
      </c>
    </row>
  </sheetData>
  <mergeCells count="12">
    <mergeCell ref="AE1:AG1"/>
    <mergeCell ref="AJ1:AL1"/>
    <mergeCell ref="AO1:AQ1"/>
    <mergeCell ref="AT1:AV1"/>
    <mergeCell ref="F19:G19"/>
    <mergeCell ref="I19:J19"/>
    <mergeCell ref="B1:D1"/>
    <mergeCell ref="F1:H1"/>
    <mergeCell ref="K1:M1"/>
    <mergeCell ref="P1:R1"/>
    <mergeCell ref="U1:W1"/>
    <mergeCell ref="Z1:AB1"/>
  </mergeCells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Câmara</dc:creator>
  <cp:lastModifiedBy>Pedro Câmara</cp:lastModifiedBy>
  <cp:revision>3</cp:revision>
  <cp:lastPrinted>2017-03-11T15:32:10Z</cp:lastPrinted>
  <dcterms:created xsi:type="dcterms:W3CDTF">2017-02-22T14:31:24Z</dcterms:created>
  <dcterms:modified xsi:type="dcterms:W3CDTF">2017-03-11T17:03:16Z</dcterms:modified>
</cp:coreProperties>
</file>