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OCloud\FEUP\CPAR\CPAR-2017\cpar_ex1\"/>
    </mc:Choice>
  </mc:AlternateContent>
  <bookViews>
    <workbookView xWindow="0" yWindow="0" windowWidth="18072" windowHeight="8796"/>
  </bookViews>
  <sheets>
    <sheet name="Resultados" sheetId="1" r:id="rId1"/>
    <sheet name="Gráficos" sheetId="2" r:id="rId2"/>
  </sheets>
  <calcPr calcId="171027"/>
</workbook>
</file>

<file path=xl/calcChain.xml><?xml version="1.0" encoding="utf-8"?>
<calcChain xmlns="http://schemas.openxmlformats.org/spreadsheetml/2006/main">
  <c r="O34" i="1" l="1"/>
  <c r="O33" i="1"/>
  <c r="O32" i="1"/>
  <c r="P28" i="1"/>
  <c r="O28" i="1"/>
  <c r="N28" i="1"/>
  <c r="P21" i="1"/>
  <c r="P22" i="1"/>
  <c r="P23" i="1"/>
  <c r="P24" i="1"/>
  <c r="P25" i="1"/>
  <c r="P26" i="1"/>
  <c r="P20" i="1"/>
  <c r="O21" i="1"/>
  <c r="O22" i="1"/>
  <c r="O23" i="1"/>
  <c r="O24" i="1"/>
  <c r="O25" i="1"/>
  <c r="O26" i="1"/>
  <c r="O20" i="1"/>
  <c r="N21" i="1"/>
  <c r="N22" i="1"/>
  <c r="N23" i="1"/>
  <c r="N24" i="1"/>
  <c r="N25" i="1"/>
  <c r="N26" i="1"/>
  <c r="N20" i="1"/>
  <c r="K21" i="1"/>
  <c r="K22" i="1"/>
  <c r="K23" i="1"/>
  <c r="K24" i="1"/>
  <c r="K25" i="1"/>
  <c r="K26" i="1"/>
  <c r="J33" i="1"/>
  <c r="J32" i="1"/>
  <c r="J21" i="1"/>
  <c r="J22" i="1"/>
  <c r="J23" i="1"/>
  <c r="J24" i="1"/>
  <c r="J25" i="1"/>
  <c r="J26" i="1"/>
  <c r="J28" i="1" s="1"/>
  <c r="K20" i="1"/>
  <c r="J20" i="1"/>
  <c r="I28" i="1"/>
  <c r="I21" i="1"/>
  <c r="I22" i="1"/>
  <c r="I23" i="1"/>
  <c r="I24" i="1"/>
  <c r="I25" i="1"/>
  <c r="I26" i="1"/>
  <c r="I20" i="1"/>
  <c r="E31" i="1"/>
  <c r="E32" i="1"/>
  <c r="E33" i="1"/>
  <c r="E34" i="1"/>
  <c r="E35" i="1"/>
  <c r="E36" i="1"/>
  <c r="E37" i="1"/>
  <c r="E20" i="1"/>
  <c r="E21" i="1"/>
  <c r="E22" i="1"/>
  <c r="E23" i="1"/>
  <c r="E24" i="1"/>
  <c r="E25" i="1"/>
  <c r="E26" i="1"/>
  <c r="D31" i="1"/>
  <c r="D32" i="1"/>
  <c r="D33" i="1"/>
  <c r="D34" i="1"/>
  <c r="D35" i="1"/>
  <c r="D36" i="1"/>
  <c r="D37" i="1"/>
  <c r="D20" i="1"/>
  <c r="D21" i="1"/>
  <c r="D22" i="1"/>
  <c r="D23" i="1"/>
  <c r="D24" i="1"/>
  <c r="D25" i="1"/>
  <c r="D26" i="1"/>
  <c r="F3" i="1"/>
  <c r="F4" i="1"/>
  <c r="F5" i="1"/>
  <c r="F6" i="1"/>
  <c r="F7" i="1"/>
  <c r="F8" i="1"/>
  <c r="F9" i="1"/>
  <c r="G3" i="1"/>
  <c r="G4" i="1"/>
  <c r="G5" i="1"/>
  <c r="G6" i="1"/>
  <c r="G7" i="1"/>
  <c r="G8" i="1"/>
  <c r="G9" i="1"/>
  <c r="M3" i="1"/>
  <c r="M4" i="1"/>
  <c r="M5" i="1"/>
  <c r="M6" i="1"/>
  <c r="M7" i="1"/>
  <c r="M8" i="1"/>
  <c r="M9" i="1"/>
  <c r="N3" i="1"/>
  <c r="N4" i="1"/>
  <c r="N5" i="1"/>
  <c r="N6" i="1"/>
  <c r="N7" i="1"/>
  <c r="N8" i="1"/>
  <c r="N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BC3" i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BJ3" i="1"/>
  <c r="BK3" i="1"/>
  <c r="BJ4" i="1"/>
  <c r="BK4" i="1"/>
  <c r="BJ5" i="1"/>
  <c r="BK5" i="1"/>
  <c r="BJ6" i="1"/>
  <c r="BK6" i="1"/>
  <c r="BJ7" i="1"/>
  <c r="BK7" i="1"/>
  <c r="BJ8" i="1"/>
  <c r="BK8" i="1"/>
  <c r="BJ9" i="1"/>
  <c r="BK9" i="1"/>
  <c r="BQ3" i="1"/>
  <c r="BR3" i="1"/>
  <c r="BQ4" i="1"/>
  <c r="BR4" i="1"/>
  <c r="BQ5" i="1"/>
  <c r="BR5" i="1"/>
  <c r="BQ6" i="1"/>
  <c r="BR6" i="1"/>
  <c r="BQ7" i="1"/>
  <c r="BR7" i="1"/>
  <c r="BQ8" i="1"/>
  <c r="BR8" i="1"/>
  <c r="BQ9" i="1"/>
  <c r="BR9" i="1"/>
  <c r="K28" i="1" l="1"/>
  <c r="J34" i="1" s="1"/>
  <c r="K9" i="1"/>
  <c r="J9" i="1"/>
  <c r="J4" i="1"/>
  <c r="AG9" i="1"/>
  <c r="AG5" i="1"/>
  <c r="BP9" i="1"/>
  <c r="BP8" i="1"/>
  <c r="BP7" i="1"/>
  <c r="BP6" i="1"/>
  <c r="BP5" i="1"/>
  <c r="BP4" i="1"/>
  <c r="BP3" i="1"/>
  <c r="BI9" i="1"/>
  <c r="BI8" i="1"/>
  <c r="BI7" i="1"/>
  <c r="BI6" i="1"/>
  <c r="BI5" i="1"/>
  <c r="BI4" i="1"/>
  <c r="BI3" i="1"/>
  <c r="BB9" i="1"/>
  <c r="BB8" i="1"/>
  <c r="BB7" i="1"/>
  <c r="BB6" i="1"/>
  <c r="BB5" i="1"/>
  <c r="BB4" i="1"/>
  <c r="BB3" i="1"/>
  <c r="AU9" i="1"/>
  <c r="AU8" i="1"/>
  <c r="AU7" i="1"/>
  <c r="AU6" i="1"/>
  <c r="AU5" i="1"/>
  <c r="AU4" i="1"/>
  <c r="AU3" i="1"/>
  <c r="AN9" i="1"/>
  <c r="AN8" i="1"/>
  <c r="AN7" i="1"/>
  <c r="AN6" i="1"/>
  <c r="AN5" i="1"/>
  <c r="AN4" i="1"/>
  <c r="AN3" i="1"/>
  <c r="AG8" i="1"/>
  <c r="AG7" i="1"/>
  <c r="AG6" i="1"/>
  <c r="AG4" i="1"/>
  <c r="AG3" i="1"/>
  <c r="Z9" i="1"/>
  <c r="Z8" i="1"/>
  <c r="Z7" i="1"/>
  <c r="Z6" i="1"/>
  <c r="Z5" i="1"/>
  <c r="Z4" i="1"/>
  <c r="Z3" i="1"/>
  <c r="S9" i="1"/>
  <c r="S8" i="1"/>
  <c r="S7" i="1"/>
  <c r="S6" i="1"/>
  <c r="S5" i="1"/>
  <c r="S4" i="1"/>
  <c r="S3" i="1"/>
  <c r="L11" i="1"/>
  <c r="L12" i="1"/>
  <c r="L13" i="1"/>
  <c r="B20" i="1" l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K10" i="1"/>
  <c r="J10" i="1"/>
  <c r="I10" i="1"/>
  <c r="L10" i="1" s="1"/>
  <c r="I9" i="1"/>
  <c r="L9" i="1" s="1"/>
  <c r="D9" i="1"/>
  <c r="C9" i="1"/>
  <c r="B9" i="1"/>
  <c r="E9" i="1" s="1"/>
  <c r="K8" i="1"/>
  <c r="J8" i="1"/>
  <c r="I8" i="1"/>
  <c r="L8" i="1" s="1"/>
  <c r="D8" i="1"/>
  <c r="C8" i="1"/>
  <c r="B8" i="1"/>
  <c r="E8" i="1" s="1"/>
  <c r="K7" i="1"/>
  <c r="J7" i="1"/>
  <c r="I7" i="1"/>
  <c r="L7" i="1" s="1"/>
  <c r="D7" i="1"/>
  <c r="C7" i="1"/>
  <c r="B7" i="1"/>
  <c r="E7" i="1" s="1"/>
  <c r="K6" i="1"/>
  <c r="J6" i="1"/>
  <c r="I6" i="1"/>
  <c r="L6" i="1" s="1"/>
  <c r="D6" i="1"/>
  <c r="C6" i="1"/>
  <c r="B6" i="1"/>
  <c r="E6" i="1" s="1"/>
  <c r="K5" i="1"/>
  <c r="J5" i="1"/>
  <c r="I5" i="1"/>
  <c r="L5" i="1" s="1"/>
  <c r="D5" i="1"/>
  <c r="C5" i="1"/>
  <c r="B5" i="1"/>
  <c r="E5" i="1" s="1"/>
  <c r="K4" i="1"/>
  <c r="I4" i="1"/>
  <c r="L4" i="1" s="1"/>
  <c r="D4" i="1"/>
  <c r="C4" i="1"/>
  <c r="B4" i="1"/>
  <c r="E4" i="1" s="1"/>
  <c r="K3" i="1"/>
  <c r="J3" i="1"/>
  <c r="I3" i="1"/>
  <c r="L3" i="1" s="1"/>
  <c r="D3" i="1"/>
  <c r="C3" i="1"/>
  <c r="B3" i="1"/>
  <c r="E3" i="1" s="1"/>
</calcChain>
</file>

<file path=xl/sharedStrings.xml><?xml version="1.0" encoding="utf-8"?>
<sst xmlns="http://schemas.openxmlformats.org/spreadsheetml/2006/main" count="99" uniqueCount="29">
  <si>
    <t>C++ Original Version</t>
  </si>
  <si>
    <t>C++ Line Multiplication</t>
  </si>
  <si>
    <t>Original Parallel (1 thread)</t>
  </si>
  <si>
    <t>Original Parallel (2 threads)</t>
  </si>
  <si>
    <t>Original Parallel (3 threads)</t>
  </si>
  <si>
    <t>Original Parallel (4 threads)</t>
  </si>
  <si>
    <t>Line Mult. Parallel (1 threads)</t>
  </si>
  <si>
    <t>Line Mult. Parallel (2 threads)</t>
  </si>
  <si>
    <t>Line Mult. Parallel (3 threads)</t>
  </si>
  <si>
    <t>Line Mult. Parallel (4 threads)</t>
  </si>
  <si>
    <t>Tempo</t>
  </si>
  <si>
    <t>L1 DCM</t>
  </si>
  <si>
    <t>L2 DCM</t>
  </si>
  <si>
    <t>Dimensão</t>
  </si>
  <si>
    <t>Java Line Multiplication</t>
  </si>
  <si>
    <t>GFLOPS</t>
  </si>
  <si>
    <t>L1 DCM Ratio</t>
  </si>
  <si>
    <t>L2 DCM Ratio</t>
  </si>
  <si>
    <t>IPC</t>
  </si>
  <si>
    <t>%MISS</t>
  </si>
  <si>
    <t>Java Original Version</t>
  </si>
  <si>
    <t>2 threads</t>
  </si>
  <si>
    <t>3 threads</t>
  </si>
  <si>
    <t>4 threads</t>
  </si>
  <si>
    <t>Speedup OnMult</t>
  </si>
  <si>
    <t>Speedup médio</t>
  </si>
  <si>
    <t>Speedup OnLineMult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</si>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</sst>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816];[Red]&quot;-&quot;#,##0.00&quot; &quot;[$€-816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0" borderId="0" xfId="5" applyNumberFormat="1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6">
    <cellStyle name="Heading" xfId="1"/>
    <cellStyle name="Heading1" xfId="2"/>
    <cellStyle name="Normal" xfId="0" builtinId="0" customBuiltin="1"/>
    <cellStyle name="Pe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(C++ Line Multiplication)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Resultados!$B$1</c:f>
              <c:strCache>
                <c:ptCount val="1"/>
                <c:pt idx="0">
                  <c:v>C++ Original Version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Resultados!$B$3:$B$9</c:f>
              <c:numCache>
                <c:formatCode>General</c:formatCode>
                <c:ptCount val="7"/>
                <c:pt idx="0">
                  <c:v>0.18666666666666668</c:v>
                </c:pt>
                <c:pt idx="1">
                  <c:v>1.0469999999999999</c:v>
                </c:pt>
                <c:pt idx="2">
                  <c:v>4.5270000000000001</c:v>
                </c:pt>
                <c:pt idx="3">
                  <c:v>9.6450000000000014</c:v>
                </c:pt>
                <c:pt idx="4">
                  <c:v>17.722333333333335</c:v>
                </c:pt>
                <c:pt idx="5">
                  <c:v>29.401333333333337</c:v>
                </c:pt>
                <c:pt idx="6">
                  <c:v>46.304666666666662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3-431D-B96F-7A1D77FB7885}"/>
            </c:ext>
          </c:extLst>
        </c:ser>
        <c:ser>
          <c:idx val="0"/>
          <c:order val="1"/>
          <c:tx>
            <c:strRef>
              <c:f>Resultados!$I$1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Resultados!$I$3:$I$13</c:f>
              <c:numCache>
                <c:formatCode>General</c:formatCode>
                <c:ptCount val="11"/>
                <c:pt idx="0">
                  <c:v>7.4666666666666659E-2</c:v>
                </c:pt>
                <c:pt idx="1">
                  <c:v>0.33166666666666672</c:v>
                </c:pt>
                <c:pt idx="2">
                  <c:v>1.2916666666666667</c:v>
                </c:pt>
                <c:pt idx="3">
                  <c:v>2.6966666666666668</c:v>
                </c:pt>
                <c:pt idx="4">
                  <c:v>5.187333333333334</c:v>
                </c:pt>
                <c:pt idx="5">
                  <c:v>8.6816666666666666</c:v>
                </c:pt>
                <c:pt idx="6">
                  <c:v>13.270000000000001</c:v>
                </c:pt>
                <c:pt idx="7">
                  <c:v>31.897000000000002</c:v>
                </c:pt>
                <c:pt idx="8">
                  <c:v>108.07299999999999</c:v>
                </c:pt>
                <c:pt idx="9">
                  <c:v>257.23599999999999</c:v>
                </c:pt>
                <c:pt idx="10">
                  <c:v>506.67700000000002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3-431D-B96F-7A1D77FB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52896"/>
        <c:axId val="493148304"/>
      </c:scatterChart>
      <c:valAx>
        <c:axId val="49315289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</a:t>
                </a:r>
                <a:r>
                  <a:rPr lang="pt-PT" baseline="0"/>
                  <a:t> das Matrizes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48304"/>
        <c:crosses val="autoZero"/>
        <c:crossBetween val="midCat"/>
      </c:valAx>
      <c:valAx>
        <c:axId val="493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(Versões multi-threaded)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Resultados!$P$1</c:f>
              <c:strCache>
                <c:ptCount val="1"/>
                <c:pt idx="0">
                  <c:v>Original Parallel (1 thread)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Resultados!$P$3:$P$9</c:f>
              <c:numCache>
                <c:formatCode>General</c:formatCode>
                <c:ptCount val="7"/>
                <c:pt idx="0">
                  <c:v>0.18620999999999999</c:v>
                </c:pt>
                <c:pt idx="1">
                  <c:v>1.20047666666667</c:v>
                </c:pt>
                <c:pt idx="2">
                  <c:v>4.48105333333333</c:v>
                </c:pt>
                <c:pt idx="3">
                  <c:v>9.4950366666666692</c:v>
                </c:pt>
                <c:pt idx="4">
                  <c:v>17.5636333333333</c:v>
                </c:pt>
                <c:pt idx="5">
                  <c:v>29.549433333333301</c:v>
                </c:pt>
                <c:pt idx="6">
                  <c:v>46.339366666666699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6-4E23-9AF7-90BD73AC1D3B}"/>
            </c:ext>
          </c:extLst>
        </c:ser>
        <c:ser>
          <c:idx val="3"/>
          <c:order val="1"/>
          <c:tx>
            <c:strRef>
              <c:f>Resultados!$W$1</c:f>
              <c:strCache>
                <c:ptCount val="1"/>
                <c:pt idx="0">
                  <c:v>Original Parallel (2 threads)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Resultados!$W$3:$W$9</c:f>
              <c:numCache>
                <c:formatCode>General</c:formatCode>
                <c:ptCount val="7"/>
                <c:pt idx="0">
                  <c:v>9.4058333333333299E-2</c:v>
                </c:pt>
                <c:pt idx="1">
                  <c:v>0.53579299999999996</c:v>
                </c:pt>
                <c:pt idx="2">
                  <c:v>2.0391966666666699</c:v>
                </c:pt>
                <c:pt idx="3">
                  <c:v>4.30558</c:v>
                </c:pt>
                <c:pt idx="4">
                  <c:v>7.9494300000000004</c:v>
                </c:pt>
                <c:pt idx="5">
                  <c:v>13.166966666666699</c:v>
                </c:pt>
                <c:pt idx="6">
                  <c:v>20.336666666666702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6-4E23-9AF7-90BD73AC1D3B}"/>
            </c:ext>
          </c:extLst>
        </c:ser>
        <c:ser>
          <c:idx val="4"/>
          <c:order val="2"/>
          <c:tx>
            <c:strRef>
              <c:f>Resultados!$AD$1</c:f>
              <c:strCache>
                <c:ptCount val="1"/>
                <c:pt idx="0">
                  <c:v>Original Parallel (3 threads)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Resultados!$AD$3:$AD$9</c:f>
              <c:numCache>
                <c:formatCode>General</c:formatCode>
                <c:ptCount val="7"/>
                <c:pt idx="0">
                  <c:v>8.87569E-2</c:v>
                </c:pt>
                <c:pt idx="1">
                  <c:v>0.41136899999999998</c:v>
                </c:pt>
                <c:pt idx="2">
                  <c:v>1.29986333333333</c:v>
                </c:pt>
                <c:pt idx="3">
                  <c:v>2.7819699999999998</c:v>
                </c:pt>
                <c:pt idx="4">
                  <c:v>5.1575566666666699</c:v>
                </c:pt>
                <c:pt idx="5">
                  <c:v>8.5023700000000009</c:v>
                </c:pt>
                <c:pt idx="6">
                  <c:v>13.154733333333301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6-4E23-9AF7-90BD73AC1D3B}"/>
            </c:ext>
          </c:extLst>
        </c:ser>
        <c:ser>
          <c:idx val="5"/>
          <c:order val="3"/>
          <c:tx>
            <c:strRef>
              <c:f>Resultados!$AK$1</c:f>
              <c:strCache>
                <c:ptCount val="1"/>
                <c:pt idx="0">
                  <c:v>Original Parallel (4 threads)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Resultados!$AK$3:$AK$9</c:f>
              <c:numCache>
                <c:formatCode>General</c:formatCode>
                <c:ptCount val="7"/>
                <c:pt idx="0">
                  <c:v>6.4683066666666705E-2</c:v>
                </c:pt>
                <c:pt idx="1">
                  <c:v>0.283526</c:v>
                </c:pt>
                <c:pt idx="2">
                  <c:v>0.97365766666666698</c:v>
                </c:pt>
                <c:pt idx="3">
                  <c:v>2.08503333333333</c:v>
                </c:pt>
                <c:pt idx="4">
                  <c:v>3.8695333333333299</c:v>
                </c:pt>
                <c:pt idx="5">
                  <c:v>6.3561033333333299</c:v>
                </c:pt>
                <c:pt idx="6">
                  <c:v>9.9314699999999991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6-4E23-9AF7-90BD73AC1D3B}"/>
            </c:ext>
          </c:extLst>
        </c:ser>
        <c:ser>
          <c:idx val="6"/>
          <c:order val="4"/>
          <c:tx>
            <c:strRef>
              <c:f>Resultados!$AR$1</c:f>
              <c:strCache>
                <c:ptCount val="1"/>
                <c:pt idx="0">
                  <c:v>Line Mult. Parallel (1 threads)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Resultados!$AR$3:$AR$9</c:f>
              <c:numCache>
                <c:formatCode>General</c:formatCode>
                <c:ptCount val="7"/>
                <c:pt idx="0">
                  <c:v>7.1539400000000003E-2</c:v>
                </c:pt>
                <c:pt idx="1">
                  <c:v>0.56552166666666703</c:v>
                </c:pt>
                <c:pt idx="2">
                  <c:v>1.6791833333333299</c:v>
                </c:pt>
                <c:pt idx="3">
                  <c:v>2.74216333333333</c:v>
                </c:pt>
                <c:pt idx="4">
                  <c:v>5.00326</c:v>
                </c:pt>
                <c:pt idx="5">
                  <c:v>8.6186833333333297</c:v>
                </c:pt>
                <c:pt idx="6">
                  <c:v>13.207266666666699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6-4E23-9AF7-90BD73AC1D3B}"/>
            </c:ext>
          </c:extLst>
        </c:ser>
        <c:ser>
          <c:idx val="7"/>
          <c:order val="5"/>
          <c:tx>
            <c:strRef>
              <c:f>Resultados!$AY$1</c:f>
              <c:strCache>
                <c:ptCount val="1"/>
                <c:pt idx="0">
                  <c:v>Line Mult. Parallel (2 threads)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Resultados!$AY$3:$AY$9</c:f>
              <c:numCache>
                <c:formatCode>General</c:formatCode>
                <c:ptCount val="7"/>
                <c:pt idx="0">
                  <c:v>3.3804366666666703E-2</c:v>
                </c:pt>
                <c:pt idx="1">
                  <c:v>0.181244666666667</c:v>
                </c:pt>
                <c:pt idx="2">
                  <c:v>0.66483266666666696</c:v>
                </c:pt>
                <c:pt idx="3">
                  <c:v>1.4164433333333299</c:v>
                </c:pt>
                <c:pt idx="4">
                  <c:v>2.6691833333333301</c:v>
                </c:pt>
                <c:pt idx="5">
                  <c:v>4.6059266666666696</c:v>
                </c:pt>
                <c:pt idx="6">
                  <c:v>7.1025566666666702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E6-4E23-9AF7-90BD73AC1D3B}"/>
            </c:ext>
          </c:extLst>
        </c:ser>
        <c:ser>
          <c:idx val="8"/>
          <c:order val="6"/>
          <c:tx>
            <c:strRef>
              <c:f>Resultados!$BF$1</c:f>
              <c:strCache>
                <c:ptCount val="1"/>
                <c:pt idx="0">
                  <c:v>Line Mult. Parallel (3 threads)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Resultados!$BF$3:$BF$9</c:f>
              <c:numCache>
                <c:formatCode>General</c:formatCode>
                <c:ptCount val="7"/>
                <c:pt idx="0">
                  <c:v>2.35995666666667E-2</c:v>
                </c:pt>
                <c:pt idx="1">
                  <c:v>0.13170633333333301</c:v>
                </c:pt>
                <c:pt idx="2">
                  <c:v>0.47138099999999999</c:v>
                </c:pt>
                <c:pt idx="3">
                  <c:v>0.99437533333333294</c:v>
                </c:pt>
                <c:pt idx="4">
                  <c:v>1.87519666666667</c:v>
                </c:pt>
                <c:pt idx="5">
                  <c:v>3.2079499999999999</c:v>
                </c:pt>
                <c:pt idx="6">
                  <c:v>4.9127066666666703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6-4E23-9AF7-90BD73AC1D3B}"/>
            </c:ext>
          </c:extLst>
        </c:ser>
        <c:ser>
          <c:idx val="9"/>
          <c:order val="7"/>
          <c:tx>
            <c:strRef>
              <c:f>Resultados!$BM$1</c:f>
              <c:strCache>
                <c:ptCount val="1"/>
                <c:pt idx="0">
                  <c:v>Line Mult. Parallel (4 threads)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Resultados!$BM$3:$BM$9</c:f>
              <c:numCache>
                <c:formatCode>General</c:formatCode>
                <c:ptCount val="7"/>
                <c:pt idx="0">
                  <c:v>3.1586066666666697E-2</c:v>
                </c:pt>
                <c:pt idx="1">
                  <c:v>0.10962633333333301</c:v>
                </c:pt>
                <c:pt idx="2">
                  <c:v>0.37236999999999998</c:v>
                </c:pt>
                <c:pt idx="3">
                  <c:v>0.78609733333333298</c:v>
                </c:pt>
                <c:pt idx="4">
                  <c:v>1.4724633333333299</c:v>
                </c:pt>
                <c:pt idx="5">
                  <c:v>2.50776666666667</c:v>
                </c:pt>
                <c:pt idx="6">
                  <c:v>3.82673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E6-4E23-9AF7-90BD73AC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53552"/>
        <c:axId val="493152896"/>
      </c:scatterChart>
      <c:valAx>
        <c:axId val="493153552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</a:t>
                </a:r>
                <a:r>
                  <a:rPr lang="pt-PT" baseline="0"/>
                  <a:t> das Matrizes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52896"/>
        <c:crosses val="autoZero"/>
        <c:crossBetween val="midCat"/>
        <c:majorUnit val="400"/>
      </c:valAx>
      <c:valAx>
        <c:axId val="493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(Versões</a:t>
            </a:r>
            <a:r>
              <a:rPr lang="pt-PT" baseline="0"/>
              <a:t> single-threaded)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C++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Resultados!$B$3:$B$9</c:f>
              <c:numCache>
                <c:formatCode>General</c:formatCode>
                <c:ptCount val="7"/>
                <c:pt idx="0">
                  <c:v>0.18666666666666668</c:v>
                </c:pt>
                <c:pt idx="1">
                  <c:v>1.0469999999999999</c:v>
                </c:pt>
                <c:pt idx="2">
                  <c:v>4.5270000000000001</c:v>
                </c:pt>
                <c:pt idx="3">
                  <c:v>9.6450000000000014</c:v>
                </c:pt>
                <c:pt idx="4">
                  <c:v>17.722333333333335</c:v>
                </c:pt>
                <c:pt idx="5">
                  <c:v>29.401333333333337</c:v>
                </c:pt>
                <c:pt idx="6">
                  <c:v>46.304666666666662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2-45CE-9725-2D2AC562FA75}"/>
            </c:ext>
          </c:extLst>
        </c:ser>
        <c:ser>
          <c:idx val="1"/>
          <c:order val="1"/>
          <c:tx>
            <c:strRef>
              <c:f>Resultados!$I$1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Resultados!$I$3:$I$9</c:f>
              <c:numCache>
                <c:formatCode>General</c:formatCode>
                <c:ptCount val="7"/>
                <c:pt idx="0">
                  <c:v>7.4666666666666659E-2</c:v>
                </c:pt>
                <c:pt idx="1">
                  <c:v>0.33166666666666672</c:v>
                </c:pt>
                <c:pt idx="2">
                  <c:v>1.2916666666666667</c:v>
                </c:pt>
                <c:pt idx="3">
                  <c:v>2.6966666666666668</c:v>
                </c:pt>
                <c:pt idx="4">
                  <c:v>5.187333333333334</c:v>
                </c:pt>
                <c:pt idx="5">
                  <c:v>8.6816666666666666</c:v>
                </c:pt>
                <c:pt idx="6">
                  <c:v>13.270000000000001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2-45CE-9725-2D2AC562FA75}"/>
            </c:ext>
          </c:extLst>
        </c:ser>
        <c:ser>
          <c:idx val="11"/>
          <c:order val="2"/>
          <c:tx>
            <c:strRef>
              <c:f>Resultados!$A$18</c:f>
              <c:strCache>
                <c:ptCount val="1"/>
                <c:pt idx="0">
                  <c:v>Java Original Version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Resultados!$B$20:$B$26</c:f>
              <c:numCache>
                <c:formatCode>General</c:formatCode>
                <c:ptCount val="7"/>
                <c:pt idx="0">
                  <c:v>0.226125828</c:v>
                </c:pt>
                <c:pt idx="1">
                  <c:v>1.2212198106666667</c:v>
                </c:pt>
                <c:pt idx="2">
                  <c:v>4.8441274056666677</c:v>
                </c:pt>
                <c:pt idx="3">
                  <c:v>10.530321217999999</c:v>
                </c:pt>
                <c:pt idx="4">
                  <c:v>19.672997605333332</c:v>
                </c:pt>
                <c:pt idx="5">
                  <c:v>31.925387396333331</c:v>
                </c:pt>
                <c:pt idx="6">
                  <c:v>58.780976353999996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2-45CE-9725-2D2AC562FA75}"/>
            </c:ext>
          </c:extLst>
        </c:ser>
        <c:ser>
          <c:idx val="10"/>
          <c:order val="3"/>
          <c:tx>
            <c:strRef>
              <c:f>Resultados!$A$29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Resultados!$A$31:$A$37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Resultados!$B$31:$B$37</c:f>
              <c:numCache>
                <c:formatCode>General</c:formatCode>
                <c:ptCount val="7"/>
                <c:pt idx="0">
                  <c:v>0.17871717766666664</c:v>
                </c:pt>
                <c:pt idx="1">
                  <c:v>1.1161102283333333</c:v>
                </c:pt>
                <c:pt idx="2">
                  <c:v>3.4943154506666665</c:v>
                </c:pt>
                <c:pt idx="3">
                  <c:v>4.2495171743333335</c:v>
                </c:pt>
                <c:pt idx="4">
                  <c:v>7.8009067573333333</c:v>
                </c:pt>
                <c:pt idx="5">
                  <c:v>12.799103731999999</c:v>
                </c:pt>
                <c:pt idx="6">
                  <c:v>19.546151232333333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2-45CE-9725-2D2AC562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53552"/>
        <c:axId val="493152896"/>
      </c:scatterChart>
      <c:valAx>
        <c:axId val="493153552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 das Matrizes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52896"/>
        <c:crosses val="autoZero"/>
        <c:crossBetween val="midCat"/>
        <c:majorUnit val="400"/>
      </c:valAx>
      <c:valAx>
        <c:axId val="493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DCM</a:t>
            </a:r>
            <a:r>
              <a:rPr lang="pt-PT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C++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Resultados!$F$3:$F$9</c:f>
              <c:numCache>
                <c:formatCode>0.00%</c:formatCode>
                <c:ptCount val="7"/>
                <c:pt idx="0">
                  <c:v>0.56590624768518516</c:v>
                </c:pt>
                <c:pt idx="1">
                  <c:v>0.56432484533333338</c:v>
                </c:pt>
                <c:pt idx="2">
                  <c:v>0.56373963526482029</c:v>
                </c:pt>
                <c:pt idx="3">
                  <c:v>0.56402476151691816</c:v>
                </c:pt>
                <c:pt idx="4">
                  <c:v>0.5633221619709492</c:v>
                </c:pt>
                <c:pt idx="5">
                  <c:v>0.56330179279509929</c:v>
                </c:pt>
                <c:pt idx="6">
                  <c:v>0.56316676343827166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F-46EF-B839-D90C8FD32005}"/>
            </c:ext>
          </c:extLst>
        </c:ser>
        <c:ser>
          <c:idx val="1"/>
          <c:order val="1"/>
          <c:tx>
            <c:strRef>
              <c:f>Resultados!$I$1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Resultados!$M$3:$M$9</c:f>
              <c:numCache>
                <c:formatCode>General</c:formatCode>
                <c:ptCount val="7"/>
                <c:pt idx="0">
                  <c:v>6.3036544753086413E-2</c:v>
                </c:pt>
                <c:pt idx="1">
                  <c:v>6.2872770499999994E-2</c:v>
                </c:pt>
                <c:pt idx="2">
                  <c:v>6.3102529883381928E-2</c:v>
                </c:pt>
                <c:pt idx="3">
                  <c:v>6.409838188728853E-2</c:v>
                </c:pt>
                <c:pt idx="4">
                  <c:v>9.8066607782369142E-2</c:v>
                </c:pt>
                <c:pt idx="5">
                  <c:v>0.12619735983727812</c:v>
                </c:pt>
                <c:pt idx="6">
                  <c:v>0.12576035936419755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F-46EF-B839-D90C8FD32005}"/>
            </c:ext>
          </c:extLst>
        </c:ser>
        <c:ser>
          <c:idx val="2"/>
          <c:order val="2"/>
          <c:tx>
            <c:strRef>
              <c:f>Resultados!$P$1</c:f>
              <c:strCache>
                <c:ptCount val="1"/>
                <c:pt idx="0">
                  <c:v>Original Parallel (1 thread)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Resultados!$T$3:$T$9</c:f>
              <c:numCache>
                <c:formatCode>General</c:formatCode>
                <c:ptCount val="7"/>
                <c:pt idx="0">
                  <c:v>0.59745287885802545</c:v>
                </c:pt>
                <c:pt idx="1">
                  <c:v>0.56545975266666493</c:v>
                </c:pt>
                <c:pt idx="2">
                  <c:v>0.56463688095238151</c:v>
                </c:pt>
                <c:pt idx="3">
                  <c:v>0.56519571864997686</c:v>
                </c:pt>
                <c:pt idx="4">
                  <c:v>0.56395388661407309</c:v>
                </c:pt>
                <c:pt idx="5">
                  <c:v>0.5636786570607647</c:v>
                </c:pt>
                <c:pt idx="6">
                  <c:v>0.56358552406790186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F-46EF-B839-D90C8FD32005}"/>
            </c:ext>
          </c:extLst>
        </c:ser>
        <c:ser>
          <c:idx val="3"/>
          <c:order val="3"/>
          <c:tx>
            <c:strRef>
              <c:f>Resultados!$W$1</c:f>
              <c:strCache>
                <c:ptCount val="1"/>
                <c:pt idx="0">
                  <c:v>Original Parallel (2 threads)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Resultados!$AA$3:$AA$9</c:f>
              <c:numCache>
                <c:formatCode>General</c:formatCode>
                <c:ptCount val="7"/>
                <c:pt idx="0">
                  <c:v>0.29608743904321067</c:v>
                </c:pt>
                <c:pt idx="1">
                  <c:v>0.2829443103333335</c:v>
                </c:pt>
                <c:pt idx="2">
                  <c:v>0.28249472868075803</c:v>
                </c:pt>
                <c:pt idx="3">
                  <c:v>0.28259102383401918</c:v>
                </c:pt>
                <c:pt idx="4">
                  <c:v>0.28201944103744037</c:v>
                </c:pt>
                <c:pt idx="5">
                  <c:v>0.28186478582536784</c:v>
                </c:pt>
                <c:pt idx="6">
                  <c:v>0.28181938388271666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F-46EF-B839-D90C8FD32005}"/>
            </c:ext>
          </c:extLst>
        </c:ser>
        <c:ser>
          <c:idx val="4"/>
          <c:order val="4"/>
          <c:tx>
            <c:strRef>
              <c:f>Resultados!$AD$1</c:f>
              <c:strCache>
                <c:ptCount val="1"/>
                <c:pt idx="0">
                  <c:v>Original Parallel (3 threads)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Resultados!$AH$3:$AH$9</c:f>
              <c:numCache>
                <c:formatCode>General</c:formatCode>
                <c:ptCount val="7"/>
                <c:pt idx="0">
                  <c:v>0.18705185416666667</c:v>
                </c:pt>
                <c:pt idx="1">
                  <c:v>0.1889253011666665</c:v>
                </c:pt>
                <c:pt idx="2">
                  <c:v>0.18850221507531523</c:v>
                </c:pt>
                <c:pt idx="3">
                  <c:v>0.18840047262231394</c:v>
                </c:pt>
                <c:pt idx="4">
                  <c:v>0.18820534933007749</c:v>
                </c:pt>
                <c:pt idx="5">
                  <c:v>0.18799700104308914</c:v>
                </c:pt>
                <c:pt idx="6">
                  <c:v>0.18788893661111111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F-46EF-B839-D90C8FD32005}"/>
            </c:ext>
          </c:extLst>
        </c:ser>
        <c:ser>
          <c:idx val="5"/>
          <c:order val="5"/>
          <c:tx>
            <c:strRef>
              <c:f>Resultados!$AK$1</c:f>
              <c:strCache>
                <c:ptCount val="1"/>
                <c:pt idx="0">
                  <c:v>Original Parallel (4 threads)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Resultados!$AO$3:$AO$9</c:f>
              <c:numCache>
                <c:formatCode>General</c:formatCode>
                <c:ptCount val="7"/>
                <c:pt idx="0">
                  <c:v>0.14436029706790116</c:v>
                </c:pt>
                <c:pt idx="1">
                  <c:v>0.14153394999999999</c:v>
                </c:pt>
                <c:pt idx="2">
                  <c:v>0.14129445997327497</c:v>
                </c:pt>
                <c:pt idx="3">
                  <c:v>0.14131176683241856</c:v>
                </c:pt>
                <c:pt idx="4">
                  <c:v>0.14103759666917121</c:v>
                </c:pt>
                <c:pt idx="5">
                  <c:v>0.14095594475421028</c:v>
                </c:pt>
                <c:pt idx="6">
                  <c:v>0.14092737601234573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F-46EF-B839-D90C8FD32005}"/>
            </c:ext>
          </c:extLst>
        </c:ser>
        <c:ser>
          <c:idx val="6"/>
          <c:order val="6"/>
          <c:tx>
            <c:strRef>
              <c:f>Resultados!$AR$1</c:f>
              <c:strCache>
                <c:ptCount val="1"/>
                <c:pt idx="0">
                  <c:v>Line Mult. Parallel (1 threads)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Resultados!$AV$3:$AV$9</c:f>
              <c:numCache>
                <c:formatCode>General</c:formatCode>
                <c:ptCount val="7"/>
                <c:pt idx="0">
                  <c:v>6.3027392746913657E-2</c:v>
                </c:pt>
                <c:pt idx="1">
                  <c:v>6.2953220833333504E-2</c:v>
                </c:pt>
                <c:pt idx="2">
                  <c:v>6.3004854045189504E-2</c:v>
                </c:pt>
                <c:pt idx="3">
                  <c:v>6.4215615283493399E-2</c:v>
                </c:pt>
                <c:pt idx="4">
                  <c:v>9.7356616876408716E-2</c:v>
                </c:pt>
                <c:pt idx="5">
                  <c:v>0.12548367972424526</c:v>
                </c:pt>
                <c:pt idx="6">
                  <c:v>0.12613742312962964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F-46EF-B839-D90C8FD32005}"/>
            </c:ext>
          </c:extLst>
        </c:ser>
        <c:ser>
          <c:idx val="7"/>
          <c:order val="7"/>
          <c:tx>
            <c:strRef>
              <c:f>Resultados!$AY$1</c:f>
              <c:strCache>
                <c:ptCount val="1"/>
                <c:pt idx="0">
                  <c:v>Line Mult. Parallel (2 threads)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Resultados!$BC$3:$BC$9</c:f>
              <c:numCache>
                <c:formatCode>General</c:formatCode>
                <c:ptCount val="7"/>
                <c:pt idx="0">
                  <c:v>3.1623084104938193E-2</c:v>
                </c:pt>
                <c:pt idx="1">
                  <c:v>3.1533576166666646E-2</c:v>
                </c:pt>
                <c:pt idx="2">
                  <c:v>3.1585666848882477E-2</c:v>
                </c:pt>
                <c:pt idx="3">
                  <c:v>3.2158608910608115E-2</c:v>
                </c:pt>
                <c:pt idx="4">
                  <c:v>4.8588186013022637E-2</c:v>
                </c:pt>
                <c:pt idx="5">
                  <c:v>6.2256063087923016E-2</c:v>
                </c:pt>
                <c:pt idx="6">
                  <c:v>6.3055748086419811E-2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F-46EF-B839-D90C8FD32005}"/>
            </c:ext>
          </c:extLst>
        </c:ser>
        <c:ser>
          <c:idx val="8"/>
          <c:order val="8"/>
          <c:tx>
            <c:strRef>
              <c:f>Resultados!$BF$1</c:f>
              <c:strCache>
                <c:ptCount val="1"/>
                <c:pt idx="0">
                  <c:v>Line Mult. Parallel (3 threads)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Resultados!$BJ$3:$BJ$9</c:f>
              <c:numCache>
                <c:formatCode>General</c:formatCode>
                <c:ptCount val="7"/>
                <c:pt idx="0">
                  <c:v>2.1157977623456784E-2</c:v>
                </c:pt>
                <c:pt idx="1">
                  <c:v>2.1131652833333351E-2</c:v>
                </c:pt>
                <c:pt idx="2">
                  <c:v>2.1169078474246903E-2</c:v>
                </c:pt>
                <c:pt idx="3">
                  <c:v>2.1534019061499741E-2</c:v>
                </c:pt>
                <c:pt idx="4">
                  <c:v>3.2609673021537708E-2</c:v>
                </c:pt>
                <c:pt idx="5">
                  <c:v>4.1863906074571286E-2</c:v>
                </c:pt>
                <c:pt idx="6">
                  <c:v>4.2056221777777777E-2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3F-46EF-B839-D90C8FD32005}"/>
            </c:ext>
          </c:extLst>
        </c:ser>
        <c:ser>
          <c:idx val="9"/>
          <c:order val="9"/>
          <c:tx>
            <c:strRef>
              <c:f>Resultados!$BM$1</c:f>
              <c:strCache>
                <c:ptCount val="1"/>
                <c:pt idx="0">
                  <c:v>Line Mult. Parallel (4 threads)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Resultados!$BQ$3:$BQ$9</c:f>
              <c:numCache>
                <c:formatCode>General</c:formatCode>
                <c:ptCount val="7"/>
                <c:pt idx="0">
                  <c:v>1.5927835648148148E-2</c:v>
                </c:pt>
                <c:pt idx="1">
                  <c:v>1.5850441666666649E-2</c:v>
                </c:pt>
                <c:pt idx="2">
                  <c:v>1.582179136297376E-2</c:v>
                </c:pt>
                <c:pt idx="3">
                  <c:v>1.6159819101508915E-2</c:v>
                </c:pt>
                <c:pt idx="4">
                  <c:v>2.4224307366015541E-2</c:v>
                </c:pt>
                <c:pt idx="5">
                  <c:v>3.1343695199893891E-2</c:v>
                </c:pt>
                <c:pt idx="6">
                  <c:v>3.1548466820987588E-2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3F-46EF-B839-D90C8FD3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58080"/>
        <c:axId val="483351848"/>
      </c:scatterChart>
      <c:valAx>
        <c:axId val="483358080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</a:t>
                </a:r>
                <a:r>
                  <a:rPr lang="pt-PT" baseline="0"/>
                  <a:t> das Matrizes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351848"/>
        <c:crosses val="autoZero"/>
        <c:crossBetween val="midCat"/>
        <c:majorUnit val="400"/>
      </c:valAx>
      <c:valAx>
        <c:axId val="4833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Rácio</a:t>
                </a:r>
                <a:r>
                  <a:rPr lang="pt-PT" baseline="0"/>
                  <a:t> de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3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L2</a:t>
            </a:r>
            <a:r>
              <a:rPr lang="pt-PT" baseline="0"/>
              <a:t> DCM Ratio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C++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Resultados!$G$3:$G$9</c:f>
              <c:numCache>
                <c:formatCode>0.00%</c:formatCode>
                <c:ptCount val="7"/>
                <c:pt idx="0">
                  <c:v>6.3418342592592589E-2</c:v>
                </c:pt>
                <c:pt idx="1">
                  <c:v>6.2961352833333331E-2</c:v>
                </c:pt>
                <c:pt idx="2">
                  <c:v>6.2853026785714292E-2</c:v>
                </c:pt>
                <c:pt idx="3">
                  <c:v>6.322506109967993E-2</c:v>
                </c:pt>
                <c:pt idx="4">
                  <c:v>6.310229545454546E-2</c:v>
                </c:pt>
                <c:pt idx="5">
                  <c:v>6.3271624876725829E-2</c:v>
                </c:pt>
                <c:pt idx="6">
                  <c:v>6.4115293314814817E-2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D-4C8F-934A-E6C0C69D2137}"/>
            </c:ext>
          </c:extLst>
        </c:ser>
        <c:ser>
          <c:idx val="1"/>
          <c:order val="1"/>
          <c:tx>
            <c:strRef>
              <c:f>Resultados!$I$1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Resultados!$N$3:$N$9</c:f>
              <c:numCache>
                <c:formatCode>General</c:formatCode>
                <c:ptCount val="7"/>
                <c:pt idx="0">
                  <c:v>3.0255046296296297E-3</c:v>
                </c:pt>
                <c:pt idx="1">
                  <c:v>1.8229816666666667E-3</c:v>
                </c:pt>
                <c:pt idx="2">
                  <c:v>2.5149250728862975E-2</c:v>
                </c:pt>
                <c:pt idx="3">
                  <c:v>3.4173034264974853E-2</c:v>
                </c:pt>
                <c:pt idx="4">
                  <c:v>3.4026319966190835E-2</c:v>
                </c:pt>
                <c:pt idx="5">
                  <c:v>3.2699668098543466E-2</c:v>
                </c:pt>
                <c:pt idx="6">
                  <c:v>3.4654318191358023E-2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D-4C8F-934A-E6C0C69D2137}"/>
            </c:ext>
          </c:extLst>
        </c:ser>
        <c:ser>
          <c:idx val="2"/>
          <c:order val="2"/>
          <c:tx>
            <c:strRef>
              <c:f>Resultados!$P$1</c:f>
              <c:strCache>
                <c:ptCount val="1"/>
                <c:pt idx="0">
                  <c:v>Original Parallel (1 thread)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Resultados!$U$3:$U$9</c:f>
              <c:numCache>
                <c:formatCode>General</c:formatCode>
                <c:ptCount val="7"/>
                <c:pt idx="0">
                  <c:v>8.0224837962962967E-2</c:v>
                </c:pt>
                <c:pt idx="1">
                  <c:v>6.39712895E-2</c:v>
                </c:pt>
                <c:pt idx="2">
                  <c:v>6.2800247995626821E-2</c:v>
                </c:pt>
                <c:pt idx="3">
                  <c:v>6.3281359567901235E-2</c:v>
                </c:pt>
                <c:pt idx="4">
                  <c:v>6.2996648744678349E-2</c:v>
                </c:pt>
                <c:pt idx="5">
                  <c:v>6.3943883060233561E-2</c:v>
                </c:pt>
                <c:pt idx="6">
                  <c:v>6.4173347672839443E-2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D-4C8F-934A-E6C0C69D2137}"/>
            </c:ext>
          </c:extLst>
        </c:ser>
        <c:ser>
          <c:idx val="3"/>
          <c:order val="3"/>
          <c:tx>
            <c:strRef>
              <c:f>Resultados!$W$1</c:f>
              <c:strCache>
                <c:ptCount val="1"/>
                <c:pt idx="0">
                  <c:v>Original Parallel (2 threads)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Resultados!$AB$3:$AB$9</c:f>
              <c:numCache>
                <c:formatCode>General</c:formatCode>
                <c:ptCount val="7"/>
                <c:pt idx="0">
                  <c:v>4.0435299382715971E-2</c:v>
                </c:pt>
                <c:pt idx="1">
                  <c:v>3.1445173166666653E-2</c:v>
                </c:pt>
                <c:pt idx="2">
                  <c:v>3.1424413326044641E-2</c:v>
                </c:pt>
                <c:pt idx="3">
                  <c:v>3.1671004601051697E-2</c:v>
                </c:pt>
                <c:pt idx="4">
                  <c:v>3.1504313220010002E-2</c:v>
                </c:pt>
                <c:pt idx="5">
                  <c:v>3.1805232096798759E-2</c:v>
                </c:pt>
                <c:pt idx="6">
                  <c:v>3.1875643160493891E-2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D-4C8F-934A-E6C0C69D2137}"/>
            </c:ext>
          </c:extLst>
        </c:ser>
        <c:ser>
          <c:idx val="4"/>
          <c:order val="4"/>
          <c:tx>
            <c:strRef>
              <c:f>Resultados!$AD$1</c:f>
              <c:strCache>
                <c:ptCount val="1"/>
                <c:pt idx="0">
                  <c:v>Original Parallel (3 threads)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Resultados!$AI$3:$AI$9</c:f>
              <c:numCache>
                <c:formatCode>General</c:formatCode>
                <c:ptCount val="7"/>
                <c:pt idx="0">
                  <c:v>2.2926996141975322E-2</c:v>
                </c:pt>
                <c:pt idx="1">
                  <c:v>2.1043264499999999E-2</c:v>
                </c:pt>
                <c:pt idx="2">
                  <c:v>2.0976809098639394E-2</c:v>
                </c:pt>
                <c:pt idx="3">
                  <c:v>2.1135867483996311E-2</c:v>
                </c:pt>
                <c:pt idx="4">
                  <c:v>2.1062842098672662E-2</c:v>
                </c:pt>
                <c:pt idx="5">
                  <c:v>2.1268590815126678E-2</c:v>
                </c:pt>
                <c:pt idx="6">
                  <c:v>2.1437262234567964E-2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D-4C8F-934A-E6C0C69D2137}"/>
            </c:ext>
          </c:extLst>
        </c:ser>
        <c:ser>
          <c:idx val="5"/>
          <c:order val="5"/>
          <c:tx>
            <c:strRef>
              <c:f>Resultados!$AK$1</c:f>
              <c:strCache>
                <c:ptCount val="1"/>
                <c:pt idx="0">
                  <c:v>Original Parallel (4 threads)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Resultados!$AP$3:$AP$9</c:f>
              <c:numCache>
                <c:formatCode>General</c:formatCode>
                <c:ptCount val="7"/>
                <c:pt idx="0">
                  <c:v>1.7241756944444443E-2</c:v>
                </c:pt>
                <c:pt idx="1">
                  <c:v>1.57675135E-2</c:v>
                </c:pt>
                <c:pt idx="2">
                  <c:v>1.5741802538872685E-2</c:v>
                </c:pt>
                <c:pt idx="3">
                  <c:v>1.5901178183584788E-2</c:v>
                </c:pt>
                <c:pt idx="4">
                  <c:v>1.5844000547833723E-2</c:v>
                </c:pt>
                <c:pt idx="5">
                  <c:v>1.6121073442952522E-2</c:v>
                </c:pt>
                <c:pt idx="6">
                  <c:v>1.6634578753086427E-2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D-4C8F-934A-E6C0C69D2137}"/>
            </c:ext>
          </c:extLst>
        </c:ser>
        <c:ser>
          <c:idx val="6"/>
          <c:order val="6"/>
          <c:tx>
            <c:strRef>
              <c:f>Resultados!$AR$1</c:f>
              <c:strCache>
                <c:ptCount val="1"/>
                <c:pt idx="0">
                  <c:v>Line Mult. Parallel (1 threads)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Resultados!$AW$3:$AW$9</c:f>
              <c:numCache>
                <c:formatCode>General</c:formatCode>
                <c:ptCount val="7"/>
                <c:pt idx="0">
                  <c:v>2.1513441358024699E-3</c:v>
                </c:pt>
                <c:pt idx="1">
                  <c:v>1.2814418166666649E-2</c:v>
                </c:pt>
                <c:pt idx="2">
                  <c:v>3.7398680515063232E-2</c:v>
                </c:pt>
                <c:pt idx="3">
                  <c:v>3.6778785322359397E-2</c:v>
                </c:pt>
                <c:pt idx="4">
                  <c:v>3.5857189425244178E-2</c:v>
                </c:pt>
                <c:pt idx="5">
                  <c:v>3.4057124450007685E-2</c:v>
                </c:pt>
                <c:pt idx="6">
                  <c:v>3.4387438660493888E-2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D-4C8F-934A-E6C0C69D2137}"/>
            </c:ext>
          </c:extLst>
        </c:ser>
        <c:ser>
          <c:idx val="7"/>
          <c:order val="7"/>
          <c:tx>
            <c:strRef>
              <c:f>Resultados!$AY$1</c:f>
              <c:strCache>
                <c:ptCount val="1"/>
                <c:pt idx="0">
                  <c:v>Line Mult. Parallel (2 threads)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Resultados!$BD$3:$BD$9</c:f>
              <c:numCache>
                <c:formatCode>General</c:formatCode>
                <c:ptCount val="7"/>
                <c:pt idx="0">
                  <c:v>9.8669367283950684E-4</c:v>
                </c:pt>
                <c:pt idx="1">
                  <c:v>3.8442776666666651E-3</c:v>
                </c:pt>
                <c:pt idx="2">
                  <c:v>1.969344867589887E-2</c:v>
                </c:pt>
                <c:pt idx="3">
                  <c:v>1.9605234396433472E-2</c:v>
                </c:pt>
                <c:pt idx="4">
                  <c:v>1.8482730778863025E-2</c:v>
                </c:pt>
                <c:pt idx="5">
                  <c:v>1.7443997221590037E-2</c:v>
                </c:pt>
                <c:pt idx="6">
                  <c:v>1.7440302987654314E-2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D-4C8F-934A-E6C0C69D2137}"/>
            </c:ext>
          </c:extLst>
        </c:ser>
        <c:ser>
          <c:idx val="8"/>
          <c:order val="8"/>
          <c:tx>
            <c:strRef>
              <c:f>Resultados!$BF$1</c:f>
              <c:strCache>
                <c:ptCount val="1"/>
                <c:pt idx="0">
                  <c:v>Line Mult. Parallel (3 threads)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Resultados!$BK$3:$BK$9</c:f>
              <c:numCache>
                <c:formatCode>General</c:formatCode>
                <c:ptCount val="7"/>
                <c:pt idx="0">
                  <c:v>7.3436033950617359E-4</c:v>
                </c:pt>
                <c:pt idx="1">
                  <c:v>4.1480926666666654E-3</c:v>
                </c:pt>
                <c:pt idx="2">
                  <c:v>1.3562778243440233E-2</c:v>
                </c:pt>
                <c:pt idx="3">
                  <c:v>1.3552564328989453E-2</c:v>
                </c:pt>
                <c:pt idx="4">
                  <c:v>1.2943688595667403E-2</c:v>
                </c:pt>
                <c:pt idx="5">
                  <c:v>1.2119486724321034E-2</c:v>
                </c:pt>
                <c:pt idx="6">
                  <c:v>1.2128845370370371E-2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0D-4C8F-934A-E6C0C69D2137}"/>
            </c:ext>
          </c:extLst>
        </c:ser>
        <c:ser>
          <c:idx val="9"/>
          <c:order val="9"/>
          <c:tx>
            <c:strRef>
              <c:f>Resultados!$BM$1</c:f>
              <c:strCache>
                <c:ptCount val="1"/>
                <c:pt idx="0">
                  <c:v>Line Mult. Parallel (4 threads)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Resultados!$BR$3:$BR$9</c:f>
              <c:numCache>
                <c:formatCode>General</c:formatCode>
                <c:ptCount val="7"/>
                <c:pt idx="0">
                  <c:v>5.36267746913581E-4</c:v>
                </c:pt>
                <c:pt idx="1">
                  <c:v>2.8161113333333349E-3</c:v>
                </c:pt>
                <c:pt idx="2">
                  <c:v>1.0092480928085514E-2</c:v>
                </c:pt>
                <c:pt idx="3">
                  <c:v>1.0105856624371313E-2</c:v>
                </c:pt>
                <c:pt idx="4">
                  <c:v>9.7478339281242016E-3</c:v>
                </c:pt>
                <c:pt idx="5">
                  <c:v>9.2093140835988567E-3</c:v>
                </c:pt>
                <c:pt idx="6">
                  <c:v>9.2139643765432044E-3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0D-4C8F-934A-E6C0C69D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8168"/>
        <c:axId val="490787184"/>
      </c:scatterChart>
      <c:valAx>
        <c:axId val="490788168"/>
        <c:scaling>
          <c:orientation val="minMax"/>
          <c:max val="3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Dimensões das Matrizes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787184"/>
        <c:crosses val="autoZero"/>
        <c:crossBetween val="midCat"/>
        <c:majorUnit val="400"/>
      </c:valAx>
      <c:valAx>
        <c:axId val="490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Rácio</a:t>
                </a:r>
                <a:r>
                  <a:rPr lang="pt-PT" baseline="0"/>
                  <a:t> de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78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IPC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Resultados!$A$18</c:f>
              <c:strCache>
                <c:ptCount val="1"/>
                <c:pt idx="0">
                  <c:v>Java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Resultados!$D$20:$D$26</c:f>
              <c:numCache>
                <c:formatCode>General</c:formatCode>
                <c:ptCount val="7"/>
                <c:pt idx="0">
                  <c:v>3.0566666666666666</c:v>
                </c:pt>
                <c:pt idx="1">
                  <c:v>2.5766666666666667</c:v>
                </c:pt>
                <c:pt idx="2">
                  <c:v>1.78</c:v>
                </c:pt>
                <c:pt idx="3">
                  <c:v>1.7366666666666666</c:v>
                </c:pt>
                <c:pt idx="4">
                  <c:v>1.6966666666666665</c:v>
                </c:pt>
                <c:pt idx="5">
                  <c:v>1.8033333333333335</c:v>
                </c:pt>
                <c:pt idx="6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9-44AB-9B88-1C33D1703DD0}"/>
            </c:ext>
          </c:extLst>
        </c:ser>
        <c:ser>
          <c:idx val="1"/>
          <c:order val="1"/>
          <c:tx>
            <c:strRef>
              <c:f>Resultados!$A$29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Resultados!$A$31:$A$37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Resultados!$D$31:$D$37</c:f>
              <c:numCache>
                <c:formatCode>General</c:formatCode>
                <c:ptCount val="7"/>
                <c:pt idx="0">
                  <c:v>2.8433333333333337</c:v>
                </c:pt>
                <c:pt idx="1">
                  <c:v>2.4133333333333336</c:v>
                </c:pt>
                <c:pt idx="2">
                  <c:v>2.08</c:v>
                </c:pt>
                <c:pt idx="3">
                  <c:v>2.8333333333333335</c:v>
                </c:pt>
                <c:pt idx="4">
                  <c:v>2.8466666666666662</c:v>
                </c:pt>
                <c:pt idx="5">
                  <c:v>2.8666666666666671</c:v>
                </c:pt>
                <c:pt idx="6">
                  <c:v>2.8733333333333335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9-44AB-9B88-1C33D1703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40600"/>
        <c:axId val="484040272"/>
      </c:scatterChart>
      <c:valAx>
        <c:axId val="4840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 das Matrizes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040272"/>
        <c:crosses val="autoZero"/>
        <c:crossBetween val="midCat"/>
      </c:valAx>
      <c:valAx>
        <c:axId val="484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0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Percentagem</a:t>
            </a:r>
            <a:r>
              <a:rPr lang="pt-PT" baseline="0"/>
              <a:t> de Cache Misses em Java (Tiptop)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Resultados!$A$18</c:f>
              <c:strCache>
                <c:ptCount val="1"/>
                <c:pt idx="0">
                  <c:v>Java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Resultados!$E$20:$E$26</c:f>
              <c:numCache>
                <c:formatCode>0.00%</c:formatCode>
                <c:ptCount val="7"/>
                <c:pt idx="0">
                  <c:v>1E-4</c:v>
                </c:pt>
                <c:pt idx="1">
                  <c:v>2.6666666666666668E-4</c:v>
                </c:pt>
                <c:pt idx="2">
                  <c:v>9.4666666666666666E-3</c:v>
                </c:pt>
                <c:pt idx="3">
                  <c:v>0.01</c:v>
                </c:pt>
                <c:pt idx="4">
                  <c:v>1.0233333333333332E-2</c:v>
                </c:pt>
                <c:pt idx="5">
                  <c:v>9.633333333333334E-3</c:v>
                </c:pt>
                <c:pt idx="6">
                  <c:v>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D-4E4F-AE6A-289F9860D5F6}"/>
            </c:ext>
          </c:extLst>
        </c:ser>
        <c:ser>
          <c:idx val="1"/>
          <c:order val="1"/>
          <c:tx>
            <c:strRef>
              <c:f>Resultados!$A$29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Resultados!$A$31:$A$37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Resultados!$E$31:$E$37</c:f>
              <c:numCache>
                <c:formatCode>0.00%</c:formatCode>
                <c:ptCount val="7"/>
                <c:pt idx="0">
                  <c:v>1E-4</c:v>
                </c:pt>
                <c:pt idx="1">
                  <c:v>1E-4</c:v>
                </c:pt>
                <c:pt idx="2">
                  <c:v>4.6666666666666666E-4</c:v>
                </c:pt>
                <c:pt idx="3">
                  <c:v>1.1999999999999999E-3</c:v>
                </c:pt>
                <c:pt idx="4">
                  <c:v>1.2333333333333335E-3</c:v>
                </c:pt>
                <c:pt idx="5">
                  <c:v>1.2999999999999999E-3</c:v>
                </c:pt>
                <c:pt idx="6">
                  <c:v>1.4000000000000002E-3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D-4E4F-AE6A-289F9860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40600"/>
        <c:axId val="484040272"/>
      </c:scatterChart>
      <c:valAx>
        <c:axId val="4840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Dimensão das Matrizes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040272"/>
        <c:crosses val="autoZero"/>
        <c:crossBetween val="midCat"/>
      </c:valAx>
      <c:valAx>
        <c:axId val="484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</a:t>
                </a:r>
                <a:r>
                  <a:rPr lang="pt-PT" baseline="0"/>
                  <a:t> Misses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04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C++ Original Version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Resultados!$E$3:$E$9</c:f>
              <c:numCache>
                <c:formatCode>General</c:formatCode>
                <c:ptCount val="7"/>
                <c:pt idx="0">
                  <c:v>1157.1428571428571</c:v>
                </c:pt>
                <c:pt idx="1">
                  <c:v>955.10983763132765</c:v>
                </c:pt>
                <c:pt idx="2">
                  <c:v>606.14093218466974</c:v>
                </c:pt>
                <c:pt idx="3">
                  <c:v>604.665629860031</c:v>
                </c:pt>
                <c:pt idx="4">
                  <c:v>600.82381928639938</c:v>
                </c:pt>
                <c:pt idx="5">
                  <c:v>597.79601832116452</c:v>
                </c:pt>
                <c:pt idx="6">
                  <c:v>583.09457650056879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7-40A2-ADDC-AA2DD63D0539}"/>
            </c:ext>
          </c:extLst>
        </c:ser>
        <c:ser>
          <c:idx val="1"/>
          <c:order val="1"/>
          <c:tx>
            <c:strRef>
              <c:f>Resultados!$I$1</c:f>
              <c:strCache>
                <c:ptCount val="1"/>
                <c:pt idx="0">
                  <c:v>C++ Line Multiplication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Resultados!$L$3:$L$9</c:f>
              <c:numCache>
                <c:formatCode>General</c:formatCode>
                <c:ptCount val="7"/>
                <c:pt idx="0">
                  <c:v>2892.8571428571431</c:v>
                </c:pt>
                <c:pt idx="1">
                  <c:v>3015.075376884422</c:v>
                </c:pt>
                <c:pt idx="2">
                  <c:v>2124.3870967741937</c:v>
                </c:pt>
                <c:pt idx="3">
                  <c:v>2162.6699629171817</c:v>
                </c:pt>
                <c:pt idx="4">
                  <c:v>2052.6924559825211</c:v>
                </c:pt>
                <c:pt idx="5">
                  <c:v>2024.4960645037434</c:v>
                </c:pt>
                <c:pt idx="6">
                  <c:v>2034.6646571213262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7-40A2-ADDC-AA2DD63D0539}"/>
            </c:ext>
          </c:extLst>
        </c:ser>
        <c:ser>
          <c:idx val="2"/>
          <c:order val="2"/>
          <c:tx>
            <c:strRef>
              <c:f>Resultados!$A$18</c:f>
              <c:strCache>
                <c:ptCount val="1"/>
                <c:pt idx="0">
                  <c:v>Java Original Version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Resultados!$A$20:$A$26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Resultados!$C$20:$C$26</c:f>
              <c:numCache>
                <c:formatCode>General</c:formatCode>
                <c:ptCount val="7"/>
                <c:pt idx="0">
                  <c:v>955.22038287461794</c:v>
                </c:pt>
                <c:pt idx="1">
                  <c:v>818.85340482160848</c:v>
                </c:pt>
                <c:pt idx="2">
                  <c:v>566.45908957515542</c:v>
                </c:pt>
                <c:pt idx="3">
                  <c:v>553.82925926619157</c:v>
                </c:pt>
                <c:pt idx="4">
                  <c:v>541.2494940330464</c:v>
                </c:pt>
                <c:pt idx="5">
                  <c:v>550.53364840354686</c:v>
                </c:pt>
                <c:pt idx="6">
                  <c:v>459.33228188311091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7-40A2-ADDC-AA2DD63D0539}"/>
            </c:ext>
          </c:extLst>
        </c:ser>
        <c:ser>
          <c:idx val="3"/>
          <c:order val="3"/>
          <c:tx>
            <c:strRef>
              <c:f>Resultados!$A$29</c:f>
              <c:strCache>
                <c:ptCount val="1"/>
                <c:pt idx="0">
                  <c:v>Java Line Multiplication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Resultados!$A$31:$A$37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Resultados!$C$31:$C$37</c:f>
              <c:numCache>
                <c:formatCode>General</c:formatCode>
                <c:ptCount val="7"/>
                <c:pt idx="0">
                  <c:v>1208.6135357557582</c:v>
                </c:pt>
                <c:pt idx="1">
                  <c:v>895.96885201319355</c:v>
                </c:pt>
                <c:pt idx="2">
                  <c:v>785.27541051752587</c:v>
                </c:pt>
                <c:pt idx="3">
                  <c:v>1372.3912060468203</c:v>
                </c:pt>
                <c:pt idx="4">
                  <c:v>1364.969526137487</c:v>
                </c:pt>
                <c:pt idx="5">
                  <c:v>1373.2211542326143</c:v>
                </c:pt>
                <c:pt idx="6">
                  <c:v>1381.3461115217647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7-40A2-ADDC-AA2DD63D0539}"/>
            </c:ext>
          </c:extLst>
        </c:ser>
        <c:ser>
          <c:idx val="4"/>
          <c:order val="4"/>
          <c:tx>
            <c:strRef>
              <c:f>Resultados!$P$1</c:f>
              <c:strCache>
                <c:ptCount val="1"/>
                <c:pt idx="0">
                  <c:v>Original Parallel (1 thread)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Resultados!$S$3:$S$9</c:f>
              <c:numCache>
                <c:formatCode>General</c:formatCode>
                <c:ptCount val="7"/>
                <c:pt idx="0">
                  <c:v>1159.9806669888835</c:v>
                </c:pt>
                <c:pt idx="1">
                  <c:v>833.00244625051482</c:v>
                </c:pt>
                <c:pt idx="2">
                  <c:v>612.35602343496669</c:v>
                </c:pt>
                <c:pt idx="3">
                  <c:v>614.21563757345484</c:v>
                </c:pt>
                <c:pt idx="4">
                  <c:v>606.25269259018273</c:v>
                </c:pt>
                <c:pt idx="5">
                  <c:v>594.79990028009627</c:v>
                </c:pt>
                <c:pt idx="6">
                  <c:v>582.65794166371109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7-40A2-ADDC-AA2DD63D0539}"/>
            </c:ext>
          </c:extLst>
        </c:ser>
        <c:ser>
          <c:idx val="5"/>
          <c:order val="5"/>
          <c:tx>
            <c:strRef>
              <c:f>Resultados!$W$1</c:f>
              <c:strCache>
                <c:ptCount val="1"/>
                <c:pt idx="0">
                  <c:v>Original Parallel (2 threads)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Resultados!$Z$3:$Z$9</c:f>
              <c:numCache>
                <c:formatCode>General</c:formatCode>
                <c:ptCount val="7"/>
                <c:pt idx="0">
                  <c:v>2296.4472401878274</c:v>
                </c:pt>
                <c:pt idx="1">
                  <c:v>1866.3924314054123</c:v>
                </c:pt>
                <c:pt idx="2">
                  <c:v>1345.627935183624</c:v>
                </c:pt>
                <c:pt idx="3">
                  <c:v>1354.5213420723805</c:v>
                </c:pt>
                <c:pt idx="4">
                  <c:v>1339.4671064466256</c:v>
                </c:pt>
                <c:pt idx="5">
                  <c:v>1334.8556615165699</c:v>
                </c:pt>
                <c:pt idx="6">
                  <c:v>1327.6512047205354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7-40A2-ADDC-AA2DD63D0539}"/>
            </c:ext>
          </c:extLst>
        </c:ser>
        <c:ser>
          <c:idx val="6"/>
          <c:order val="6"/>
          <c:tx>
            <c:strRef>
              <c:f>Resultados!$AD$1</c:f>
              <c:strCache>
                <c:ptCount val="1"/>
                <c:pt idx="0">
                  <c:v>Original Parallel (3 threads)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Resultados!$AG$3:$AG$9</c:f>
              <c:numCache>
                <c:formatCode>General</c:formatCode>
                <c:ptCount val="7"/>
                <c:pt idx="0">
                  <c:v>2433.6136120121364</c:v>
                </c:pt>
                <c:pt idx="1">
                  <c:v>2430.9075307084395</c:v>
                </c:pt>
                <c:pt idx="2">
                  <c:v>2110.9911554804535</c:v>
                </c:pt>
                <c:pt idx="3">
                  <c:v>2096.3561792542696</c:v>
                </c:pt>
                <c:pt idx="4">
                  <c:v>2064.5434821527238</c:v>
                </c:pt>
                <c:pt idx="5">
                  <c:v>2067.1883251375789</c:v>
                </c:pt>
                <c:pt idx="6">
                  <c:v>2052.4931456864751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7-40A2-ADDC-AA2DD63D0539}"/>
            </c:ext>
          </c:extLst>
        </c:ser>
        <c:ser>
          <c:idx val="7"/>
          <c:order val="7"/>
          <c:tx>
            <c:strRef>
              <c:f>Resultados!$AK$1</c:f>
              <c:strCache>
                <c:ptCount val="1"/>
                <c:pt idx="0">
                  <c:v>Original Parallel (4 threads)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Resultados!$AN$3:$AN$9</c:f>
              <c:numCache>
                <c:formatCode>General</c:formatCode>
                <c:ptCount val="7"/>
                <c:pt idx="0">
                  <c:v>3339.3592965083062</c:v>
                </c:pt>
                <c:pt idx="1">
                  <c:v>3527.0133955968768</c:v>
                </c:pt>
                <c:pt idx="2">
                  <c:v>2818.2389909115891</c:v>
                </c:pt>
                <c:pt idx="3">
                  <c:v>2797.0775846908969</c:v>
                </c:pt>
                <c:pt idx="4">
                  <c:v>2751.753010698967</c:v>
                </c:pt>
                <c:pt idx="5">
                  <c:v>2765.2162147563172</c:v>
                </c:pt>
                <c:pt idx="6">
                  <c:v>2718.6307767128133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37-40A2-ADDC-AA2DD63D0539}"/>
            </c:ext>
          </c:extLst>
        </c:ser>
        <c:ser>
          <c:idx val="8"/>
          <c:order val="8"/>
          <c:tx>
            <c:strRef>
              <c:f>Resultados!$AR$1</c:f>
              <c:strCache>
                <c:ptCount val="1"/>
                <c:pt idx="0">
                  <c:v>Line Mult. Parallel (1 threads)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Resultados!$AU$3:$AU$9</c:f>
              <c:numCache>
                <c:formatCode>General</c:formatCode>
                <c:ptCount val="7"/>
                <c:pt idx="0">
                  <c:v>3019.3152304883743</c:v>
                </c:pt>
                <c:pt idx="1">
                  <c:v>1768.2788457854535</c:v>
                </c:pt>
                <c:pt idx="2">
                  <c:v>1634.1277009657504</c:v>
                </c:pt>
                <c:pt idx="3">
                  <c:v>2126.787973971891</c:v>
                </c:pt>
                <c:pt idx="4">
                  <c:v>2128.2124055116064</c:v>
                </c:pt>
                <c:pt idx="5">
                  <c:v>2039.2906109015114</c:v>
                </c:pt>
                <c:pt idx="6">
                  <c:v>2044.3291319425114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37-40A2-ADDC-AA2DD63D0539}"/>
            </c:ext>
          </c:extLst>
        </c:ser>
        <c:ser>
          <c:idx val="9"/>
          <c:order val="9"/>
          <c:tx>
            <c:strRef>
              <c:f>Resultados!$AY$1</c:f>
              <c:strCache>
                <c:ptCount val="1"/>
                <c:pt idx="0">
                  <c:v>Line Mult. Parallel (2 threads)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Resultados!$BB$3:$BB$9</c:f>
              <c:numCache>
                <c:formatCode>General</c:formatCode>
                <c:ptCount val="7"/>
                <c:pt idx="0">
                  <c:v>6389.7070496809511</c:v>
                </c:pt>
                <c:pt idx="1">
                  <c:v>5517.4037305005659</c:v>
                </c:pt>
                <c:pt idx="2">
                  <c:v>4127.3543518218603</c:v>
                </c:pt>
                <c:pt idx="3">
                  <c:v>4117.3549712543017</c:v>
                </c:pt>
                <c:pt idx="4">
                  <c:v>3989.235159318398</c:v>
                </c:pt>
                <c:pt idx="5">
                  <c:v>3815.9530691616142</c:v>
                </c:pt>
                <c:pt idx="6">
                  <c:v>3801.4480231766292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37-40A2-ADDC-AA2DD63D0539}"/>
            </c:ext>
          </c:extLst>
        </c:ser>
        <c:ser>
          <c:idx val="10"/>
          <c:order val="10"/>
          <c:tx>
            <c:strRef>
              <c:f>Resultados!$BF$1</c:f>
              <c:strCache>
                <c:ptCount val="1"/>
                <c:pt idx="0">
                  <c:v>Line Mult. Parallel (3 threads)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Resultados!$BI$3:$BI$9</c:f>
              <c:numCache>
                <c:formatCode>General</c:formatCode>
                <c:ptCount val="7"/>
                <c:pt idx="0">
                  <c:v>9152.7104311237217</c:v>
                </c:pt>
                <c:pt idx="1">
                  <c:v>7592.6493031213568</c:v>
                </c:pt>
                <c:pt idx="2">
                  <c:v>5821.1934719473211</c:v>
                </c:pt>
                <c:pt idx="3">
                  <c:v>5864.9886059120563</c:v>
                </c:pt>
                <c:pt idx="4">
                  <c:v>5678.337738797165</c:v>
                </c:pt>
                <c:pt idx="5">
                  <c:v>5478.888386664381</c:v>
                </c:pt>
                <c:pt idx="6">
                  <c:v>5495.9519938770982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37-40A2-ADDC-AA2DD63D0539}"/>
            </c:ext>
          </c:extLst>
        </c:ser>
        <c:ser>
          <c:idx val="11"/>
          <c:order val="11"/>
          <c:tx>
            <c:strRef>
              <c:f>Resultados!$BM$1</c:f>
              <c:strCache>
                <c:ptCount val="1"/>
                <c:pt idx="0">
                  <c:v>Line Mult. Parallel (4 threads)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Resultados!$A$3:$A$9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Resultados!$BP$3:$BP$9</c:f>
              <c:numCache>
                <c:formatCode>General</c:formatCode>
                <c:ptCount val="7"/>
                <c:pt idx="0">
                  <c:v>6838.4583075659875</c:v>
                </c:pt>
                <c:pt idx="1">
                  <c:v>9121.8958948428117</c:v>
                </c:pt>
                <c:pt idx="2">
                  <c:v>7369.0146896903616</c:v>
                </c:pt>
                <c:pt idx="3">
                  <c:v>7418.9286144379103</c:v>
                </c:pt>
                <c:pt idx="4">
                  <c:v>7231.4194580963131</c:v>
                </c:pt>
                <c:pt idx="5">
                  <c:v>7008.6265335690368</c:v>
                </c:pt>
                <c:pt idx="6">
                  <c:v>7055.6323545167807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37-40A2-ADDC-AA2DD63D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06832"/>
        <c:axId val="635409456"/>
      </c:scatterChart>
      <c:valAx>
        <c:axId val="6354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Matrizes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5409456"/>
        <c:crosses val="autoZero"/>
        <c:crossBetween val="midCat"/>
      </c:valAx>
      <c:valAx>
        <c:axId val="635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54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Resultados!$H$18</c:f>
              <c:strCache>
                <c:ptCount val="1"/>
                <c:pt idx="0">
                  <c:v>Speedup OnMult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Resultados!$I$31:$I$34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Resultados!$J$31:$J$34</c:f>
              <c:numCache>
                <c:formatCode>General</c:formatCode>
                <c:ptCount val="4"/>
                <c:pt idx="0">
                  <c:v>1</c:v>
                </c:pt>
                <c:pt idx="1">
                  <c:v>2.2094204657860121</c:v>
                </c:pt>
                <c:pt idx="2">
                  <c:v>3.4130622065179241</c:v>
                </c:pt>
                <c:pt idx="3">
                  <c:v>4.5539016162811228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A-4982-8899-97E9A5D7A191}"/>
            </c:ext>
          </c:extLst>
        </c:ser>
        <c:ser>
          <c:idx val="1"/>
          <c:order val="1"/>
          <c:tx>
            <c:strRef>
              <c:f>Resultados!$M$18</c:f>
              <c:strCache>
                <c:ptCount val="1"/>
                <c:pt idx="0">
                  <c:v>Speedup OnLineMult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Resultados!$N$31:$N$34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Resultados!$O$31:$O$34</c:f>
              <c:numCache>
                <c:formatCode>General</c:formatCode>
                <c:ptCount val="4"/>
                <c:pt idx="0">
                  <c:v>1</c:v>
                </c:pt>
                <c:pt idx="1">
                  <c:v>1.935949902690544</c:v>
                </c:pt>
                <c:pt idx="2">
                  <c:v>2.7576743322273325</c:v>
                </c:pt>
                <c:pt idx="3">
                  <c:v>3.4513191854838725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A-4982-8899-97E9A5D7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10504"/>
        <c:axId val="582113128"/>
      </c:scatterChart>
      <c:valAx>
        <c:axId val="5821105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113128"/>
        <c:crosses val="autoZero"/>
        <c:crossBetween val="midCat"/>
        <c:majorUnit val="1"/>
      </c:valAx>
      <c:valAx>
        <c:axId val="5821131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11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166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83820</xdr:rowOff>
    </xdr:from>
    <xdr:to>
      <xdr:col>9</xdr:col>
      <xdr:colOff>213360</xdr:colOff>
      <xdr:row>83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1AA64-F725-497A-87F1-5FCDFFD4B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9</xdr:col>
      <xdr:colOff>213360</xdr:colOff>
      <xdr:row>62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3A0CA0-8CA7-4CFB-B836-11D8B74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21</xdr:row>
      <xdr:rowOff>83820</xdr:rowOff>
    </xdr:from>
    <xdr:to>
      <xdr:col>9</xdr:col>
      <xdr:colOff>213360</xdr:colOff>
      <xdr:row>41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6AB012-1F02-4670-89B7-25A0E1E6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11720</xdr:rowOff>
    </xdr:from>
    <xdr:to>
      <xdr:col>9</xdr:col>
      <xdr:colOff>205155</xdr:colOff>
      <xdr:row>104</xdr:row>
      <xdr:rowOff>5860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773D5-364B-42D9-9690-E6A25BFC9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104</xdr:row>
      <xdr:rowOff>169961</xdr:rowOff>
    </xdr:from>
    <xdr:to>
      <xdr:col>9</xdr:col>
      <xdr:colOff>199292</xdr:colOff>
      <xdr:row>124</xdr:row>
      <xdr:rowOff>164101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036616-73E7-405E-83F8-EB01744B1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173420</xdr:rowOff>
    </xdr:from>
    <xdr:to>
      <xdr:col>9</xdr:col>
      <xdr:colOff>194441</xdr:colOff>
      <xdr:row>145</xdr:row>
      <xdr:rowOff>168165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AB46366-8525-4F33-B431-8B5EE3AB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146</xdr:row>
      <xdr:rowOff>172128</xdr:rowOff>
    </xdr:from>
    <xdr:to>
      <xdr:col>9</xdr:col>
      <xdr:colOff>194441</xdr:colOff>
      <xdr:row>166</xdr:row>
      <xdr:rowOff>168166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FC46CF-18F2-417D-AAA0-ABBF16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205740</xdr:colOff>
      <xdr:row>20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68DAA66-5795-4EE9-9068-30A4070F4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9</xdr:col>
      <xdr:colOff>199695</xdr:colOff>
      <xdr:row>188</xdr:row>
      <xdr:rowOff>15764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5E43A83-D78E-4B66-8662-711717327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abSelected="1" zoomScale="70" zoomScaleNormal="70" workbookViewId="0">
      <selection activeCell="M37" sqref="M37"/>
    </sheetView>
  </sheetViews>
  <sheetFormatPr defaultRowHeight="13.8"/>
  <cols>
    <col min="1" max="1" width="11.69921875" customWidth="1"/>
    <col min="2" max="4" width="11.8984375" bestFit="1" customWidth="1"/>
    <col min="5" max="7" width="11.8984375" customWidth="1"/>
    <col min="8" max="8" width="15.5" bestFit="1" customWidth="1"/>
    <col min="9" max="9" width="19" customWidth="1"/>
    <col min="10" max="10" width="12.19921875" bestFit="1" customWidth="1"/>
    <col min="11" max="11" width="10.69921875" customWidth="1"/>
    <col min="12" max="12" width="12.8984375" customWidth="1"/>
    <col min="13" max="13" width="15.5" bestFit="1" customWidth="1"/>
    <col min="14" max="15" width="12.8984375" customWidth="1"/>
    <col min="16" max="19" width="10.69921875" customWidth="1"/>
    <col min="20" max="21" width="12.8984375" customWidth="1"/>
    <col min="22" max="26" width="10.69921875" customWidth="1"/>
    <col min="27" max="28" width="12.8984375" customWidth="1"/>
    <col min="29" max="33" width="10.69921875" customWidth="1"/>
    <col min="34" max="35" width="12.8984375" customWidth="1"/>
    <col min="36" max="40" width="10.69921875" customWidth="1"/>
    <col min="41" max="42" width="12.8984375" customWidth="1"/>
    <col min="43" max="44" width="10.69921875" customWidth="1"/>
    <col min="45" max="45" width="13.3984375" customWidth="1"/>
    <col min="46" max="47" width="10.69921875" customWidth="1"/>
    <col min="48" max="49" width="12.8984375" customWidth="1"/>
    <col min="50" max="54" width="10.69921875" customWidth="1"/>
    <col min="55" max="56" width="12.8984375" customWidth="1"/>
    <col min="57" max="61" width="10.69921875" customWidth="1"/>
    <col min="62" max="63" width="12.8984375" customWidth="1"/>
    <col min="64" max="68" width="10.69921875" customWidth="1"/>
    <col min="69" max="70" width="12.8984375" customWidth="1"/>
  </cols>
  <sheetData>
    <row r="1" spans="1:70">
      <c r="B1" s="5" t="s">
        <v>0</v>
      </c>
      <c r="C1" s="5"/>
      <c r="D1" s="5"/>
      <c r="E1" s="5"/>
      <c r="F1" s="5"/>
      <c r="G1" s="5"/>
      <c r="H1" s="3"/>
      <c r="I1" s="5" t="s">
        <v>1</v>
      </c>
      <c r="J1" s="5"/>
      <c r="K1" s="5"/>
      <c r="L1" s="5"/>
      <c r="M1" s="5"/>
      <c r="N1" s="5"/>
      <c r="O1" s="1"/>
      <c r="P1" s="5" t="s">
        <v>2</v>
      </c>
      <c r="Q1" s="5"/>
      <c r="R1" s="5"/>
      <c r="S1" s="5"/>
      <c r="T1" s="5"/>
      <c r="U1" s="5"/>
      <c r="V1" s="1"/>
      <c r="W1" s="5" t="s">
        <v>3</v>
      </c>
      <c r="X1" s="5"/>
      <c r="Y1" s="5"/>
      <c r="Z1" s="5"/>
      <c r="AA1" s="5"/>
      <c r="AB1" s="5"/>
      <c r="AC1" s="1"/>
      <c r="AD1" s="5" t="s">
        <v>4</v>
      </c>
      <c r="AE1" s="5"/>
      <c r="AF1" s="5"/>
      <c r="AG1" s="5"/>
      <c r="AH1" s="5"/>
      <c r="AI1" s="5"/>
      <c r="AJ1" s="1"/>
      <c r="AK1" s="5" t="s">
        <v>5</v>
      </c>
      <c r="AL1" s="5"/>
      <c r="AM1" s="5"/>
      <c r="AN1" s="5"/>
      <c r="AO1" s="5"/>
      <c r="AP1" s="5"/>
      <c r="AQ1" s="1"/>
      <c r="AR1" s="5" t="s">
        <v>6</v>
      </c>
      <c r="AS1" s="5"/>
      <c r="AT1" s="5"/>
      <c r="AU1" s="5"/>
      <c r="AV1" s="5"/>
      <c r="AW1" s="5"/>
      <c r="AX1" s="1"/>
      <c r="AY1" s="5" t="s">
        <v>7</v>
      </c>
      <c r="AZ1" s="5"/>
      <c r="BA1" s="5"/>
      <c r="BB1" s="5"/>
      <c r="BC1" s="5"/>
      <c r="BD1" s="5"/>
      <c r="BE1" s="1"/>
      <c r="BF1" s="5" t="s">
        <v>8</v>
      </c>
      <c r="BG1" s="5"/>
      <c r="BH1" s="5"/>
      <c r="BI1" s="5"/>
      <c r="BJ1" s="5"/>
      <c r="BK1" s="5"/>
      <c r="BL1" s="1"/>
      <c r="BM1" s="5" t="s">
        <v>9</v>
      </c>
      <c r="BN1" s="5"/>
      <c r="BO1" s="5"/>
      <c r="BP1" s="5"/>
      <c r="BQ1" s="5"/>
      <c r="BR1" s="5"/>
    </row>
    <row r="2" spans="1:70">
      <c r="A2" s="2" t="s">
        <v>13</v>
      </c>
      <c r="B2" s="2" t="s">
        <v>10</v>
      </c>
      <c r="C2" s="2" t="s">
        <v>11</v>
      </c>
      <c r="D2" s="2" t="s">
        <v>12</v>
      </c>
      <c r="E2" s="2" t="s">
        <v>15</v>
      </c>
      <c r="F2" s="2" t="s">
        <v>16</v>
      </c>
      <c r="G2" s="2" t="s">
        <v>17</v>
      </c>
      <c r="H2" s="2"/>
      <c r="I2" s="2" t="s">
        <v>10</v>
      </c>
      <c r="J2" s="2" t="s">
        <v>11</v>
      </c>
      <c r="K2" s="2" t="s">
        <v>12</v>
      </c>
      <c r="L2" s="2" t="s">
        <v>15</v>
      </c>
      <c r="M2" s="2" t="s">
        <v>16</v>
      </c>
      <c r="N2" s="2" t="s">
        <v>17</v>
      </c>
      <c r="O2" s="2"/>
      <c r="P2" s="2" t="s">
        <v>10</v>
      </c>
      <c r="Q2" s="2" t="s">
        <v>11</v>
      </c>
      <c r="R2" s="2" t="s">
        <v>12</v>
      </c>
      <c r="S2" s="2" t="s">
        <v>15</v>
      </c>
      <c r="T2" s="2" t="s">
        <v>16</v>
      </c>
      <c r="U2" s="2" t="s">
        <v>17</v>
      </c>
      <c r="V2" s="2"/>
      <c r="W2" s="2" t="s">
        <v>10</v>
      </c>
      <c r="X2" s="2" t="s">
        <v>11</v>
      </c>
      <c r="Y2" s="2" t="s">
        <v>12</v>
      </c>
      <c r="Z2" s="2" t="s">
        <v>15</v>
      </c>
      <c r="AA2" s="2" t="s">
        <v>16</v>
      </c>
      <c r="AB2" s="2" t="s">
        <v>17</v>
      </c>
      <c r="AC2" s="2"/>
      <c r="AD2" s="2" t="s">
        <v>10</v>
      </c>
      <c r="AE2" s="2" t="s">
        <v>11</v>
      </c>
      <c r="AF2" s="2" t="s">
        <v>12</v>
      </c>
      <c r="AG2" s="2" t="s">
        <v>15</v>
      </c>
      <c r="AH2" s="2" t="s">
        <v>16</v>
      </c>
      <c r="AI2" s="2" t="s">
        <v>17</v>
      </c>
      <c r="AJ2" s="2"/>
      <c r="AK2" s="2" t="s">
        <v>10</v>
      </c>
      <c r="AL2" s="2" t="s">
        <v>11</v>
      </c>
      <c r="AM2" s="2" t="s">
        <v>12</v>
      </c>
      <c r="AN2" s="2" t="s">
        <v>15</v>
      </c>
      <c r="AO2" s="2" t="s">
        <v>16</v>
      </c>
      <c r="AP2" s="2" t="s">
        <v>17</v>
      </c>
      <c r="AQ2" s="2"/>
      <c r="AR2" s="2" t="s">
        <v>10</v>
      </c>
      <c r="AS2" s="2" t="s">
        <v>11</v>
      </c>
      <c r="AT2" s="2" t="s">
        <v>12</v>
      </c>
      <c r="AU2" s="2" t="s">
        <v>15</v>
      </c>
      <c r="AV2" s="2" t="s">
        <v>16</v>
      </c>
      <c r="AW2" s="2" t="s">
        <v>17</v>
      </c>
      <c r="AX2" s="2"/>
      <c r="AY2" s="2" t="s">
        <v>10</v>
      </c>
      <c r="AZ2" s="2" t="s">
        <v>11</v>
      </c>
      <c r="BA2" s="2" t="s">
        <v>12</v>
      </c>
      <c r="BB2" s="2" t="s">
        <v>15</v>
      </c>
      <c r="BC2" s="2" t="s">
        <v>16</v>
      </c>
      <c r="BD2" s="2" t="s">
        <v>17</v>
      </c>
      <c r="BE2" s="2"/>
      <c r="BF2" s="2" t="s">
        <v>10</v>
      </c>
      <c r="BG2" s="2" t="s">
        <v>11</v>
      </c>
      <c r="BH2" s="2" t="s">
        <v>12</v>
      </c>
      <c r="BI2" s="2" t="s">
        <v>15</v>
      </c>
      <c r="BJ2" s="2" t="s">
        <v>16</v>
      </c>
      <c r="BK2" s="2" t="s">
        <v>17</v>
      </c>
      <c r="BL2" s="2"/>
      <c r="BM2" s="2" t="s">
        <v>10</v>
      </c>
      <c r="BN2" s="2" t="s">
        <v>11</v>
      </c>
      <c r="BO2" s="2" t="s">
        <v>12</v>
      </c>
      <c r="BP2" s="2" t="s">
        <v>15</v>
      </c>
      <c r="BQ2" s="2" t="s">
        <v>16</v>
      </c>
      <c r="BR2" s="2" t="s">
        <v>17</v>
      </c>
    </row>
    <row r="3" spans="1:70">
      <c r="A3">
        <v>600</v>
      </c>
      <c r="B3">
        <f>AVERAGE(0.185, 0.19, 0.185)</f>
        <v>0.18666666666666668</v>
      </c>
      <c r="C3">
        <f>AVERAGE(244555021, 244453529, 244405947)</f>
        <v>244471499</v>
      </c>
      <c r="D3">
        <f>AVERAGE(27343804, 27430926, 27415442)</f>
        <v>27396724</v>
      </c>
      <c r="E3">
        <f t="shared" ref="E3:E9" si="0">$A3^3/B3/1000000</f>
        <v>1157.1428571428571</v>
      </c>
      <c r="F3" s="4">
        <f>C3/(2*$A3^3)</f>
        <v>0.56590624768518516</v>
      </c>
      <c r="G3" s="4">
        <f>D3/(2*$A3^3)</f>
        <v>6.3418342592592589E-2</v>
      </c>
      <c r="H3" s="4"/>
      <c r="I3">
        <f>AVERAGE(0.072, 0.075, 0.077)</f>
        <v>7.4666666666666659E-2</v>
      </c>
      <c r="J3">
        <f>AVERAGE(27265094, 27206543, 27223725)</f>
        <v>27231787.333333332</v>
      </c>
      <c r="K3">
        <f>AVERAGE(698453, 1611854, 1610747)</f>
        <v>1307018</v>
      </c>
      <c r="L3">
        <f>$A3^3/I3/1000000</f>
        <v>2892.8571428571431</v>
      </c>
      <c r="M3">
        <f t="shared" ref="M3:N9" si="1">J3/(2*$A3^3)</f>
        <v>6.3036544753086413E-2</v>
      </c>
      <c r="N3">
        <f t="shared" si="1"/>
        <v>3.0255046296296297E-3</v>
      </c>
      <c r="P3">
        <v>0.18620999999999999</v>
      </c>
      <c r="Q3">
        <v>258099643.66666701</v>
      </c>
      <c r="R3">
        <v>34657130</v>
      </c>
      <c r="S3">
        <f>$A3^3/P3/1000000</f>
        <v>1159.9806669888835</v>
      </c>
      <c r="T3">
        <f t="shared" ref="T3:T9" si="2">Q3/(2*$A3^3)</f>
        <v>0.59745287885802545</v>
      </c>
      <c r="U3">
        <f t="shared" ref="U3:U9" si="3">R3/(2*$A3^3)</f>
        <v>8.0224837962962967E-2</v>
      </c>
      <c r="W3">
        <v>9.4058333333333299E-2</v>
      </c>
      <c r="X3">
        <v>127909773.666667</v>
      </c>
      <c r="Y3">
        <v>17468049.333333299</v>
      </c>
      <c r="Z3">
        <f>$A3^3/W3/1000000</f>
        <v>2296.4472401878274</v>
      </c>
      <c r="AA3">
        <f t="shared" ref="AA3:AA9" si="4">X3/(2*$A3^3)</f>
        <v>0.29608743904321067</v>
      </c>
      <c r="AB3">
        <f t="shared" ref="AB3:AB9" si="5">Y3/(2*$A3^3)</f>
        <v>4.0435299382715971E-2</v>
      </c>
      <c r="AD3">
        <v>8.87569E-2</v>
      </c>
      <c r="AE3">
        <v>80806401</v>
      </c>
      <c r="AF3">
        <v>9904462.3333333395</v>
      </c>
      <c r="AG3">
        <f>$A3^3/AD3/1000000</f>
        <v>2433.6136120121364</v>
      </c>
      <c r="AH3">
        <f t="shared" ref="AH3:AH9" si="6">AE3/(2*$A3^3)</f>
        <v>0.18705185416666667</v>
      </c>
      <c r="AI3">
        <f t="shared" ref="AI3:AI9" si="7">AF3/(2*$A3^3)</f>
        <v>2.2926996141975322E-2</v>
      </c>
      <c r="AK3">
        <v>6.4683066666666705E-2</v>
      </c>
      <c r="AL3">
        <v>62363648.333333299</v>
      </c>
      <c r="AM3">
        <v>7448439</v>
      </c>
      <c r="AN3">
        <f>$A3^3/AK3/1000000</f>
        <v>3339.3592965083062</v>
      </c>
      <c r="AO3">
        <f t="shared" ref="AO3:AO9" si="8">AL3/(2*$A3^3)</f>
        <v>0.14436029706790116</v>
      </c>
      <c r="AP3">
        <f t="shared" ref="AP3:AP9" si="9">AM3/(2*$A3^3)</f>
        <v>1.7241756944444443E-2</v>
      </c>
      <c r="AR3">
        <v>7.1539400000000003E-2</v>
      </c>
      <c r="AS3">
        <v>27227833.666666701</v>
      </c>
      <c r="AT3">
        <v>929380.66666666698</v>
      </c>
      <c r="AU3">
        <f>$A3^3/AR3/1000000</f>
        <v>3019.3152304883743</v>
      </c>
      <c r="AV3">
        <f t="shared" ref="AV3:AV9" si="10">AS3/(2*$A3^3)</f>
        <v>6.3027392746913657E-2</v>
      </c>
      <c r="AW3">
        <f t="shared" ref="AW3:AW9" si="11">AT3/(2*$A3^3)</f>
        <v>2.1513441358024699E-3</v>
      </c>
      <c r="AY3">
        <v>3.3804366666666703E-2</v>
      </c>
      <c r="AZ3">
        <v>13661172.3333333</v>
      </c>
      <c r="BA3">
        <v>426251.66666666698</v>
      </c>
      <c r="BB3">
        <f>$A3^3/AY3/1000000</f>
        <v>6389.7070496809511</v>
      </c>
      <c r="BC3">
        <f t="shared" ref="BC3:BC9" si="12">AZ3/(2*$A3^3)</f>
        <v>3.1623084104938193E-2</v>
      </c>
      <c r="BD3">
        <f t="shared" ref="BD3:BD9" si="13">BA3/(2*$A3^3)</f>
        <v>9.8669367283950684E-4</v>
      </c>
      <c r="BF3">
        <v>2.35995666666667E-2</v>
      </c>
      <c r="BG3">
        <v>9140246.3333333302</v>
      </c>
      <c r="BH3">
        <v>317243.66666666698</v>
      </c>
      <c r="BI3">
        <f>$A3^3/BF3/1000000</f>
        <v>9152.7104311237217</v>
      </c>
      <c r="BJ3">
        <f t="shared" ref="BJ3:BJ9" si="14">BG3/(2*$A3^3)</f>
        <v>2.1157977623456784E-2</v>
      </c>
      <c r="BK3">
        <f t="shared" ref="BK3:BK9" si="15">BH3/(2*$A3^3)</f>
        <v>7.3436033950617359E-4</v>
      </c>
      <c r="BM3">
        <v>3.1586066666666697E-2</v>
      </c>
      <c r="BN3">
        <v>6880825</v>
      </c>
      <c r="BO3">
        <v>231667.66666666701</v>
      </c>
      <c r="BP3">
        <f>$A3^3/BM3/1000000</f>
        <v>6838.4583075659875</v>
      </c>
      <c r="BQ3">
        <f t="shared" ref="BQ3:BQ9" si="16">BN3/(2*$A3^3)</f>
        <v>1.5927835648148148E-2</v>
      </c>
      <c r="BR3">
        <f t="shared" ref="BR3:BR9" si="17">BO3/(2*$A3^3)</f>
        <v>5.36267746913581E-4</v>
      </c>
    </row>
    <row r="4" spans="1:70">
      <c r="A4">
        <v>1000</v>
      </c>
      <c r="B4">
        <f>AVERAGE(1.085, 1.032, 1.024)</f>
        <v>1.0469999999999999</v>
      </c>
      <c r="C4">
        <f>AVERAGE(1128877563, 1128563761, 1128507748)</f>
        <v>1128649690.6666667</v>
      </c>
      <c r="D4">
        <f>AVERAGE(126737486, 125558474, 125472157)</f>
        <v>125922705.66666667</v>
      </c>
      <c r="E4">
        <f t="shared" si="0"/>
        <v>955.10983763132765</v>
      </c>
      <c r="F4" s="4">
        <f t="shared" ref="F4:G9" si="18">C4/(2*$A4^3)</f>
        <v>0.56432484533333338</v>
      </c>
      <c r="G4" s="4">
        <f t="shared" si="18"/>
        <v>6.2961352833333331E-2</v>
      </c>
      <c r="H4" s="4"/>
      <c r="I4">
        <f>AVERAGE(0.332, 0.331, 0.332)</f>
        <v>0.33166666666666672</v>
      </c>
      <c r="J4">
        <f>AVERAGE(125741864, 125743494, 125751265)</f>
        <v>125745541</v>
      </c>
      <c r="K4">
        <f>AVERAGE(3787993, 3289430, 3860467)</f>
        <v>3645963.3333333335</v>
      </c>
      <c r="L4">
        <f t="shared" ref="L4:L13" si="19">$A4^3/I4/1000000</f>
        <v>3015.075376884422</v>
      </c>
      <c r="M4">
        <f t="shared" si="1"/>
        <v>6.2872770499999994E-2</v>
      </c>
      <c r="N4">
        <f t="shared" si="1"/>
        <v>1.8229816666666667E-3</v>
      </c>
      <c r="P4">
        <v>1.20047666666667</v>
      </c>
      <c r="Q4">
        <v>1130919505.3333299</v>
      </c>
      <c r="R4">
        <v>127942579</v>
      </c>
      <c r="S4">
        <f t="shared" ref="S4:S9" si="20">$A4^3/P4/1000000</f>
        <v>833.00244625051482</v>
      </c>
      <c r="T4">
        <f t="shared" si="2"/>
        <v>0.56545975266666493</v>
      </c>
      <c r="U4">
        <f t="shared" si="3"/>
        <v>6.39712895E-2</v>
      </c>
      <c r="W4">
        <v>0.53579299999999996</v>
      </c>
      <c r="X4">
        <v>565888620.66666698</v>
      </c>
      <c r="Y4">
        <v>62890346.333333299</v>
      </c>
      <c r="Z4">
        <f t="shared" ref="Z4:Z9" si="21">$A4^3/W4/1000000</f>
        <v>1866.3924314054123</v>
      </c>
      <c r="AA4">
        <f t="shared" si="4"/>
        <v>0.2829443103333335</v>
      </c>
      <c r="AB4">
        <f t="shared" si="5"/>
        <v>3.1445173166666653E-2</v>
      </c>
      <c r="AD4">
        <v>0.41136899999999998</v>
      </c>
      <c r="AE4">
        <v>377850602.33333302</v>
      </c>
      <c r="AF4">
        <v>42086529</v>
      </c>
      <c r="AG4">
        <f t="shared" ref="AG4:AG9" si="22">$A4^3/AD4/1000000</f>
        <v>2430.9075307084395</v>
      </c>
      <c r="AH4">
        <f t="shared" si="6"/>
        <v>0.1889253011666665</v>
      </c>
      <c r="AI4">
        <f t="shared" si="7"/>
        <v>2.1043264499999999E-2</v>
      </c>
      <c r="AK4">
        <v>0.283526</v>
      </c>
      <c r="AL4">
        <v>283067900</v>
      </c>
      <c r="AM4">
        <v>31535027</v>
      </c>
      <c r="AN4">
        <f t="shared" ref="AN4:AN9" si="23">$A4^3/AK4/1000000</f>
        <v>3527.0133955968768</v>
      </c>
      <c r="AO4">
        <f t="shared" si="8"/>
        <v>0.14153394999999999</v>
      </c>
      <c r="AP4">
        <f t="shared" si="9"/>
        <v>1.57675135E-2</v>
      </c>
      <c r="AR4">
        <v>0.56552166666666703</v>
      </c>
      <c r="AS4">
        <v>125906441.666667</v>
      </c>
      <c r="AT4">
        <v>25628836.333333299</v>
      </c>
      <c r="AU4">
        <f t="shared" ref="AU4:AU9" si="24">$A4^3/AR4/1000000</f>
        <v>1768.2788457854535</v>
      </c>
      <c r="AV4">
        <f t="shared" si="10"/>
        <v>6.2953220833333504E-2</v>
      </c>
      <c r="AW4">
        <f t="shared" si="11"/>
        <v>1.2814418166666649E-2</v>
      </c>
      <c r="AY4">
        <v>0.181244666666667</v>
      </c>
      <c r="AZ4">
        <v>63067152.333333299</v>
      </c>
      <c r="BA4">
        <v>7688555.3333333302</v>
      </c>
      <c r="BB4">
        <f t="shared" ref="BB4:BB9" si="25">$A4^3/AY4/1000000</f>
        <v>5517.4037305005659</v>
      </c>
      <c r="BC4">
        <f t="shared" si="12"/>
        <v>3.1533576166666646E-2</v>
      </c>
      <c r="BD4">
        <f t="shared" si="13"/>
        <v>3.8442776666666651E-3</v>
      </c>
      <c r="BF4">
        <v>0.13170633333333301</v>
      </c>
      <c r="BG4">
        <v>42263305.666666701</v>
      </c>
      <c r="BH4">
        <v>8296185.3333333302</v>
      </c>
      <c r="BI4">
        <f t="shared" ref="BI4:BI9" si="26">$A4^3/BF4/1000000</f>
        <v>7592.6493031213568</v>
      </c>
      <c r="BJ4">
        <f t="shared" si="14"/>
        <v>2.1131652833333351E-2</v>
      </c>
      <c r="BK4">
        <f t="shared" si="15"/>
        <v>4.1480926666666654E-3</v>
      </c>
      <c r="BM4">
        <v>0.10962633333333301</v>
      </c>
      <c r="BN4">
        <v>31700883.333333299</v>
      </c>
      <c r="BO4">
        <v>5632222.6666666698</v>
      </c>
      <c r="BP4">
        <f t="shared" ref="BP4:BP9" si="27">$A4^3/BM4/1000000</f>
        <v>9121.8958948428117</v>
      </c>
      <c r="BQ4">
        <f t="shared" si="16"/>
        <v>1.5850441666666649E-2</v>
      </c>
      <c r="BR4">
        <f t="shared" si="17"/>
        <v>2.8161113333333349E-3</v>
      </c>
    </row>
    <row r="5" spans="1:70">
      <c r="A5">
        <v>1400</v>
      </c>
      <c r="B5">
        <f>AVERAGE(4.531, 4.468, 4.582)</f>
        <v>4.5270000000000001</v>
      </c>
      <c r="C5">
        <f>AVERAGE(3093807707, 3093841957, 3093759691)</f>
        <v>3093803118.3333335</v>
      </c>
      <c r="D5">
        <f>AVERAGE(344635963, 344713208, 345463062)</f>
        <v>344937411</v>
      </c>
      <c r="E5">
        <f t="shared" si="0"/>
        <v>606.14093218466974</v>
      </c>
      <c r="F5" s="4">
        <f t="shared" si="18"/>
        <v>0.56373963526482029</v>
      </c>
      <c r="G5" s="4">
        <f t="shared" si="18"/>
        <v>6.2853026785714292E-2</v>
      </c>
      <c r="H5" s="4"/>
      <c r="I5">
        <f>AVERAGE(1.309, 1.319, 1.247)</f>
        <v>1.2916666666666667</v>
      </c>
      <c r="J5">
        <f>AVERAGE(348060740, 345395601, 345463711)</f>
        <v>346306684</v>
      </c>
      <c r="K5">
        <f>AVERAGE(137449980, 137524240, 139083044)</f>
        <v>138019088</v>
      </c>
      <c r="L5">
        <f t="shared" si="19"/>
        <v>2124.3870967741937</v>
      </c>
      <c r="M5">
        <f t="shared" si="1"/>
        <v>6.3102529883381928E-2</v>
      </c>
      <c r="N5">
        <f t="shared" si="1"/>
        <v>2.5149250728862975E-2</v>
      </c>
      <c r="P5">
        <v>4.48105333333333</v>
      </c>
      <c r="Q5">
        <v>3098727202.6666698</v>
      </c>
      <c r="R5">
        <v>344647761</v>
      </c>
      <c r="S5">
        <f t="shared" si="20"/>
        <v>612.35602343496669</v>
      </c>
      <c r="T5">
        <f t="shared" si="2"/>
        <v>0.56463688095238151</v>
      </c>
      <c r="U5">
        <f t="shared" si="3"/>
        <v>6.2800247995626821E-2</v>
      </c>
      <c r="W5">
        <v>2.0391966666666699</v>
      </c>
      <c r="X5">
        <v>1550331071</v>
      </c>
      <c r="Y5">
        <v>172457180.33333299</v>
      </c>
      <c r="Z5">
        <f t="shared" si="21"/>
        <v>1345.627935183624</v>
      </c>
      <c r="AA5">
        <f t="shared" si="4"/>
        <v>0.28249472868075803</v>
      </c>
      <c r="AB5">
        <f t="shared" si="5"/>
        <v>3.1424413326044641E-2</v>
      </c>
      <c r="AD5">
        <v>1.29986333333333</v>
      </c>
      <c r="AE5">
        <v>1034500156.33333</v>
      </c>
      <c r="AF5">
        <v>115120728.333333</v>
      </c>
      <c r="AG5">
        <f t="shared" si="22"/>
        <v>2110.9911554804535</v>
      </c>
      <c r="AH5">
        <f t="shared" si="6"/>
        <v>0.18850221507531523</v>
      </c>
      <c r="AI5">
        <f t="shared" si="7"/>
        <v>2.0976809098639394E-2</v>
      </c>
      <c r="AK5">
        <v>0.97365766666666698</v>
      </c>
      <c r="AL5">
        <v>775423996.33333302</v>
      </c>
      <c r="AM5">
        <v>86391012.333333299</v>
      </c>
      <c r="AN5">
        <f t="shared" si="23"/>
        <v>2818.2389909115891</v>
      </c>
      <c r="AO5">
        <f t="shared" si="8"/>
        <v>0.14129445997327497</v>
      </c>
      <c r="AP5">
        <f t="shared" si="9"/>
        <v>1.5741802538872685E-2</v>
      </c>
      <c r="AR5">
        <v>1.6791833333333299</v>
      </c>
      <c r="AS5">
        <v>345770639</v>
      </c>
      <c r="AT5">
        <v>205243958.66666701</v>
      </c>
      <c r="AU5">
        <f t="shared" si="24"/>
        <v>1634.1277009657504</v>
      </c>
      <c r="AV5">
        <f t="shared" si="10"/>
        <v>6.3004854045189504E-2</v>
      </c>
      <c r="AW5">
        <f t="shared" si="11"/>
        <v>3.7398680515063232E-2</v>
      </c>
      <c r="AY5">
        <v>0.66483266666666696</v>
      </c>
      <c r="AZ5">
        <v>173342139.66666701</v>
      </c>
      <c r="BA5">
        <v>108077646.333333</v>
      </c>
      <c r="BB5">
        <f t="shared" si="25"/>
        <v>4127.3543518218603</v>
      </c>
      <c r="BC5">
        <f t="shared" si="12"/>
        <v>3.1585666848882477E-2</v>
      </c>
      <c r="BD5">
        <f t="shared" si="13"/>
        <v>1.969344867589887E-2</v>
      </c>
      <c r="BF5">
        <v>0.47138099999999999</v>
      </c>
      <c r="BG5">
        <v>116175902.666667</v>
      </c>
      <c r="BH5">
        <v>74432527</v>
      </c>
      <c r="BI5">
        <f t="shared" si="26"/>
        <v>5821.1934719473211</v>
      </c>
      <c r="BJ5">
        <f t="shared" si="14"/>
        <v>2.1169078474246903E-2</v>
      </c>
      <c r="BK5">
        <f t="shared" si="15"/>
        <v>1.3562778243440233E-2</v>
      </c>
      <c r="BM5">
        <v>0.37236999999999998</v>
      </c>
      <c r="BN5">
        <v>86829991</v>
      </c>
      <c r="BO5">
        <v>55387535.333333299</v>
      </c>
      <c r="BP5">
        <f t="shared" si="27"/>
        <v>7369.0146896903616</v>
      </c>
      <c r="BQ5">
        <f t="shared" si="16"/>
        <v>1.582179136297376E-2</v>
      </c>
      <c r="BR5">
        <f t="shared" si="17"/>
        <v>1.0092480928085514E-2</v>
      </c>
    </row>
    <row r="6" spans="1:70">
      <c r="A6">
        <v>1800</v>
      </c>
      <c r="B6">
        <f>AVERAGE(9.707, 9.539, 9.689)</f>
        <v>9.6450000000000014</v>
      </c>
      <c r="C6">
        <f>AVERAGE(6579316952, 6578421670, 6578615833)</f>
        <v>6578784818.333333</v>
      </c>
      <c r="D6">
        <f>AVERAGE(737313680, 736677361, 738380297)</f>
        <v>737457112.66666663</v>
      </c>
      <c r="E6">
        <f t="shared" si="0"/>
        <v>604.665629860031</v>
      </c>
      <c r="F6" s="4">
        <f t="shared" si="18"/>
        <v>0.56402476151691816</v>
      </c>
      <c r="G6" s="4">
        <f t="shared" si="18"/>
        <v>6.322506109967993E-2</v>
      </c>
      <c r="H6" s="4"/>
      <c r="I6">
        <f>AVERAGE(2.711, 2.662, 2.717)</f>
        <v>2.6966666666666668</v>
      </c>
      <c r="J6">
        <f>AVERAGE(746924334, 746961369, 749044876)</f>
        <v>747643526.33333337</v>
      </c>
      <c r="K6">
        <f>AVERAGE(396426678, 398378952, 400977185)</f>
        <v>398594271.66666669</v>
      </c>
      <c r="L6">
        <f t="shared" si="19"/>
        <v>2162.6699629171817</v>
      </c>
      <c r="M6">
        <f t="shared" si="1"/>
        <v>6.409838188728853E-2</v>
      </c>
      <c r="N6">
        <f t="shared" si="1"/>
        <v>3.4173034264974853E-2</v>
      </c>
      <c r="P6">
        <v>9.4950366666666692</v>
      </c>
      <c r="Q6">
        <v>6592442862.3333302</v>
      </c>
      <c r="R6">
        <v>738113778</v>
      </c>
      <c r="S6">
        <f t="shared" si="20"/>
        <v>614.21563757345484</v>
      </c>
      <c r="T6">
        <f t="shared" si="2"/>
        <v>0.56519571864997686</v>
      </c>
      <c r="U6">
        <f t="shared" si="3"/>
        <v>6.3281359567901235E-2</v>
      </c>
      <c r="W6">
        <v>4.30558</v>
      </c>
      <c r="X6">
        <v>3296141702</v>
      </c>
      <c r="Y6">
        <v>369410597.66666698</v>
      </c>
      <c r="Z6">
        <f t="shared" si="21"/>
        <v>1354.5213420723805</v>
      </c>
      <c r="AA6">
        <f t="shared" si="4"/>
        <v>0.28259102383401918</v>
      </c>
      <c r="AB6">
        <f t="shared" si="5"/>
        <v>3.1671004601051697E-2</v>
      </c>
      <c r="AD6">
        <v>2.7819699999999998</v>
      </c>
      <c r="AE6">
        <v>2197503112.6666698</v>
      </c>
      <c r="AF6">
        <v>246528758.33333299</v>
      </c>
      <c r="AG6">
        <f t="shared" si="22"/>
        <v>2096.3561792542696</v>
      </c>
      <c r="AH6">
        <f t="shared" si="6"/>
        <v>0.18840047262231394</v>
      </c>
      <c r="AI6">
        <f t="shared" si="7"/>
        <v>2.1135867483996311E-2</v>
      </c>
      <c r="AK6">
        <v>2.08503333333333</v>
      </c>
      <c r="AL6">
        <v>1648260448.3333299</v>
      </c>
      <c r="AM6">
        <v>185471342.33333299</v>
      </c>
      <c r="AN6">
        <f t="shared" si="23"/>
        <v>2797.0775846908969</v>
      </c>
      <c r="AO6">
        <f t="shared" si="8"/>
        <v>0.14131176683241856</v>
      </c>
      <c r="AP6">
        <f t="shared" si="9"/>
        <v>1.5901178183584788E-2</v>
      </c>
      <c r="AR6">
        <v>2.74216333333333</v>
      </c>
      <c r="AS6">
        <v>749010936.66666698</v>
      </c>
      <c r="AT6">
        <v>428987752</v>
      </c>
      <c r="AU6">
        <f t="shared" si="24"/>
        <v>2126.787973971891</v>
      </c>
      <c r="AV6">
        <f t="shared" si="10"/>
        <v>6.4215615283493399E-2</v>
      </c>
      <c r="AW6">
        <f t="shared" si="11"/>
        <v>3.6778785322359397E-2</v>
      </c>
      <c r="AY6">
        <v>1.4164433333333299</v>
      </c>
      <c r="AZ6">
        <v>375098014.33333302</v>
      </c>
      <c r="BA6">
        <v>228675454</v>
      </c>
      <c r="BB6">
        <f t="shared" si="25"/>
        <v>4117.3549712543017</v>
      </c>
      <c r="BC6">
        <f t="shared" si="12"/>
        <v>3.2158608910608115E-2</v>
      </c>
      <c r="BD6">
        <f t="shared" si="13"/>
        <v>1.9605234396433472E-2</v>
      </c>
      <c r="BF6">
        <v>0.99437533333333294</v>
      </c>
      <c r="BG6">
        <v>251172798.33333299</v>
      </c>
      <c r="BH6">
        <v>158077110.33333299</v>
      </c>
      <c r="BI6">
        <f t="shared" si="26"/>
        <v>5864.9886059120563</v>
      </c>
      <c r="BJ6">
        <f t="shared" si="14"/>
        <v>2.1534019061499741E-2</v>
      </c>
      <c r="BK6">
        <f t="shared" si="15"/>
        <v>1.3552564328989453E-2</v>
      </c>
      <c r="BM6">
        <v>0.78609733333333298</v>
      </c>
      <c r="BN6">
        <v>188488130</v>
      </c>
      <c r="BO6">
        <v>117874711.666667</v>
      </c>
      <c r="BP6">
        <f t="shared" si="27"/>
        <v>7418.9286144379103</v>
      </c>
      <c r="BQ6">
        <f t="shared" si="16"/>
        <v>1.6159819101508915E-2</v>
      </c>
      <c r="BR6">
        <f t="shared" si="17"/>
        <v>1.0105856624371313E-2</v>
      </c>
    </row>
    <row r="7" spans="1:70">
      <c r="A7">
        <v>2200</v>
      </c>
      <c r="B7">
        <f>AVERAGE(17.737, 17.802, 17.628)</f>
        <v>17.722333333333335</v>
      </c>
      <c r="C7">
        <f>AVERAGE(11996785730, 11996096880, 11996643674)</f>
        <v>11996508761.333334</v>
      </c>
      <c r="D7">
        <f>AVERAGE(1343461845, 1343170950, 1344846657)</f>
        <v>1343826484</v>
      </c>
      <c r="E7">
        <f t="shared" si="0"/>
        <v>600.82381928639938</v>
      </c>
      <c r="F7" s="4">
        <f t="shared" si="18"/>
        <v>0.5633221619709492</v>
      </c>
      <c r="G7" s="4">
        <f t="shared" si="18"/>
        <v>6.310229545454546E-2</v>
      </c>
      <c r="H7" s="4"/>
      <c r="I7">
        <f>AVERAGE(5.162, 5.196, 5.204)</f>
        <v>5.187333333333334</v>
      </c>
      <c r="J7">
        <f>AVERAGE(2087286867, 2088494636, 2089497935)</f>
        <v>2088426479.3333333</v>
      </c>
      <c r="K7">
        <f>AVERAGE(724088339, 724499723, 725285468)</f>
        <v>724624510</v>
      </c>
      <c r="L7">
        <f t="shared" si="19"/>
        <v>2052.6924559825211</v>
      </c>
      <c r="M7">
        <f t="shared" si="1"/>
        <v>9.8066607782369142E-2</v>
      </c>
      <c r="N7">
        <f t="shared" si="1"/>
        <v>3.4026319966190835E-2</v>
      </c>
      <c r="P7">
        <v>17.5636333333333</v>
      </c>
      <c r="Q7">
        <v>12009961969.3333</v>
      </c>
      <c r="R7">
        <v>1341576631.6666701</v>
      </c>
      <c r="S7">
        <f t="shared" si="20"/>
        <v>606.25269259018273</v>
      </c>
      <c r="T7">
        <f t="shared" si="2"/>
        <v>0.56395388661407309</v>
      </c>
      <c r="U7">
        <f t="shared" si="3"/>
        <v>6.2996648744678349E-2</v>
      </c>
      <c r="W7">
        <v>7.9494300000000004</v>
      </c>
      <c r="X7">
        <v>6005886016.3333302</v>
      </c>
      <c r="Y7">
        <v>670915854.33333302</v>
      </c>
      <c r="Z7">
        <f t="shared" si="21"/>
        <v>1339.4671064466256</v>
      </c>
      <c r="AA7">
        <f t="shared" si="4"/>
        <v>0.28201944103744037</v>
      </c>
      <c r="AB7">
        <f t="shared" si="5"/>
        <v>3.1504313220010002E-2</v>
      </c>
      <c r="AD7">
        <v>5.1575566666666699</v>
      </c>
      <c r="AE7">
        <v>4008021119.3333302</v>
      </c>
      <c r="AF7">
        <v>448554285.33333302</v>
      </c>
      <c r="AG7">
        <f t="shared" si="22"/>
        <v>2064.5434821527238</v>
      </c>
      <c r="AH7">
        <f t="shared" si="6"/>
        <v>0.18820534933007749</v>
      </c>
      <c r="AI7">
        <f t="shared" si="7"/>
        <v>2.1062842098672662E-2</v>
      </c>
      <c r="AK7">
        <v>3.8695333333333299</v>
      </c>
      <c r="AL7">
        <v>3003536658.6666698</v>
      </c>
      <c r="AM7">
        <v>337413835.66666698</v>
      </c>
      <c r="AN7">
        <f t="shared" si="23"/>
        <v>2751.753010698967</v>
      </c>
      <c r="AO7">
        <f t="shared" si="8"/>
        <v>0.14103759666917121</v>
      </c>
      <c r="AP7">
        <f t="shared" si="9"/>
        <v>1.5844000547833723E-2</v>
      </c>
      <c r="AR7">
        <v>5.00326</v>
      </c>
      <c r="AS7">
        <v>2073306513</v>
      </c>
      <c r="AT7">
        <v>763614706</v>
      </c>
      <c r="AU7">
        <f t="shared" si="24"/>
        <v>2128.2124055116064</v>
      </c>
      <c r="AV7">
        <f t="shared" si="10"/>
        <v>9.7356616876408716E-2</v>
      </c>
      <c r="AW7">
        <f t="shared" si="11"/>
        <v>3.5857189425244178E-2</v>
      </c>
      <c r="AY7">
        <v>2.6691833333333301</v>
      </c>
      <c r="AZ7">
        <v>1034734009.33333</v>
      </c>
      <c r="BA7">
        <v>393608234.66666698</v>
      </c>
      <c r="BB7">
        <f t="shared" si="25"/>
        <v>3989.235159318398</v>
      </c>
      <c r="BC7">
        <f t="shared" si="12"/>
        <v>4.8588186013022637E-2</v>
      </c>
      <c r="BD7">
        <f t="shared" si="13"/>
        <v>1.8482730778863025E-2</v>
      </c>
      <c r="BF7">
        <v>1.87519666666667</v>
      </c>
      <c r="BG7">
        <v>694455596.66666698</v>
      </c>
      <c r="BH7">
        <v>275648792.33333302</v>
      </c>
      <c r="BI7">
        <f t="shared" si="26"/>
        <v>5678.337738797165</v>
      </c>
      <c r="BJ7">
        <f t="shared" si="14"/>
        <v>3.2609673021537708E-2</v>
      </c>
      <c r="BK7">
        <f t="shared" si="15"/>
        <v>1.2943688595667403E-2</v>
      </c>
      <c r="BM7">
        <v>1.4724633333333299</v>
      </c>
      <c r="BN7">
        <v>515880849.66666698</v>
      </c>
      <c r="BO7">
        <v>207589871.33333299</v>
      </c>
      <c r="BP7">
        <f t="shared" si="27"/>
        <v>7231.4194580963131</v>
      </c>
      <c r="BQ7">
        <f t="shared" si="16"/>
        <v>2.4224307366015541E-2</v>
      </c>
      <c r="BR7">
        <f t="shared" si="17"/>
        <v>9.7478339281242016E-3</v>
      </c>
    </row>
    <row r="8" spans="1:70">
      <c r="A8">
        <v>2600</v>
      </c>
      <c r="B8">
        <f>AVERAGE(29.376, 29.286, 29.542)</f>
        <v>29.401333333333337</v>
      </c>
      <c r="C8">
        <f>AVERAGE(19801179973, 19801124325, 19801249563)</f>
        <v>19801184620.333332</v>
      </c>
      <c r="D8">
        <f>AVERAGE(2223524213, 2222715998, 2226132262)</f>
        <v>2224124157.6666665</v>
      </c>
      <c r="E8">
        <f t="shared" si="0"/>
        <v>597.79601832116452</v>
      </c>
      <c r="F8" s="4">
        <f t="shared" si="18"/>
        <v>0.56330179279509929</v>
      </c>
      <c r="G8" s="4">
        <f t="shared" si="18"/>
        <v>6.3271624876725829E-2</v>
      </c>
      <c r="H8" s="4"/>
      <c r="I8">
        <f>AVERAGE(8.632, 8.795, 8.618)</f>
        <v>8.6816666666666666</v>
      </c>
      <c r="J8">
        <f>AVERAGE(4436435034, 4436200279, 4435633466)</f>
        <v>4436089593</v>
      </c>
      <c r="K8">
        <f>AVERAGE(1148828181, 1149275872, 1150272146)</f>
        <v>1149458733</v>
      </c>
      <c r="L8">
        <f t="shared" si="19"/>
        <v>2024.4960645037434</v>
      </c>
      <c r="M8">
        <f t="shared" si="1"/>
        <v>0.12619735983727812</v>
      </c>
      <c r="N8">
        <f t="shared" si="1"/>
        <v>3.2699668098543466E-2</v>
      </c>
      <c r="P8">
        <v>29.549433333333301</v>
      </c>
      <c r="Q8">
        <v>19814432153</v>
      </c>
      <c r="R8">
        <v>2247755377.3333302</v>
      </c>
      <c r="S8">
        <f t="shared" si="20"/>
        <v>594.79990028009627</v>
      </c>
      <c r="T8">
        <f t="shared" si="2"/>
        <v>0.5636786570607647</v>
      </c>
      <c r="U8">
        <f t="shared" si="3"/>
        <v>6.3943883060233561E-2</v>
      </c>
      <c r="W8">
        <v>13.166966666666699</v>
      </c>
      <c r="X8">
        <v>9908110951.3333302</v>
      </c>
      <c r="Y8">
        <v>1118017518.6666701</v>
      </c>
      <c r="Z8">
        <f t="shared" si="21"/>
        <v>1334.8556615165699</v>
      </c>
      <c r="AA8">
        <f t="shared" si="4"/>
        <v>0.28186478582536784</v>
      </c>
      <c r="AB8">
        <f t="shared" si="5"/>
        <v>3.1805232096798759E-2</v>
      </c>
      <c r="AD8">
        <v>8.5023700000000009</v>
      </c>
      <c r="AE8">
        <v>6608470580.6666698</v>
      </c>
      <c r="AF8">
        <v>747633504.33333302</v>
      </c>
      <c r="AG8">
        <f t="shared" si="22"/>
        <v>2067.1883251375789</v>
      </c>
      <c r="AH8">
        <f t="shared" si="6"/>
        <v>0.18799700104308914</v>
      </c>
      <c r="AI8">
        <f t="shared" si="7"/>
        <v>2.1268590815126678E-2</v>
      </c>
      <c r="AK8">
        <v>6.3561033333333299</v>
      </c>
      <c r="AL8">
        <v>4954883370</v>
      </c>
      <c r="AM8">
        <v>566687973.66666698</v>
      </c>
      <c r="AN8">
        <f t="shared" si="23"/>
        <v>2765.2162147563172</v>
      </c>
      <c r="AO8">
        <f t="shared" si="8"/>
        <v>0.14095594475421028</v>
      </c>
      <c r="AP8">
        <f t="shared" si="9"/>
        <v>1.6121073442952522E-2</v>
      </c>
      <c r="AR8">
        <v>8.6186833333333297</v>
      </c>
      <c r="AS8">
        <v>4411002309.6666698</v>
      </c>
      <c r="AT8">
        <v>1197176038.6666701</v>
      </c>
      <c r="AU8">
        <f t="shared" si="24"/>
        <v>2039.2906109015114</v>
      </c>
      <c r="AV8">
        <f t="shared" si="10"/>
        <v>0.12548367972424526</v>
      </c>
      <c r="AW8">
        <f t="shared" si="11"/>
        <v>3.4057124450007685E-2</v>
      </c>
      <c r="AY8">
        <v>4.6059266666666696</v>
      </c>
      <c r="AZ8">
        <v>2188425129.6666698</v>
      </c>
      <c r="BA8">
        <v>613191390.33333302</v>
      </c>
      <c r="BB8">
        <f t="shared" si="25"/>
        <v>3815.9530691616142</v>
      </c>
      <c r="BC8">
        <f t="shared" si="12"/>
        <v>6.2256063087923016E-2</v>
      </c>
      <c r="BD8">
        <f t="shared" si="13"/>
        <v>1.7443997221590037E-2</v>
      </c>
      <c r="BF8">
        <v>3.2079499999999999</v>
      </c>
      <c r="BG8">
        <v>1471600026.3333299</v>
      </c>
      <c r="BH8">
        <v>426024197.33333302</v>
      </c>
      <c r="BI8">
        <f t="shared" si="26"/>
        <v>5478.888386664381</v>
      </c>
      <c r="BJ8">
        <f t="shared" si="14"/>
        <v>4.1863906074571286E-2</v>
      </c>
      <c r="BK8">
        <f t="shared" si="15"/>
        <v>1.2119486724321034E-2</v>
      </c>
      <c r="BM8">
        <v>2.50776666666667</v>
      </c>
      <c r="BN8">
        <v>1101793573.6666701</v>
      </c>
      <c r="BO8">
        <v>323725808.66666698</v>
      </c>
      <c r="BP8">
        <f t="shared" si="27"/>
        <v>7008.6265335690368</v>
      </c>
      <c r="BQ8">
        <f t="shared" si="16"/>
        <v>3.1343695199893891E-2</v>
      </c>
      <c r="BR8">
        <f t="shared" si="17"/>
        <v>9.2093140835988567E-3</v>
      </c>
    </row>
    <row r="9" spans="1:70">
      <c r="A9">
        <v>3000</v>
      </c>
      <c r="B9">
        <f>AVERAGE(46.567, 46.127, 46.22)</f>
        <v>46.304666666666662</v>
      </c>
      <c r="C9">
        <f>AVERAGE(30410864627, 30411183172, 30410967878)</f>
        <v>30411005225.666668</v>
      </c>
      <c r="D9">
        <f>AVERAGE(3487266744, 3447901675, 3451509098)</f>
        <v>3462225839</v>
      </c>
      <c r="E9">
        <f t="shared" si="0"/>
        <v>583.09457650056879</v>
      </c>
      <c r="F9" s="4">
        <f t="shared" si="18"/>
        <v>0.56316676343827166</v>
      </c>
      <c r="G9" s="4">
        <f t="shared" si="18"/>
        <v>6.4115293314814817E-2</v>
      </c>
      <c r="H9" s="4"/>
      <c r="I9">
        <f>AVERAGE(13.229, 13.331, 13.25)</f>
        <v>13.270000000000001</v>
      </c>
      <c r="J9">
        <f>AVERAGE(6790731451, 6792249541, 6790197225)</f>
        <v>6791059405.666667</v>
      </c>
      <c r="K9">
        <f>AVERAGE(1871245118, 1871649879, 1871104550)</f>
        <v>1871333182.3333333</v>
      </c>
      <c r="L9">
        <f t="shared" si="19"/>
        <v>2034.6646571213262</v>
      </c>
      <c r="M9">
        <f t="shared" si="1"/>
        <v>0.12576035936419755</v>
      </c>
      <c r="N9">
        <f t="shared" si="1"/>
        <v>3.4654318191358023E-2</v>
      </c>
      <c r="P9">
        <v>46.339366666666699</v>
      </c>
      <c r="Q9">
        <v>30433618299.666698</v>
      </c>
      <c r="R9">
        <v>3465360774.3333302</v>
      </c>
      <c r="S9">
        <f t="shared" si="20"/>
        <v>582.65794166371109</v>
      </c>
      <c r="T9">
        <f t="shared" si="2"/>
        <v>0.56358552406790186</v>
      </c>
      <c r="U9">
        <f t="shared" si="3"/>
        <v>6.4173347672839443E-2</v>
      </c>
      <c r="W9">
        <v>20.336666666666702</v>
      </c>
      <c r="X9">
        <v>15218246729.6667</v>
      </c>
      <c r="Y9">
        <v>1721284730.6666701</v>
      </c>
      <c r="Z9">
        <f t="shared" si="21"/>
        <v>1327.6512047205354</v>
      </c>
      <c r="AA9">
        <f t="shared" si="4"/>
        <v>0.28181938388271666</v>
      </c>
      <c r="AB9">
        <f t="shared" si="5"/>
        <v>3.1875643160493891E-2</v>
      </c>
      <c r="AD9">
        <v>13.154733333333301</v>
      </c>
      <c r="AE9">
        <v>10146002577</v>
      </c>
      <c r="AF9">
        <v>1157612160.6666701</v>
      </c>
      <c r="AG9">
        <f t="shared" si="22"/>
        <v>2052.4931456864751</v>
      </c>
      <c r="AH9">
        <f t="shared" si="6"/>
        <v>0.18788893661111111</v>
      </c>
      <c r="AI9">
        <f t="shared" si="7"/>
        <v>2.1437262234567964E-2</v>
      </c>
      <c r="AK9">
        <v>9.9314699999999991</v>
      </c>
      <c r="AL9">
        <v>7610078304.6666698</v>
      </c>
      <c r="AM9">
        <v>898267252.66666698</v>
      </c>
      <c r="AN9">
        <f t="shared" si="23"/>
        <v>2718.6307767128133</v>
      </c>
      <c r="AO9">
        <f t="shared" si="8"/>
        <v>0.14092737601234573</v>
      </c>
      <c r="AP9">
        <f t="shared" si="9"/>
        <v>1.6634578753086427E-2</v>
      </c>
      <c r="AR9">
        <v>13.207266666666699</v>
      </c>
      <c r="AS9">
        <v>6811420849</v>
      </c>
      <c r="AT9">
        <v>1856921687.6666701</v>
      </c>
      <c r="AU9">
        <f t="shared" si="24"/>
        <v>2044.3291319425114</v>
      </c>
      <c r="AV9">
        <f t="shared" si="10"/>
        <v>0.12613742312962964</v>
      </c>
      <c r="AW9">
        <f t="shared" si="11"/>
        <v>3.4387438660493888E-2</v>
      </c>
      <c r="AY9">
        <v>7.1025566666666702</v>
      </c>
      <c r="AZ9">
        <v>3405010396.6666698</v>
      </c>
      <c r="BA9">
        <v>941776361.33333302</v>
      </c>
      <c r="BB9">
        <f t="shared" si="25"/>
        <v>3801.4480231766292</v>
      </c>
      <c r="BC9">
        <f t="shared" si="12"/>
        <v>6.3055748086419811E-2</v>
      </c>
      <c r="BD9">
        <f t="shared" si="13"/>
        <v>1.7440302987654314E-2</v>
      </c>
      <c r="BF9">
        <v>4.9127066666666703</v>
      </c>
      <c r="BG9">
        <v>2271035976</v>
      </c>
      <c r="BH9">
        <v>654957650</v>
      </c>
      <c r="BI9">
        <f t="shared" si="26"/>
        <v>5495.9519938770982</v>
      </c>
      <c r="BJ9">
        <f t="shared" si="14"/>
        <v>4.2056221777777777E-2</v>
      </c>
      <c r="BK9">
        <f t="shared" si="15"/>
        <v>1.2128845370370371E-2</v>
      </c>
      <c r="BM9">
        <v>3.82673</v>
      </c>
      <c r="BN9">
        <v>1703617208.3333299</v>
      </c>
      <c r="BO9">
        <v>497554076.33333302</v>
      </c>
      <c r="BP9">
        <f t="shared" si="27"/>
        <v>7055.6323545167807</v>
      </c>
      <c r="BQ9">
        <f t="shared" si="16"/>
        <v>3.1548466820987588E-2</v>
      </c>
      <c r="BR9">
        <f t="shared" si="17"/>
        <v>9.2139643765432044E-3</v>
      </c>
    </row>
    <row r="10" spans="1:70">
      <c r="A10">
        <v>4000</v>
      </c>
      <c r="I10">
        <f>AVERAGE(31.997, 31.671, 32.023)</f>
        <v>31.897000000000002</v>
      </c>
      <c r="J10">
        <f>AVERAGE(16123839614, 16124051945, 16123748157)</f>
        <v>16123879905.333334</v>
      </c>
      <c r="K10">
        <f>AVERAGE(4290425397, 4316029984, 4316839043)</f>
        <v>4307764808</v>
      </c>
      <c r="L10">
        <f t="shared" si="19"/>
        <v>2006.4582876132549</v>
      </c>
    </row>
    <row r="11" spans="1:70">
      <c r="A11">
        <v>6000</v>
      </c>
      <c r="I11">
        <v>108.07299999999999</v>
      </c>
      <c r="J11">
        <v>54284439204</v>
      </c>
      <c r="K11">
        <v>14688938805</v>
      </c>
      <c r="L11">
        <f t="shared" si="19"/>
        <v>1998.6490612826517</v>
      </c>
    </row>
    <row r="12" spans="1:70">
      <c r="A12">
        <v>8000</v>
      </c>
      <c r="I12">
        <v>257.23599999999999</v>
      </c>
      <c r="J12">
        <v>128597804622</v>
      </c>
      <c r="K12">
        <v>34625484250</v>
      </c>
      <c r="L12">
        <f t="shared" si="19"/>
        <v>1990.3901475687696</v>
      </c>
    </row>
    <row r="13" spans="1:70">
      <c r="A13">
        <v>10000</v>
      </c>
      <c r="I13">
        <v>506.67700000000002</v>
      </c>
      <c r="J13">
        <v>250844910325</v>
      </c>
      <c r="K13">
        <v>68017209167</v>
      </c>
      <c r="L13">
        <f t="shared" si="19"/>
        <v>1973.6439585771607</v>
      </c>
      <c r="AS13" s="2"/>
    </row>
    <row r="18" spans="1:16">
      <c r="A18" s="5" t="s">
        <v>20</v>
      </c>
      <c r="B18" s="5"/>
      <c r="C18" s="5"/>
      <c r="D18" s="5"/>
      <c r="E18" s="5"/>
      <c r="H18" s="5" t="s">
        <v>24</v>
      </c>
      <c r="I18" s="5"/>
      <c r="J18" s="5"/>
      <c r="K18" s="5"/>
      <c r="M18" s="5" t="s">
        <v>26</v>
      </c>
      <c r="N18" s="5"/>
      <c r="O18" s="5"/>
      <c r="P18" s="5"/>
    </row>
    <row r="19" spans="1:16">
      <c r="A19" s="2" t="s">
        <v>13</v>
      </c>
      <c r="B19" s="2" t="s">
        <v>10</v>
      </c>
      <c r="C19" s="2" t="s">
        <v>15</v>
      </c>
      <c r="D19" s="2" t="s">
        <v>18</v>
      </c>
      <c r="E19" s="2" t="s">
        <v>19</v>
      </c>
      <c r="H19" s="2" t="s">
        <v>13</v>
      </c>
      <c r="I19" t="s">
        <v>21</v>
      </c>
      <c r="J19" t="s">
        <v>22</v>
      </c>
      <c r="K19" t="s">
        <v>23</v>
      </c>
      <c r="M19" s="2" t="s">
        <v>13</v>
      </c>
      <c r="N19" t="s">
        <v>21</v>
      </c>
      <c r="O19" t="s">
        <v>22</v>
      </c>
      <c r="P19" t="s">
        <v>23</v>
      </c>
    </row>
    <row r="20" spans="1:16">
      <c r="A20">
        <v>600</v>
      </c>
      <c r="B20">
        <f>AVERAGE(0.222844411, 0.228577596, 0.226955477)</f>
        <v>0.226125828</v>
      </c>
      <c r="C20">
        <f>A20^3/B20/1000000</f>
        <v>955.22038287461794</v>
      </c>
      <c r="D20">
        <f>AVERAGE(3.23, 2.96, 2.98)</f>
        <v>3.0566666666666666</v>
      </c>
      <c r="E20" s="4">
        <f>AVERAGE(0.01, 0.01, 0.01)/100</f>
        <v>1E-4</v>
      </c>
      <c r="H20">
        <v>600</v>
      </c>
      <c r="I20">
        <f>P3/W3</f>
        <v>1.9797288916452562</v>
      </c>
      <c r="J20">
        <f>P3/AD3</f>
        <v>2.0979777346887958</v>
      </c>
      <c r="K20">
        <f>P3/AK3</f>
        <v>2.8788059935315355</v>
      </c>
      <c r="M20">
        <v>600</v>
      </c>
      <c r="N20">
        <f>AR3/AY3</f>
        <v>2.1162768912497474</v>
      </c>
      <c r="O20">
        <f>AR3/BF3</f>
        <v>3.0313861695200575</v>
      </c>
      <c r="P20">
        <f>AR3/BM3</f>
        <v>2.2649037233716958</v>
      </c>
    </row>
    <row r="21" spans="1:16">
      <c r="A21">
        <v>1000</v>
      </c>
      <c r="B21">
        <f>AVERAGE(1.237640386, 1.214870439, 1.211148607)</f>
        <v>1.2212198106666667</v>
      </c>
      <c r="C21">
        <f t="shared" ref="C21:C26" si="28">A21^3/B21/1000000</f>
        <v>818.85340482160848</v>
      </c>
      <c r="D21">
        <f>AVERAGE(2.56, 2.58, 2.59)</f>
        <v>2.5766666666666667</v>
      </c>
      <c r="E21" s="4">
        <f>AVERAGE(0.03, 0.02, 0.03)/100</f>
        <v>2.6666666666666668E-4</v>
      </c>
      <c r="H21">
        <v>1000</v>
      </c>
      <c r="I21">
        <f t="shared" ref="I21:I26" si="29">P4/W4</f>
        <v>2.2405605647454707</v>
      </c>
      <c r="J21">
        <f t="shared" ref="J21:J26" si="30">P4/AD4</f>
        <v>2.9182477694397733</v>
      </c>
      <c r="K21">
        <f t="shared" ref="K21:K26" si="31">P4/AK4</f>
        <v>4.2340972844348315</v>
      </c>
      <c r="M21">
        <v>1000</v>
      </c>
      <c r="N21">
        <f t="shared" ref="N21:N26" si="32">AR4/AY4</f>
        <v>3.120211353345566</v>
      </c>
      <c r="O21">
        <f t="shared" ref="O21:O26" si="33">AR4/BF4</f>
        <v>4.293807688316698</v>
      </c>
      <c r="P21">
        <f t="shared" ref="P21:P26" si="34">AR4/BM4</f>
        <v>5.158629769611335</v>
      </c>
    </row>
    <row r="22" spans="1:16">
      <c r="A22">
        <v>1400</v>
      </c>
      <c r="B22">
        <f>AVERAGE(4.798161083, 4.871603826, 4.862617308)</f>
        <v>4.8441274056666677</v>
      </c>
      <c r="C22">
        <f t="shared" si="28"/>
        <v>566.45908957515542</v>
      </c>
      <c r="D22">
        <f>AVERAGE(1.79, 1.77, 1.78)</f>
        <v>1.78</v>
      </c>
      <c r="E22" s="4">
        <f>AVERAGE(0.94, 0.95, 0.95)/100</f>
        <v>9.4666666666666666E-3</v>
      </c>
      <c r="H22">
        <v>1400</v>
      </c>
      <c r="I22">
        <f t="shared" si="29"/>
        <v>2.1974601109260297</v>
      </c>
      <c r="J22">
        <f t="shared" si="30"/>
        <v>3.4473265138129969</v>
      </c>
      <c r="K22">
        <f t="shared" si="31"/>
        <v>4.6022883470679075</v>
      </c>
      <c r="M22">
        <v>1400</v>
      </c>
      <c r="N22">
        <f t="shared" si="32"/>
        <v>2.5257232647011869</v>
      </c>
      <c r="O22">
        <f t="shared" si="33"/>
        <v>3.5622635051759191</v>
      </c>
      <c r="P22">
        <f t="shared" si="34"/>
        <v>4.509448487615356</v>
      </c>
    </row>
    <row r="23" spans="1:16">
      <c r="A23">
        <v>1800</v>
      </c>
      <c r="B23">
        <f>AVERAGE(10.457324091, 10.473447718, 10.660191845)</f>
        <v>10.530321217999999</v>
      </c>
      <c r="C23">
        <f t="shared" si="28"/>
        <v>553.82925926619157</v>
      </c>
      <c r="D23">
        <f>AVERAGE(1.75, 1.74, 1.72)</f>
        <v>1.7366666666666666</v>
      </c>
      <c r="E23" s="4">
        <f>AVERAGE(1, 1, 1)/100</f>
        <v>0.01</v>
      </c>
      <c r="H23">
        <v>1800</v>
      </c>
      <c r="I23">
        <f t="shared" si="29"/>
        <v>2.2052863183744513</v>
      </c>
      <c r="J23">
        <f t="shared" si="30"/>
        <v>3.4130622065179241</v>
      </c>
      <c r="K23">
        <f t="shared" si="31"/>
        <v>4.5539016162811228</v>
      </c>
      <c r="M23">
        <v>1800</v>
      </c>
      <c r="N23">
        <f t="shared" si="32"/>
        <v>1.935949902690544</v>
      </c>
      <c r="O23">
        <f t="shared" si="33"/>
        <v>2.7576743322273325</v>
      </c>
      <c r="P23">
        <f t="shared" si="34"/>
        <v>3.4883254490962075</v>
      </c>
    </row>
    <row r="24" spans="1:16">
      <c r="A24">
        <v>2200</v>
      </c>
      <c r="B24">
        <f>AVERAGE(19.674815159, 19.674750553, 19.669427104)</f>
        <v>19.672997605333332</v>
      </c>
      <c r="C24">
        <f t="shared" si="28"/>
        <v>541.2494940330464</v>
      </c>
      <c r="D24">
        <f>AVERAGE(1.69, 1.7, 1.7)</f>
        <v>1.6966666666666665</v>
      </c>
      <c r="E24" s="4">
        <f>AVERAGE(1.02, 1.03, 1.02)/100</f>
        <v>1.0233333333333332E-2</v>
      </c>
      <c r="H24">
        <v>2200</v>
      </c>
      <c r="I24">
        <f t="shared" si="29"/>
        <v>2.2094204657860121</v>
      </c>
      <c r="J24">
        <f t="shared" si="30"/>
        <v>3.4054174231079619</v>
      </c>
      <c r="K24">
        <f t="shared" si="31"/>
        <v>4.5389538790207213</v>
      </c>
      <c r="M24">
        <v>2200</v>
      </c>
      <c r="N24">
        <f t="shared" si="32"/>
        <v>1.8744534845239829</v>
      </c>
      <c r="O24">
        <f t="shared" si="33"/>
        <v>2.6681254766166704</v>
      </c>
      <c r="P24">
        <f t="shared" si="34"/>
        <v>3.3978842710288282</v>
      </c>
    </row>
    <row r="25" spans="1:16">
      <c r="A25">
        <v>2600</v>
      </c>
      <c r="B25">
        <f>AVERAGE(30.920504827, 32.230553058, 32.625104304)</f>
        <v>31.925387396333331</v>
      </c>
      <c r="C25">
        <f t="shared" si="28"/>
        <v>550.53364840354686</v>
      </c>
      <c r="D25">
        <f>AVERAGE(1.83, 1.89, 1.69)</f>
        <v>1.8033333333333335</v>
      </c>
      <c r="E25" s="4">
        <f>AVERAGE(0.98, 0.91, 1)/100</f>
        <v>9.633333333333334E-3</v>
      </c>
      <c r="H25">
        <v>2600</v>
      </c>
      <c r="I25">
        <f t="shared" si="29"/>
        <v>2.2442096256034594</v>
      </c>
      <c r="J25">
        <f t="shared" si="30"/>
        <v>3.4754348885467579</v>
      </c>
      <c r="K25">
        <f t="shared" si="31"/>
        <v>4.6489856730879637</v>
      </c>
      <c r="M25">
        <v>2600</v>
      </c>
      <c r="N25">
        <f t="shared" si="32"/>
        <v>1.8712159261473242</v>
      </c>
      <c r="O25">
        <f t="shared" si="33"/>
        <v>2.6866638611366542</v>
      </c>
      <c r="P25">
        <f t="shared" si="34"/>
        <v>3.4367963526643832</v>
      </c>
    </row>
    <row r="26" spans="1:16">
      <c r="A26">
        <v>3000</v>
      </c>
      <c r="B26">
        <f>AVERAGE(57.566604163, 59.23974943, 59.536575469)</f>
        <v>58.780976353999996</v>
      </c>
      <c r="C26">
        <f t="shared" si="28"/>
        <v>459.33228188311091</v>
      </c>
      <c r="D26">
        <f>AVERAGE(1.62, 1.43, 1.42)</f>
        <v>1.49</v>
      </c>
      <c r="E26" s="4">
        <f>AVERAGE(1.16, 1.28, 1.28)/100</f>
        <v>1.24E-2</v>
      </c>
      <c r="H26">
        <v>3000</v>
      </c>
      <c r="I26">
        <f t="shared" si="29"/>
        <v>2.2786117029995059</v>
      </c>
      <c r="J26">
        <f t="shared" si="30"/>
        <v>3.5226382392142863</v>
      </c>
      <c r="K26">
        <f t="shared" si="31"/>
        <v>4.6659121627177749</v>
      </c>
      <c r="M26">
        <v>3000</v>
      </c>
      <c r="N26">
        <f t="shared" si="32"/>
        <v>1.8595088059839522</v>
      </c>
      <c r="O26">
        <f t="shared" si="33"/>
        <v>2.6883890211234585</v>
      </c>
      <c r="P26">
        <f t="shared" si="34"/>
        <v>3.4513191854838725</v>
      </c>
    </row>
    <row r="28" spans="1:16">
      <c r="H28" s="2" t="s">
        <v>25</v>
      </c>
      <c r="I28">
        <f>MEDIAN(I20:I26)</f>
        <v>2.2094204657860121</v>
      </c>
      <c r="J28">
        <f t="shared" ref="J28:K28" si="35">MEDIAN(J20:J26)</f>
        <v>3.4130622065179241</v>
      </c>
      <c r="K28">
        <f t="shared" si="35"/>
        <v>4.5539016162811228</v>
      </c>
      <c r="M28" s="2" t="s">
        <v>25</v>
      </c>
      <c r="N28">
        <f>MEDIAN(N20:N26)</f>
        <v>1.935949902690544</v>
      </c>
      <c r="O28">
        <f t="shared" ref="O28:P28" si="36">MEDIAN(O20:O26)</f>
        <v>2.7576743322273325</v>
      </c>
      <c r="P28">
        <f t="shared" si="36"/>
        <v>3.4513191854838725</v>
      </c>
    </row>
    <row r="29" spans="1:16">
      <c r="A29" s="5" t="s">
        <v>14</v>
      </c>
      <c r="B29" s="5"/>
      <c r="C29" s="5"/>
      <c r="D29" s="5"/>
      <c r="E29" s="5"/>
    </row>
    <row r="30" spans="1:16">
      <c r="A30" s="2" t="s">
        <v>13</v>
      </c>
      <c r="B30" s="2" t="s">
        <v>10</v>
      </c>
      <c r="C30" s="2" t="s">
        <v>15</v>
      </c>
      <c r="D30" s="2" t="s">
        <v>18</v>
      </c>
      <c r="E30" s="2" t="s">
        <v>19</v>
      </c>
      <c r="I30" s="6" t="s">
        <v>27</v>
      </c>
      <c r="J30" s="6" t="s">
        <v>28</v>
      </c>
      <c r="N30" s="6" t="s">
        <v>27</v>
      </c>
      <c r="O30" s="6" t="s">
        <v>28</v>
      </c>
    </row>
    <row r="31" spans="1:16">
      <c r="A31">
        <v>600</v>
      </c>
      <c r="B31">
        <f>AVERAGE(0.162116312, 0.211601951, 0.16243327)</f>
        <v>0.17871717766666664</v>
      </c>
      <c r="C31">
        <f>A31^3/B31/1000000</f>
        <v>1208.6135357557582</v>
      </c>
      <c r="D31">
        <f>AVERAGE(2.91, 2.72, 2.9)</f>
        <v>2.8433333333333337</v>
      </c>
      <c r="E31" s="4">
        <f>AVERAGE(0.01, 0.01, 0.01)/100</f>
        <v>1E-4</v>
      </c>
      <c r="I31">
        <v>1</v>
      </c>
      <c r="J31">
        <v>1</v>
      </c>
      <c r="N31">
        <v>1</v>
      </c>
      <c r="O31">
        <v>1</v>
      </c>
    </row>
    <row r="32" spans="1:16">
      <c r="A32">
        <v>1000</v>
      </c>
      <c r="B32">
        <f>AVERAGE(0.971095445, 1.196420886, 1.180814354)</f>
        <v>1.1161102283333333</v>
      </c>
      <c r="C32">
        <f t="shared" ref="C32:C37" si="37">A32^3/B32/1000000</f>
        <v>895.96885201319355</v>
      </c>
      <c r="D32">
        <f>AVERAGE(2.8, 2.22, 2.22)</f>
        <v>2.4133333333333336</v>
      </c>
      <c r="E32" s="4">
        <f>AVERAGE(0.01, 0.01, 0.01)/100</f>
        <v>1E-4</v>
      </c>
      <c r="I32">
        <v>2</v>
      </c>
      <c r="J32">
        <f>I28</f>
        <v>2.2094204657860121</v>
      </c>
      <c r="N32">
        <v>2</v>
      </c>
      <c r="O32">
        <f>N28</f>
        <v>1.935949902690544</v>
      </c>
    </row>
    <row r="33" spans="1:15">
      <c r="A33">
        <v>1400</v>
      </c>
      <c r="B33">
        <f>AVERAGE(3.528746931, 3.524573565, 3.429625856)</f>
        <v>3.4943154506666665</v>
      </c>
      <c r="C33">
        <f t="shared" si="37"/>
        <v>785.27541051752587</v>
      </c>
      <c r="D33">
        <f>AVERAGE(2.07, 2.07, 2.1)</f>
        <v>2.08</v>
      </c>
      <c r="E33" s="4">
        <f>AVERAGE(0.05, 0.05, 0.04)/100</f>
        <v>4.6666666666666666E-4</v>
      </c>
      <c r="I33">
        <v>3</v>
      </c>
      <c r="J33">
        <f>J28</f>
        <v>3.4130622065179241</v>
      </c>
      <c r="N33">
        <v>3</v>
      </c>
      <c r="O33">
        <f>O28</f>
        <v>2.7576743322273325</v>
      </c>
    </row>
    <row r="34" spans="1:15">
      <c r="A34">
        <v>1800</v>
      </c>
      <c r="B34">
        <f>AVERAGE(4.244412773, 4.257712021, 4.246426729)</f>
        <v>4.2495171743333335</v>
      </c>
      <c r="C34">
        <f t="shared" si="37"/>
        <v>1372.3912060468203</v>
      </c>
      <c r="D34">
        <f>AVERAGE(2.83, 2.84, 2.83)</f>
        <v>2.8333333333333335</v>
      </c>
      <c r="E34" s="4">
        <f>AVERAGE(0.12, 0.12, 0.12)/100</f>
        <v>1.1999999999999999E-3</v>
      </c>
      <c r="I34">
        <v>4</v>
      </c>
      <c r="J34">
        <f>K28</f>
        <v>4.5539016162811228</v>
      </c>
      <c r="N34">
        <v>4</v>
      </c>
      <c r="O34">
        <f>P28</f>
        <v>3.4513191854838725</v>
      </c>
    </row>
    <row r="35" spans="1:15">
      <c r="A35">
        <v>2200</v>
      </c>
      <c r="B35">
        <f>AVERAGE(7.903746169, 7.739936821, 7.759037282)</f>
        <v>7.8009067573333333</v>
      </c>
      <c r="C35">
        <f t="shared" si="37"/>
        <v>1364.969526137487</v>
      </c>
      <c r="D35">
        <f>AVERAGE(2.81, 2.87, 2.86)</f>
        <v>2.8466666666666662</v>
      </c>
      <c r="E35" s="4">
        <f>AVERAGE(0.13, 0.12, 0.12)/100</f>
        <v>1.2333333333333335E-3</v>
      </c>
    </row>
    <row r="36" spans="1:15">
      <c r="A36">
        <v>2600</v>
      </c>
      <c r="B36">
        <f>AVERAGE(12.891967331, 12.739487459, 12.765856406)</f>
        <v>12.799103731999999</v>
      </c>
      <c r="C36">
        <f t="shared" si="37"/>
        <v>1373.2211542326143</v>
      </c>
      <c r="D36">
        <f>AVERAGE(2.86, 2.87, 2.87)</f>
        <v>2.8666666666666671</v>
      </c>
      <c r="E36" s="4">
        <f>AVERAGE(0.13, 0.13, 0.13)/100</f>
        <v>1.2999999999999999E-3</v>
      </c>
    </row>
    <row r="37" spans="1:15">
      <c r="A37">
        <v>3000</v>
      </c>
      <c r="B37">
        <f>AVERAGE(19.491107603, 19.56499321, 19.582352884)</f>
        <v>19.546151232333333</v>
      </c>
      <c r="C37">
        <f t="shared" si="37"/>
        <v>1381.3461115217647</v>
      </c>
      <c r="D37">
        <f>AVERAGE(2.88, 2.87, 2.87)</f>
        <v>2.8733333333333335</v>
      </c>
      <c r="E37" s="4">
        <f>AVERAGE(0.14, 0.14, 0.14)/100</f>
        <v>1.4000000000000002E-3</v>
      </c>
    </row>
  </sheetData>
  <mergeCells count="14">
    <mergeCell ref="BF1:BK1"/>
    <mergeCell ref="BM1:BR1"/>
    <mergeCell ref="H18:K18"/>
    <mergeCell ref="M18:P18"/>
    <mergeCell ref="A18:E18"/>
    <mergeCell ref="A29:E29"/>
    <mergeCell ref="AK1:AP1"/>
    <mergeCell ref="AR1:AW1"/>
    <mergeCell ref="AY1:BD1"/>
    <mergeCell ref="I1:N1"/>
    <mergeCell ref="P1:U1"/>
    <mergeCell ref="W1:AB1"/>
    <mergeCell ref="AD1:AI1"/>
    <mergeCell ref="B1:G1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sqref="A1:XFD1"/>
    </sheetView>
  </sheetViews>
  <sheetFormatPr defaultRowHeight="13.8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Resultados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Câmara</dc:creator>
  <cp:lastModifiedBy>Pedro Câmara</cp:lastModifiedBy>
  <cp:revision>3</cp:revision>
  <cp:lastPrinted>2017-03-12T18:28:12Z</cp:lastPrinted>
  <dcterms:created xsi:type="dcterms:W3CDTF">2017-02-22T14:31:24Z</dcterms:created>
  <dcterms:modified xsi:type="dcterms:W3CDTF">2017-03-13T12:17:09Z</dcterms:modified>
</cp:coreProperties>
</file>