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cuments\Dashboard Pedro\"/>
    </mc:Choice>
  </mc:AlternateContent>
  <xr:revisionPtr revIDLastSave="0" documentId="13_ncr:1_{1FF51303-5FA1-4432-9C37-733D0E03CB43}" xr6:coauthVersionLast="47" xr6:coauthVersionMax="47" xr10:uidLastSave="{00000000-0000-0000-0000-000000000000}"/>
  <bookViews>
    <workbookView xWindow="-120" yWindow="-120" windowWidth="29040" windowHeight="15840" activeTab="5" xr2:uid="{10DA2A22-7C09-4800-BFB9-D4984C4A3C22}"/>
  </bookViews>
  <sheets>
    <sheet name="Costos_Inventario" sheetId="1" r:id="rId1"/>
    <sheet name="Base de Datos Negocio" sheetId="5" r:id="rId2"/>
    <sheet name="Base de Datos Competencia" sheetId="3" r:id="rId3"/>
    <sheet name="Filtros 1-3" sheetId="2" r:id="rId4"/>
    <sheet name="Filtros 4-6" sheetId="6" r:id="rId5"/>
    <sheet name="Filtro 7-9" sheetId="8" r:id="rId6"/>
  </sheets>
  <definedNames>
    <definedName name="_xlnm._FilterDatabase" localSheetId="5" hidden="1">'Filtro 7-9'!$A$1:$J$20</definedName>
    <definedName name="_xlnm._FilterDatabase" localSheetId="4" hidden="1">'Filtros 4-6'!$A$1:$I$20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" i="6"/>
  <c r="I11" i="8"/>
  <c r="H2" i="2"/>
  <c r="I13" i="2"/>
  <c r="A13" i="8" s="1"/>
  <c r="I20" i="2"/>
  <c r="A20" i="8" s="1"/>
  <c r="I2" i="2"/>
  <c r="A2" i="8" s="1"/>
  <c r="J2" i="8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G3" i="2"/>
  <c r="G4" i="2"/>
  <c r="G5" i="2"/>
  <c r="G6" i="2"/>
  <c r="G7" i="2"/>
  <c r="G8" i="2"/>
  <c r="I8" i="2" s="1"/>
  <c r="A8" i="8" s="1"/>
  <c r="G9" i="2"/>
  <c r="I9" i="2" s="1"/>
  <c r="A9" i="8" s="1"/>
  <c r="G10" i="2"/>
  <c r="I10" i="2" s="1"/>
  <c r="A10" i="8" s="1"/>
  <c r="G11" i="2"/>
  <c r="G12" i="2"/>
  <c r="G13" i="2"/>
  <c r="G14" i="2"/>
  <c r="G15" i="2"/>
  <c r="I15" i="2" s="1"/>
  <c r="A15" i="8" s="1"/>
  <c r="G16" i="2"/>
  <c r="I16" i="2" s="1"/>
  <c r="A16" i="8" s="1"/>
  <c r="G17" i="2"/>
  <c r="G18" i="2"/>
  <c r="I18" i="2" s="1"/>
  <c r="A18" i="8" s="1"/>
  <c r="G19" i="2"/>
  <c r="G20" i="2"/>
  <c r="G2" i="2"/>
  <c r="J8" i="8" l="1"/>
  <c r="H8" i="8"/>
  <c r="G8" i="8"/>
  <c r="F8" i="8"/>
  <c r="J10" i="8"/>
  <c r="F10" i="8"/>
  <c r="H10" i="8"/>
  <c r="G10" i="8"/>
  <c r="J15" i="8"/>
  <c r="H15" i="8"/>
  <c r="G15" i="8"/>
  <c r="F15" i="8"/>
  <c r="J18" i="8"/>
  <c r="F18" i="8"/>
  <c r="H18" i="8"/>
  <c r="G18" i="8"/>
  <c r="G20" i="8"/>
  <c r="J20" i="8"/>
  <c r="F20" i="8"/>
  <c r="E20" i="8"/>
  <c r="H20" i="8"/>
  <c r="J9" i="8"/>
  <c r="F9" i="8"/>
  <c r="H9" i="8"/>
  <c r="G9" i="8"/>
  <c r="J16" i="8"/>
  <c r="G16" i="8"/>
  <c r="H16" i="8"/>
  <c r="F16" i="8"/>
  <c r="J13" i="8"/>
  <c r="G13" i="8"/>
  <c r="F13" i="8"/>
  <c r="H13" i="8"/>
  <c r="F2" i="8"/>
  <c r="G2" i="8"/>
  <c r="B2" i="8"/>
  <c r="C2" i="8" s="1"/>
  <c r="B8" i="8"/>
  <c r="C8" i="8" s="1"/>
  <c r="B10" i="8"/>
  <c r="C10" i="8" s="1"/>
  <c r="B13" i="8"/>
  <c r="C13" i="8" s="1"/>
  <c r="B15" i="8"/>
  <c r="C15" i="8" s="1"/>
  <c r="B16" i="8"/>
  <c r="C16" i="8" s="1"/>
  <c r="B18" i="8"/>
  <c r="C18" i="8" s="1"/>
  <c r="B20" i="8"/>
  <c r="C20" i="8" s="1"/>
  <c r="B9" i="8"/>
  <c r="C9" i="8" s="1"/>
  <c r="E2" i="8"/>
  <c r="E8" i="8"/>
  <c r="E9" i="8"/>
  <c r="E10" i="8"/>
  <c r="E13" i="8"/>
  <c r="E15" i="8"/>
  <c r="E16" i="8"/>
  <c r="E18" i="8"/>
  <c r="D8" i="8"/>
  <c r="H2" i="8"/>
  <c r="D10" i="8"/>
  <c r="I8" i="8"/>
  <c r="I10" i="8"/>
  <c r="I18" i="8"/>
  <c r="I20" i="8"/>
  <c r="D3" i="1"/>
  <c r="E3" i="1" s="1"/>
  <c r="F3" i="1" s="1"/>
  <c r="D4" i="1"/>
  <c r="E4" i="1" s="1"/>
  <c r="D5" i="1"/>
  <c r="E5" i="1" s="1"/>
  <c r="F5" i="1" s="1"/>
  <c r="D6" i="1"/>
  <c r="E6" i="1" s="1"/>
  <c r="D7" i="1"/>
  <c r="E7" i="1" s="1"/>
  <c r="F7" i="1" s="1"/>
  <c r="D7" i="5" s="1"/>
  <c r="D8" i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D13" i="1"/>
  <c r="E13" i="1" s="1"/>
  <c r="D14" i="1"/>
  <c r="E14" i="1" s="1"/>
  <c r="D15" i="1"/>
  <c r="E15" i="1" s="1"/>
  <c r="F15" i="1" s="1"/>
  <c r="D16" i="1"/>
  <c r="E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D2" i="1"/>
  <c r="E8" i="1"/>
  <c r="F8" i="1" s="1"/>
  <c r="D13" i="8" l="1"/>
  <c r="I13" i="8"/>
  <c r="I15" i="8"/>
  <c r="D16" i="8"/>
  <c r="D15" i="8"/>
  <c r="I9" i="8"/>
  <c r="D9" i="8"/>
  <c r="I16" i="8"/>
  <c r="D18" i="8"/>
  <c r="D20" i="8"/>
  <c r="D2" i="8"/>
  <c r="I2" i="8"/>
  <c r="F6" i="1"/>
  <c r="D6" i="5" s="1"/>
  <c r="F20" i="1"/>
  <c r="D20" i="5" s="1"/>
  <c r="F12" i="1"/>
  <c r="D12" i="5" s="1"/>
  <c r="F4" i="1"/>
  <c r="D4" i="5" s="1"/>
  <c r="F16" i="1"/>
  <c r="D16" i="5" s="1"/>
  <c r="F14" i="1"/>
  <c r="D14" i="5" s="1"/>
  <c r="D17" i="5"/>
  <c r="D9" i="5"/>
  <c r="F13" i="1"/>
  <c r="D13" i="5" s="1"/>
  <c r="D15" i="5"/>
  <c r="D5" i="5"/>
  <c r="D11" i="5"/>
  <c r="D19" i="5"/>
  <c r="D3" i="5"/>
  <c r="D18" i="5"/>
  <c r="D8" i="5"/>
  <c r="D10" i="5"/>
  <c r="C2" i="2" l="1"/>
  <c r="B17" i="2" l="1"/>
  <c r="E17" i="2"/>
  <c r="C20" i="2"/>
  <c r="E20" i="2"/>
  <c r="C12" i="2"/>
  <c r="E12" i="2"/>
  <c r="C4" i="2"/>
  <c r="E4" i="2"/>
  <c r="C19" i="2"/>
  <c r="E19" i="2"/>
  <c r="C11" i="2"/>
  <c r="E11" i="2"/>
  <c r="C3" i="2"/>
  <c r="E3" i="2"/>
  <c r="B18" i="2"/>
  <c r="E18" i="2"/>
  <c r="B10" i="2"/>
  <c r="E10" i="2"/>
  <c r="C15" i="2"/>
  <c r="E15" i="2"/>
  <c r="C7" i="2"/>
  <c r="E7" i="2"/>
  <c r="B9" i="2"/>
  <c r="E9" i="2"/>
  <c r="B16" i="2"/>
  <c r="E16" i="2"/>
  <c r="B8" i="2"/>
  <c r="E8" i="2"/>
  <c r="C14" i="2"/>
  <c r="E14" i="2"/>
  <c r="C6" i="2"/>
  <c r="E6" i="2"/>
  <c r="C13" i="2"/>
  <c r="E13" i="2"/>
  <c r="C5" i="2"/>
  <c r="E5" i="2"/>
  <c r="B15" i="2"/>
  <c r="B7" i="2"/>
  <c r="C18" i="2"/>
  <c r="C10" i="2"/>
  <c r="B14" i="2"/>
  <c r="B6" i="2"/>
  <c r="C17" i="2"/>
  <c r="C9" i="2"/>
  <c r="B2" i="2"/>
  <c r="B13" i="2"/>
  <c r="B5" i="2"/>
  <c r="C16" i="2"/>
  <c r="C8" i="2"/>
  <c r="B20" i="2"/>
  <c r="B12" i="2"/>
  <c r="B4" i="2"/>
  <c r="B19" i="2"/>
  <c r="B11" i="2"/>
  <c r="B3" i="2"/>
  <c r="F4" i="2" l="1"/>
  <c r="F6" i="2"/>
  <c r="F16" i="2"/>
  <c r="H16" i="2" s="1"/>
  <c r="A16" i="6" s="1"/>
  <c r="F10" i="2"/>
  <c r="H10" i="2" s="1"/>
  <c r="A10" i="6" s="1"/>
  <c r="F18" i="2"/>
  <c r="H18" i="2" s="1"/>
  <c r="A18" i="6" s="1"/>
  <c r="F17" i="2"/>
  <c r="F11" i="2"/>
  <c r="F5" i="2"/>
  <c r="F9" i="2"/>
  <c r="H9" i="2" s="1"/>
  <c r="A9" i="6" s="1"/>
  <c r="F19" i="2"/>
  <c r="F14" i="2"/>
  <c r="F12" i="2"/>
  <c r="F7" i="2"/>
  <c r="F20" i="2"/>
  <c r="H20" i="2" s="1"/>
  <c r="A20" i="6" s="1"/>
  <c r="F15" i="2"/>
  <c r="H15" i="2" s="1"/>
  <c r="A15" i="6" s="1"/>
  <c r="F13" i="2"/>
  <c r="H13" i="2" s="1"/>
  <c r="A13" i="6" s="1"/>
  <c r="F8" i="2"/>
  <c r="H8" i="2" s="1"/>
  <c r="A8" i="6" s="1"/>
  <c r="F3" i="2"/>
  <c r="G15" i="6" l="1"/>
  <c r="E15" i="6"/>
  <c r="H11" i="2"/>
  <c r="A11" i="6" s="1"/>
  <c r="I11" i="2"/>
  <c r="A11" i="8" s="1"/>
  <c r="G13" i="6"/>
  <c r="E13" i="6"/>
  <c r="H7" i="2"/>
  <c r="A7" i="6" s="1"/>
  <c r="I7" i="6" s="1"/>
  <c r="I7" i="2"/>
  <c r="A7" i="8" s="1"/>
  <c r="E10" i="6"/>
  <c r="G10" i="6"/>
  <c r="E18" i="6"/>
  <c r="G18" i="6"/>
  <c r="H12" i="2"/>
  <c r="A12" i="6" s="1"/>
  <c r="B12" i="6" s="1"/>
  <c r="C12" i="6" s="1"/>
  <c r="I12" i="2"/>
  <c r="A12" i="8" s="1"/>
  <c r="H14" i="2"/>
  <c r="A14" i="6" s="1"/>
  <c r="B14" i="6" s="1"/>
  <c r="C14" i="6" s="1"/>
  <c r="I14" i="2"/>
  <c r="A14" i="8" s="1"/>
  <c r="E16" i="6"/>
  <c r="G16" i="6"/>
  <c r="H5" i="2"/>
  <c r="A5" i="6" s="1"/>
  <c r="I5" i="2"/>
  <c r="A5" i="8" s="1"/>
  <c r="H3" i="2"/>
  <c r="A3" i="6" s="1"/>
  <c r="B3" i="6" s="1"/>
  <c r="C3" i="6" s="1"/>
  <c r="I3" i="2"/>
  <c r="A3" i="8" s="1"/>
  <c r="G20" i="6"/>
  <c r="E20" i="6"/>
  <c r="H17" i="2"/>
  <c r="A17" i="6" s="1"/>
  <c r="I17" i="2"/>
  <c r="A17" i="8" s="1"/>
  <c r="H19" i="2"/>
  <c r="A19" i="6" s="1"/>
  <c r="I19" i="6" s="1"/>
  <c r="I19" i="2"/>
  <c r="A19" i="8" s="1"/>
  <c r="H6" i="2"/>
  <c r="A6" i="6" s="1"/>
  <c r="B6" i="6" s="1"/>
  <c r="C6" i="6" s="1"/>
  <c r="I6" i="2"/>
  <c r="A6" i="8" s="1"/>
  <c r="E8" i="6"/>
  <c r="G8" i="6"/>
  <c r="E9" i="6"/>
  <c r="G9" i="6"/>
  <c r="H4" i="2"/>
  <c r="A4" i="6" s="1"/>
  <c r="I4" i="6" s="1"/>
  <c r="I4" i="2"/>
  <c r="A4" i="8" s="1"/>
  <c r="D5" i="6"/>
  <c r="F5" i="6"/>
  <c r="D15" i="6"/>
  <c r="F15" i="6"/>
  <c r="D17" i="6"/>
  <c r="F17" i="6"/>
  <c r="D18" i="6"/>
  <c r="F18" i="6"/>
  <c r="D13" i="6"/>
  <c r="F13" i="6"/>
  <c r="D20" i="6"/>
  <c r="F20" i="6"/>
  <c r="D10" i="6"/>
  <c r="F10" i="6"/>
  <c r="D16" i="6"/>
  <c r="F16" i="6"/>
  <c r="D11" i="6"/>
  <c r="F11" i="6"/>
  <c r="D8" i="6"/>
  <c r="F8" i="6"/>
  <c r="D9" i="6"/>
  <c r="F9" i="6"/>
  <c r="D4" i="6"/>
  <c r="F4" i="6"/>
  <c r="B18" i="6"/>
  <c r="C18" i="6" s="1"/>
  <c r="I18" i="6"/>
  <c r="B20" i="6"/>
  <c r="C20" i="6" s="1"/>
  <c r="I20" i="6"/>
  <c r="I16" i="6"/>
  <c r="B16" i="6"/>
  <c r="C16" i="6" s="1"/>
  <c r="B5" i="6"/>
  <c r="C5" i="6" s="1"/>
  <c r="I5" i="6"/>
  <c r="B17" i="6"/>
  <c r="C17" i="6" s="1"/>
  <c r="I17" i="6"/>
  <c r="B19" i="6"/>
  <c r="C19" i="6" s="1"/>
  <c r="I15" i="6"/>
  <c r="B15" i="6"/>
  <c r="C15" i="6" s="1"/>
  <c r="I14" i="6"/>
  <c r="B4" i="6"/>
  <c r="C4" i="6" s="1"/>
  <c r="I9" i="6"/>
  <c r="B9" i="6"/>
  <c r="C9" i="6" s="1"/>
  <c r="I13" i="6"/>
  <c r="B13" i="6"/>
  <c r="C13" i="6" s="1"/>
  <c r="I11" i="6"/>
  <c r="B11" i="6"/>
  <c r="C11" i="6" s="1"/>
  <c r="I12" i="6"/>
  <c r="B10" i="6"/>
  <c r="C10" i="6" s="1"/>
  <c r="I10" i="6"/>
  <c r="I8" i="6"/>
  <c r="B8" i="6"/>
  <c r="C8" i="6" s="1"/>
  <c r="E2" i="1"/>
  <c r="I6" i="6" l="1"/>
  <c r="I3" i="6"/>
  <c r="J14" i="8"/>
  <c r="F14" i="8"/>
  <c r="E14" i="8"/>
  <c r="H14" i="8" s="1"/>
  <c r="B14" i="8"/>
  <c r="C14" i="8" s="1"/>
  <c r="G14" i="6"/>
  <c r="E14" i="6"/>
  <c r="B7" i="6"/>
  <c r="C7" i="6" s="1"/>
  <c r="F6" i="6"/>
  <c r="G6" i="6" s="1"/>
  <c r="E6" i="6"/>
  <c r="F3" i="6"/>
  <c r="G3" i="6" s="1"/>
  <c r="E3" i="6"/>
  <c r="F12" i="6"/>
  <c r="G12" i="6" s="1"/>
  <c r="E12" i="6"/>
  <c r="J6" i="8"/>
  <c r="H6" i="8"/>
  <c r="G6" i="8"/>
  <c r="F6" i="8"/>
  <c r="B6" i="8"/>
  <c r="C6" i="8" s="1"/>
  <c r="E6" i="8"/>
  <c r="I6" i="8"/>
  <c r="D6" i="8"/>
  <c r="J12" i="8"/>
  <c r="G12" i="8"/>
  <c r="F12" i="8"/>
  <c r="H12" i="8"/>
  <c r="B12" i="8"/>
  <c r="C12" i="8" s="1"/>
  <c r="E12" i="8"/>
  <c r="D12" i="8"/>
  <c r="I12" i="8"/>
  <c r="F14" i="6"/>
  <c r="J4" i="8"/>
  <c r="F4" i="8"/>
  <c r="B4" i="8"/>
  <c r="C4" i="8" s="1"/>
  <c r="E4" i="8"/>
  <c r="H4" i="8" s="1"/>
  <c r="I4" i="8"/>
  <c r="J19" i="8"/>
  <c r="F19" i="8"/>
  <c r="H19" i="8"/>
  <c r="G19" i="8"/>
  <c r="E19" i="8"/>
  <c r="B19" i="8"/>
  <c r="C19" i="8" s="1"/>
  <c r="D19" i="8"/>
  <c r="I19" i="8"/>
  <c r="J5" i="8"/>
  <c r="F5" i="8"/>
  <c r="B5" i="8"/>
  <c r="C5" i="8" s="1"/>
  <c r="E5" i="8"/>
  <c r="H5" i="8" s="1"/>
  <c r="D5" i="8"/>
  <c r="I5" i="8"/>
  <c r="J11" i="8"/>
  <c r="F11" i="8"/>
  <c r="E11" i="8"/>
  <c r="H11" i="8" s="1"/>
  <c r="B11" i="8"/>
  <c r="C11" i="8" s="1"/>
  <c r="D14" i="6"/>
  <c r="G4" i="6"/>
  <c r="E4" i="6"/>
  <c r="F19" i="6"/>
  <c r="G19" i="6" s="1"/>
  <c r="E19" i="6"/>
  <c r="G5" i="6"/>
  <c r="E5" i="6"/>
  <c r="E11" i="6"/>
  <c r="G11" i="6"/>
  <c r="J7" i="8"/>
  <c r="H7" i="8"/>
  <c r="G7" i="8"/>
  <c r="F7" i="8"/>
  <c r="B7" i="8"/>
  <c r="C7" i="8" s="1"/>
  <c r="E7" i="8"/>
  <c r="I7" i="8"/>
  <c r="D7" i="8"/>
  <c r="F7" i="6"/>
  <c r="G7" i="6" s="1"/>
  <c r="E7" i="6"/>
  <c r="J3" i="8"/>
  <c r="F3" i="8"/>
  <c r="G3" i="8"/>
  <c r="E3" i="8"/>
  <c r="H3" i="8"/>
  <c r="B3" i="8"/>
  <c r="C3" i="8" s="1"/>
  <c r="I3" i="8"/>
  <c r="D3" i="8"/>
  <c r="J17" i="8"/>
  <c r="F17" i="8"/>
  <c r="E17" i="8"/>
  <c r="H17" i="8" s="1"/>
  <c r="B17" i="8"/>
  <c r="C17" i="8" s="1"/>
  <c r="E17" i="6"/>
  <c r="G17" i="6"/>
  <c r="D12" i="6"/>
  <c r="D19" i="6"/>
  <c r="D6" i="6"/>
  <c r="D3" i="6"/>
  <c r="F2" i="1"/>
  <c r="E2" i="2" s="1"/>
  <c r="F2" i="2" s="1"/>
  <c r="A2" i="6" s="1"/>
  <c r="D7" i="6"/>
  <c r="I14" i="8" l="1"/>
  <c r="D11" i="8"/>
  <c r="G11" i="8" s="1"/>
  <c r="D4" i="8"/>
  <c r="G4" i="8" s="1"/>
  <c r="D14" i="8"/>
  <c r="G5" i="8"/>
  <c r="D2" i="5"/>
  <c r="G14" i="8"/>
  <c r="G2" i="6"/>
  <c r="E2" i="6"/>
  <c r="I17" i="8"/>
  <c r="D17" i="8"/>
  <c r="G17" i="8" s="1"/>
  <c r="D2" i="6"/>
  <c r="F2" i="6"/>
  <c r="I2" i="6"/>
  <c r="B2" i="6"/>
  <c r="C2" i="6" s="1"/>
</calcChain>
</file>

<file path=xl/sharedStrings.xml><?xml version="1.0" encoding="utf-8"?>
<sst xmlns="http://schemas.openxmlformats.org/spreadsheetml/2006/main" count="151" uniqueCount="58">
  <si>
    <t>Nombre</t>
  </si>
  <si>
    <t>Precio</t>
  </si>
  <si>
    <t>Vendedor</t>
  </si>
  <si>
    <t>Amarea</t>
  </si>
  <si>
    <t>Kana</t>
  </si>
  <si>
    <t>Costo Promedio</t>
  </si>
  <si>
    <t>Costo Operativo</t>
  </si>
  <si>
    <t>Costo de Producto</t>
  </si>
  <si>
    <t>Inventario Actual</t>
  </si>
  <si>
    <t>Sirilo</t>
  </si>
  <si>
    <t>Utilidad 25%</t>
  </si>
  <si>
    <t>Donna</t>
  </si>
  <si>
    <t>Referencia</t>
  </si>
  <si>
    <t>Mayor o menor que la competencia</t>
  </si>
  <si>
    <t>Cambió el precio del último mes?</t>
  </si>
  <si>
    <t>Multiplicar x 0.99</t>
  </si>
  <si>
    <t>Productos</t>
  </si>
  <si>
    <t>**=IF(LOOKUP(A2, 'Filtros 1-3'!A:A,IF('Filtros 1-3'!H:H != 0,)))</t>
  </si>
  <si>
    <t>**=IF'Filtros 1-3'!H:H&lt;&gt;0, VLOOKUP(A3, Data!A:B, 2, FALSE), "")</t>
  </si>
  <si>
    <t>Precio Competencia</t>
  </si>
  <si>
    <t>Nuestro precio</t>
  </si>
  <si>
    <t>Nuestro Precio</t>
  </si>
  <si>
    <t>Porcentaje de utilidad</t>
  </si>
  <si>
    <t>Inventario</t>
  </si>
  <si>
    <t>Quién Vende más?</t>
  </si>
  <si>
    <t>Motoventilador</t>
  </si>
  <si>
    <t>Marcha</t>
  </si>
  <si>
    <t>Bujías</t>
  </si>
  <si>
    <t>Válvulas</t>
  </si>
  <si>
    <t>Alternadores</t>
  </si>
  <si>
    <t>Faros</t>
  </si>
  <si>
    <t>Poleas</t>
  </si>
  <si>
    <t>Solenoide</t>
  </si>
  <si>
    <t>Motor de arranque</t>
  </si>
  <si>
    <t>Bobina Encendido</t>
  </si>
  <si>
    <t>Bulbo sensor</t>
  </si>
  <si>
    <t>Carburador</t>
  </si>
  <si>
    <t>Bomba gasolina</t>
  </si>
  <si>
    <t>Bujes</t>
  </si>
  <si>
    <t>Volante Motor</t>
  </si>
  <si>
    <t>Manguera corrugada</t>
  </si>
  <si>
    <t>Cable pasa corriente</t>
  </si>
  <si>
    <t>Baleros</t>
  </si>
  <si>
    <t>Torre alternador</t>
  </si>
  <si>
    <t>Delatsa</t>
  </si>
  <si>
    <t>Modificable</t>
  </si>
  <si>
    <t>Utilidad Deseada</t>
  </si>
  <si>
    <t>Precio día 1</t>
  </si>
  <si>
    <t>Precio día 2</t>
  </si>
  <si>
    <t>Vendidos día 1 Online</t>
  </si>
  <si>
    <t>Vendidos día 2 Sucursal</t>
  </si>
  <si>
    <t>Vendidos día 1 Sucursal</t>
  </si>
  <si>
    <t>Vendidos día 2 Online</t>
  </si>
  <si>
    <t>Precios bajos</t>
  </si>
  <si>
    <t>Nuestro precio con .99</t>
  </si>
  <si>
    <t>Aumento de precio Compe</t>
  </si>
  <si>
    <t>Diferencia compe vs nosotros</t>
  </si>
  <si>
    <t>Inventario 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</si>
</sst>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1"/>
      <color theme="1" tint="0.249977111117893"/>
      <name val="Aptos Narrow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" fontId="0" fillId="0" borderId="0" xfId="0" applyNumberFormat="1"/>
    <xf numFmtId="44" fontId="0" fillId="0" borderId="0" xfId="1" applyFont="1"/>
    <xf numFmtId="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right"/>
    </xf>
    <xf numFmtId="44" fontId="0" fillId="0" borderId="0" xfId="1" applyFont="1" applyAlignment="1">
      <alignment horizontal="right"/>
    </xf>
    <xf numFmtId="1" fontId="0" fillId="0" borderId="0" xfId="1" applyNumberFormat="1" applyFont="1" applyAlignment="1">
      <alignment horizontal="center"/>
    </xf>
    <xf numFmtId="44" fontId="0" fillId="2" borderId="0" xfId="1" applyFont="1" applyFill="1"/>
    <xf numFmtId="0" fontId="3" fillId="3" borderId="2" xfId="0" applyFont="1" applyFill="1" applyBorder="1"/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/>
    <xf numFmtId="0" fontId="3" fillId="3" borderId="1" xfId="0" applyFont="1" applyFill="1" applyBorder="1"/>
    <xf numFmtId="1" fontId="3" fillId="3" borderId="3" xfId="1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44" fontId="3" fillId="3" borderId="3" xfId="1" applyFont="1" applyFill="1" applyBorder="1" applyAlignment="1">
      <alignment horizontal="right"/>
    </xf>
    <xf numFmtId="1" fontId="3" fillId="3" borderId="1" xfId="1" applyNumberFormat="1" applyFont="1" applyFill="1" applyBorder="1" applyAlignment="1">
      <alignment horizontal="center"/>
    </xf>
    <xf numFmtId="44" fontId="3" fillId="3" borderId="1" xfId="1" applyFont="1" applyFill="1" applyBorder="1" applyAlignment="1">
      <alignment horizontal="right"/>
    </xf>
    <xf numFmtId="9" fontId="3" fillId="2" borderId="3" xfId="2" applyFont="1" applyFill="1" applyBorder="1"/>
    <xf numFmtId="0" fontId="3" fillId="2" borderId="3" xfId="0" applyFont="1" applyFill="1" applyBorder="1"/>
    <xf numFmtId="164" fontId="6" fillId="0" borderId="0" xfId="1" applyNumberFormat="1" applyFont="1" applyAlignment="1">
      <alignment vertical="center"/>
    </xf>
    <xf numFmtId="1" fontId="3" fillId="2" borderId="3" xfId="2" applyNumberFormat="1" applyFont="1" applyFill="1" applyBorder="1" applyAlignment="1">
      <alignment horizontal="center"/>
    </xf>
    <xf numFmtId="1" fontId="0" fillId="0" borderId="0" xfId="2" applyNumberFormat="1" applyFont="1" applyAlignment="1">
      <alignment horizontal="center"/>
    </xf>
    <xf numFmtId="164" fontId="3" fillId="3" borderId="1" xfId="1" applyNumberFormat="1" applyFont="1" applyFill="1" applyBorder="1" applyAlignment="1">
      <alignment horizontal="left"/>
    </xf>
    <xf numFmtId="9" fontId="0" fillId="2" borderId="0" xfId="2" applyFont="1" applyFill="1" applyAlignment="1">
      <alignment horizontal="center"/>
    </xf>
    <xf numFmtId="44" fontId="3" fillId="3" borderId="1" xfId="1" applyFont="1" applyFill="1" applyBorder="1" applyAlignment="1"/>
    <xf numFmtId="44" fontId="0" fillId="0" borderId="0" xfId="0" applyNumberFormat="1"/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4" fontId="3" fillId="2" borderId="8" xfId="1" applyFont="1" applyFill="1" applyBorder="1" applyAlignment="1">
      <alignment horizontal="center"/>
    </xf>
    <xf numFmtId="44" fontId="0" fillId="2" borderId="0" xfId="1" applyFont="1" applyFill="1" applyAlignment="1">
      <alignment horizontal="right"/>
    </xf>
    <xf numFmtId="10" fontId="0" fillId="0" borderId="0" xfId="2" applyNumberFormat="1" applyFont="1"/>
    <xf numFmtId="164" fontId="3" fillId="3" borderId="3" xfId="1" applyNumberFormat="1" applyFont="1" applyFill="1" applyBorder="1" applyAlignment="1">
      <alignment horizontal="left"/>
    </xf>
    <xf numFmtId="44" fontId="0" fillId="0" borderId="0" xfId="1" applyFont="1" applyFill="1" applyAlignment="1">
      <alignment horizontal="right"/>
    </xf>
    <xf numFmtId="10" fontId="3" fillId="2" borderId="3" xfId="2" applyNumberFormat="1" applyFont="1" applyFill="1" applyBorder="1"/>
    <xf numFmtId="10" fontId="0" fillId="2" borderId="0" xfId="2" applyNumberFormat="1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9" fontId="3" fillId="2" borderId="3" xfId="2" applyFont="1" applyFill="1" applyBorder="1" applyAlignment="1">
      <alignment horizontal="left"/>
    </xf>
    <xf numFmtId="1" fontId="3" fillId="2" borderId="3" xfId="2" applyNumberFormat="1" applyFont="1" applyFill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A5EB-E318-4CC4-A477-E8FD84675599}">
  <dimension ref="A1:P20"/>
  <sheetViews>
    <sheetView workbookViewId="0">
      <selection activeCell="I26" sqref="I26"/>
    </sheetView>
  </sheetViews>
  <sheetFormatPr defaultRowHeight="15"/>
  <cols>
    <col min="1" max="1" width="10.85546875" bestFit="1" customWidth="1"/>
    <col min="2" max="2" width="19.7109375" bestFit="1" customWidth="1"/>
    <col min="3" max="3" width="15.7109375" bestFit="1" customWidth="1"/>
    <col min="4" max="4" width="15.85546875" bestFit="1" customWidth="1"/>
    <col min="5" max="5" width="18" bestFit="1" customWidth="1"/>
    <col min="6" max="6" width="12" bestFit="1" customWidth="1"/>
    <col min="7" max="7" width="16.28515625" style="7" bestFit="1" customWidth="1"/>
    <col min="8" max="8" width="17.5703125" style="7" bestFit="1" customWidth="1"/>
  </cols>
  <sheetData>
    <row r="1" spans="1:16" ht="15.75" thickBot="1">
      <c r="A1" s="12" t="s">
        <v>12</v>
      </c>
      <c r="B1" s="12" t="s">
        <v>0</v>
      </c>
      <c r="C1" s="12" t="s">
        <v>5</v>
      </c>
      <c r="D1" s="15" t="s">
        <v>6</v>
      </c>
      <c r="E1" s="14" t="s">
        <v>7</v>
      </c>
      <c r="F1" s="14" t="s">
        <v>10</v>
      </c>
      <c r="G1" s="13" t="s">
        <v>8</v>
      </c>
      <c r="H1" s="13" t="s">
        <v>57</v>
      </c>
    </row>
    <row r="2" spans="1:16" ht="15.75" thickBot="1">
      <c r="A2" s="5">
        <v>123</v>
      </c>
      <c r="B2" t="s">
        <v>32</v>
      </c>
      <c r="C2" s="1">
        <v>400</v>
      </c>
      <c r="D2" s="1">
        <f>C2*$J$3</f>
        <v>20</v>
      </c>
      <c r="E2" s="2">
        <f>C2+D2</f>
        <v>420</v>
      </c>
      <c r="F2" s="29">
        <f>E2 * (1 + $J$8)</f>
        <v>525</v>
      </c>
      <c r="G2" s="5">
        <v>10000</v>
      </c>
      <c r="H2" s="5">
        <v>2250</v>
      </c>
      <c r="J2" s="41" t="s">
        <v>6</v>
      </c>
      <c r="K2" s="42"/>
      <c r="N2" s="1"/>
      <c r="P2" s="2"/>
    </row>
    <row r="3" spans="1:16">
      <c r="A3" s="5">
        <v>456</v>
      </c>
      <c r="B3" t="s">
        <v>25</v>
      </c>
      <c r="C3" s="1">
        <v>1900</v>
      </c>
      <c r="D3" s="1">
        <f t="shared" ref="D3:D20" si="0">C3*$J$3</f>
        <v>95</v>
      </c>
      <c r="E3" s="2">
        <f t="shared" ref="E3:E20" si="1">C3+D3</f>
        <v>1995</v>
      </c>
      <c r="F3" s="29">
        <f t="shared" ref="F3:F20" si="2">E3 * (1 + $J$8)</f>
        <v>2493.75</v>
      </c>
      <c r="G3" s="5">
        <v>15000</v>
      </c>
      <c r="H3" s="5">
        <v>2250</v>
      </c>
      <c r="J3" s="43">
        <v>0.05</v>
      </c>
      <c r="K3" s="44"/>
    </row>
    <row r="4" spans="1:16" ht="15.75" thickBot="1">
      <c r="A4" s="5">
        <v>789</v>
      </c>
      <c r="B4" t="s">
        <v>26</v>
      </c>
      <c r="C4" s="1">
        <v>1100</v>
      </c>
      <c r="D4" s="1">
        <f t="shared" si="0"/>
        <v>55</v>
      </c>
      <c r="E4" s="2">
        <f t="shared" si="1"/>
        <v>1155</v>
      </c>
      <c r="F4" s="29">
        <f t="shared" si="2"/>
        <v>1443.75</v>
      </c>
      <c r="G4" s="5">
        <v>8000</v>
      </c>
      <c r="H4" s="5">
        <v>2250</v>
      </c>
      <c r="J4" s="45"/>
      <c r="K4" s="46"/>
    </row>
    <row r="5" spans="1:16" ht="15.75" thickBot="1">
      <c r="A5" s="5">
        <v>321</v>
      </c>
      <c r="B5" t="s">
        <v>27</v>
      </c>
      <c r="C5" s="1">
        <v>150</v>
      </c>
      <c r="D5" s="1">
        <f t="shared" si="0"/>
        <v>7.5</v>
      </c>
      <c r="E5" s="2">
        <f t="shared" si="1"/>
        <v>157.5</v>
      </c>
      <c r="F5" s="29">
        <f t="shared" si="2"/>
        <v>196.875</v>
      </c>
      <c r="G5" s="5">
        <v>30000</v>
      </c>
      <c r="H5" s="5">
        <v>2250</v>
      </c>
      <c r="J5" s="39" t="s">
        <v>45</v>
      </c>
      <c r="K5" s="40"/>
    </row>
    <row r="6" spans="1:16" ht="15.75" thickBot="1">
      <c r="A6" s="5">
        <v>654</v>
      </c>
      <c r="B6" t="s">
        <v>28</v>
      </c>
      <c r="C6" s="1">
        <v>170</v>
      </c>
      <c r="D6" s="1">
        <f t="shared" si="0"/>
        <v>8.5</v>
      </c>
      <c r="E6" s="2">
        <f t="shared" si="1"/>
        <v>178.5</v>
      </c>
      <c r="F6" s="29">
        <f t="shared" si="2"/>
        <v>223.125</v>
      </c>
      <c r="G6" s="7">
        <v>25000</v>
      </c>
      <c r="H6" s="5">
        <v>2250</v>
      </c>
    </row>
    <row r="7" spans="1:16" ht="15.75" thickBot="1">
      <c r="A7" s="5">
        <v>987</v>
      </c>
      <c r="B7" t="s">
        <v>29</v>
      </c>
      <c r="C7" s="1">
        <v>2500</v>
      </c>
      <c r="D7" s="1">
        <f t="shared" si="0"/>
        <v>125</v>
      </c>
      <c r="E7" s="2">
        <f t="shared" si="1"/>
        <v>2625</v>
      </c>
      <c r="F7" s="29">
        <f t="shared" si="2"/>
        <v>3281.25</v>
      </c>
      <c r="G7" s="7">
        <v>25</v>
      </c>
      <c r="H7" s="5">
        <v>2250</v>
      </c>
      <c r="J7" s="41" t="s">
        <v>46</v>
      </c>
      <c r="K7" s="42"/>
    </row>
    <row r="8" spans="1:16">
      <c r="A8" s="5">
        <v>741</v>
      </c>
      <c r="B8" t="s">
        <v>34</v>
      </c>
      <c r="C8" s="1">
        <v>155</v>
      </c>
      <c r="D8" s="1">
        <f t="shared" si="0"/>
        <v>7.75</v>
      </c>
      <c r="E8" s="2">
        <f t="shared" si="1"/>
        <v>162.75</v>
      </c>
      <c r="F8" s="29">
        <f t="shared" si="2"/>
        <v>203.4375</v>
      </c>
      <c r="G8" s="7">
        <v>4700</v>
      </c>
      <c r="H8" s="5">
        <v>2250</v>
      </c>
      <c r="J8" s="43">
        <v>0.25</v>
      </c>
      <c r="K8" s="44"/>
    </row>
    <row r="9" spans="1:16" ht="15.75" thickBot="1">
      <c r="A9" s="5">
        <v>852</v>
      </c>
      <c r="B9" t="s">
        <v>30</v>
      </c>
      <c r="C9" s="1">
        <v>190</v>
      </c>
      <c r="D9" s="1">
        <f t="shared" si="0"/>
        <v>9.5</v>
      </c>
      <c r="E9" s="2">
        <f t="shared" si="1"/>
        <v>199.5</v>
      </c>
      <c r="F9" s="29">
        <f t="shared" si="2"/>
        <v>249.375</v>
      </c>
      <c r="G9" s="7">
        <v>15000</v>
      </c>
      <c r="H9" s="5">
        <v>2250</v>
      </c>
      <c r="J9" s="45"/>
      <c r="K9" s="46"/>
    </row>
    <row r="10" spans="1:16" ht="15.75" thickBot="1">
      <c r="A10" s="5">
        <v>963</v>
      </c>
      <c r="B10" t="s">
        <v>31</v>
      </c>
      <c r="C10" s="1">
        <v>250</v>
      </c>
      <c r="D10" s="1">
        <f t="shared" si="0"/>
        <v>12.5</v>
      </c>
      <c r="E10" s="2">
        <f t="shared" si="1"/>
        <v>262.5</v>
      </c>
      <c r="F10" s="29">
        <f t="shared" si="2"/>
        <v>328.125</v>
      </c>
      <c r="G10" s="7">
        <v>999</v>
      </c>
      <c r="H10" s="5">
        <v>2250</v>
      </c>
      <c r="J10" s="39" t="s">
        <v>45</v>
      </c>
      <c r="K10" s="40"/>
    </row>
    <row r="11" spans="1:16">
      <c r="A11" s="5">
        <v>357</v>
      </c>
      <c r="B11" t="s">
        <v>33</v>
      </c>
      <c r="C11" s="1">
        <v>199</v>
      </c>
      <c r="D11" s="1">
        <f t="shared" si="0"/>
        <v>9.9500000000000011</v>
      </c>
      <c r="E11" s="2">
        <f t="shared" si="1"/>
        <v>208.95</v>
      </c>
      <c r="F11" s="29">
        <f t="shared" si="2"/>
        <v>261.1875</v>
      </c>
      <c r="G11" s="5">
        <v>5379</v>
      </c>
      <c r="H11" s="5">
        <v>2250</v>
      </c>
    </row>
    <row r="12" spans="1:16">
      <c r="A12" s="5">
        <v>159</v>
      </c>
      <c r="B12" t="s">
        <v>35</v>
      </c>
      <c r="C12" s="1">
        <v>40</v>
      </c>
      <c r="D12" s="1">
        <f t="shared" si="0"/>
        <v>2</v>
      </c>
      <c r="E12" s="2">
        <f t="shared" si="1"/>
        <v>42</v>
      </c>
      <c r="F12" s="29">
        <f t="shared" si="2"/>
        <v>52.5</v>
      </c>
      <c r="G12" s="5">
        <v>4561</v>
      </c>
      <c r="H12" s="5">
        <v>2250</v>
      </c>
    </row>
    <row r="13" spans="1:16">
      <c r="A13" s="5">
        <v>486</v>
      </c>
      <c r="B13" t="s">
        <v>40</v>
      </c>
      <c r="C13" s="1">
        <v>15</v>
      </c>
      <c r="D13" s="1">
        <f t="shared" si="0"/>
        <v>0.75</v>
      </c>
      <c r="E13" s="2">
        <f t="shared" si="1"/>
        <v>15.75</v>
      </c>
      <c r="F13" s="29">
        <f t="shared" si="2"/>
        <v>19.6875</v>
      </c>
      <c r="G13" s="5">
        <v>3743</v>
      </c>
      <c r="H13" s="5">
        <v>2250</v>
      </c>
    </row>
    <row r="14" spans="1:16">
      <c r="A14" s="5">
        <v>624</v>
      </c>
      <c r="B14" t="s">
        <v>41</v>
      </c>
      <c r="C14" s="1">
        <v>123</v>
      </c>
      <c r="D14" s="1">
        <f t="shared" si="0"/>
        <v>6.15</v>
      </c>
      <c r="E14" s="2">
        <f t="shared" si="1"/>
        <v>129.15</v>
      </c>
      <c r="F14" s="29">
        <f t="shared" si="2"/>
        <v>161.4375</v>
      </c>
      <c r="G14" s="5">
        <v>2925</v>
      </c>
      <c r="H14" s="5">
        <v>2250</v>
      </c>
    </row>
    <row r="15" spans="1:16">
      <c r="A15" s="5">
        <v>684</v>
      </c>
      <c r="B15" t="s">
        <v>36</v>
      </c>
      <c r="C15" s="1">
        <v>1300</v>
      </c>
      <c r="D15" s="1">
        <f t="shared" si="0"/>
        <v>65</v>
      </c>
      <c r="E15" s="2">
        <f t="shared" si="1"/>
        <v>1365</v>
      </c>
      <c r="F15" s="29">
        <f t="shared" si="2"/>
        <v>1706.25</v>
      </c>
      <c r="G15" s="7">
        <v>2100</v>
      </c>
      <c r="H15" s="5">
        <v>2250</v>
      </c>
    </row>
    <row r="16" spans="1:16">
      <c r="A16" s="5">
        <v>426</v>
      </c>
      <c r="B16" t="s">
        <v>37</v>
      </c>
      <c r="C16" s="1">
        <v>800</v>
      </c>
      <c r="D16" s="1">
        <f t="shared" si="0"/>
        <v>40</v>
      </c>
      <c r="E16" s="2">
        <f t="shared" si="1"/>
        <v>840</v>
      </c>
      <c r="F16" s="29">
        <f t="shared" si="2"/>
        <v>1050</v>
      </c>
      <c r="G16" s="7">
        <v>12000</v>
      </c>
      <c r="H16" s="5">
        <v>2250</v>
      </c>
    </row>
    <row r="17" spans="1:8">
      <c r="A17" s="5">
        <v>597</v>
      </c>
      <c r="B17" t="s">
        <v>38</v>
      </c>
      <c r="C17" s="1">
        <v>300</v>
      </c>
      <c r="D17" s="1">
        <f t="shared" si="0"/>
        <v>15</v>
      </c>
      <c r="E17" s="2">
        <f t="shared" si="1"/>
        <v>315</v>
      </c>
      <c r="F17" s="29">
        <f t="shared" si="2"/>
        <v>393.75</v>
      </c>
      <c r="G17" s="7">
        <v>4700</v>
      </c>
      <c r="H17" s="5">
        <v>2250</v>
      </c>
    </row>
    <row r="18" spans="1:8">
      <c r="A18" s="5">
        <v>600</v>
      </c>
      <c r="B18" t="s">
        <v>42</v>
      </c>
      <c r="C18" s="1">
        <v>300</v>
      </c>
      <c r="D18" s="1">
        <f t="shared" si="0"/>
        <v>15</v>
      </c>
      <c r="E18" s="2">
        <f t="shared" si="1"/>
        <v>315</v>
      </c>
      <c r="F18" s="29">
        <f t="shared" si="2"/>
        <v>393.75</v>
      </c>
      <c r="G18" s="7">
        <v>8000</v>
      </c>
      <c r="H18" s="5">
        <v>2250</v>
      </c>
    </row>
    <row r="19" spans="1:8">
      <c r="A19" s="5">
        <v>951</v>
      </c>
      <c r="B19" t="s">
        <v>43</v>
      </c>
      <c r="C19" s="1">
        <v>360</v>
      </c>
      <c r="D19" s="1">
        <f t="shared" si="0"/>
        <v>18</v>
      </c>
      <c r="E19" s="2">
        <f t="shared" si="1"/>
        <v>378</v>
      </c>
      <c r="F19" s="29">
        <f t="shared" si="2"/>
        <v>472.5</v>
      </c>
      <c r="G19" s="7">
        <v>500</v>
      </c>
      <c r="H19" s="5">
        <v>2250</v>
      </c>
    </row>
    <row r="20" spans="1:8">
      <c r="A20" s="5">
        <v>753</v>
      </c>
      <c r="B20" t="s">
        <v>39</v>
      </c>
      <c r="C20" s="1">
        <v>308</v>
      </c>
      <c r="D20" s="1">
        <f t="shared" si="0"/>
        <v>15.4</v>
      </c>
      <c r="E20" s="2">
        <f t="shared" si="1"/>
        <v>323.39999999999998</v>
      </c>
      <c r="F20" s="29">
        <f t="shared" si="2"/>
        <v>404.25</v>
      </c>
      <c r="G20" s="5">
        <v>33</v>
      </c>
      <c r="H20" s="5">
        <v>2250</v>
      </c>
    </row>
  </sheetData>
  <mergeCells count="6">
    <mergeCell ref="J10:K10"/>
    <mergeCell ref="J2:K2"/>
    <mergeCell ref="J3:K4"/>
    <mergeCell ref="J5:K5"/>
    <mergeCell ref="J7:K7"/>
    <mergeCell ref="J8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CC4F4-B515-4CDD-AE3B-C8D819C50D49}">
  <dimension ref="A1:H20"/>
  <sheetViews>
    <sheetView workbookViewId="0">
      <selection sqref="A1:H20"/>
    </sheetView>
  </sheetViews>
  <sheetFormatPr defaultRowHeight="15"/>
  <cols>
    <col min="1" max="1" width="10.85546875" bestFit="1" customWidth="1"/>
    <col min="2" max="2" width="19.7109375" bestFit="1" customWidth="1"/>
    <col min="3" max="3" width="9.7109375" bestFit="1" customWidth="1"/>
    <col min="4" max="4" width="16" style="29" bestFit="1" customWidth="1"/>
    <col min="5" max="5" width="20.7109375" style="10" bestFit="1" customWidth="1"/>
    <col min="6" max="6" width="22.5703125" style="10" bestFit="1" customWidth="1"/>
    <col min="7" max="7" width="20.7109375" style="3" bestFit="1" customWidth="1"/>
    <col min="8" max="8" width="22.5703125" style="3" bestFit="1" customWidth="1"/>
  </cols>
  <sheetData>
    <row r="1" spans="1:8" ht="15.75" thickBot="1">
      <c r="A1" s="12" t="s">
        <v>12</v>
      </c>
      <c r="B1" s="12" t="s">
        <v>0</v>
      </c>
      <c r="C1" s="12" t="s">
        <v>2</v>
      </c>
      <c r="D1" s="28" t="s">
        <v>21</v>
      </c>
      <c r="E1" s="19" t="s">
        <v>49</v>
      </c>
      <c r="F1" s="16" t="s">
        <v>51</v>
      </c>
      <c r="G1" s="19" t="s">
        <v>52</v>
      </c>
      <c r="H1" s="16" t="s">
        <v>50</v>
      </c>
    </row>
    <row r="2" spans="1:8">
      <c r="A2" s="5">
        <v>123</v>
      </c>
      <c r="B2" t="s">
        <v>32</v>
      </c>
      <c r="C2" t="s">
        <v>44</v>
      </c>
      <c r="D2" s="4">
        <f>_xlfn.XLOOKUP(A2,Costos_Inventario!A:A,Costos_Inventario!F:F,0,0)</f>
        <v>525</v>
      </c>
      <c r="E2" s="10">
        <v>721</v>
      </c>
      <c r="F2" s="10">
        <v>1452</v>
      </c>
      <c r="G2" s="10">
        <v>500</v>
      </c>
      <c r="H2" s="10">
        <v>1000</v>
      </c>
    </row>
    <row r="3" spans="1:8">
      <c r="A3" s="5">
        <v>456</v>
      </c>
      <c r="B3" t="s">
        <v>25</v>
      </c>
      <c r="C3" t="s">
        <v>44</v>
      </c>
      <c r="D3" s="4">
        <f>_xlfn.XLOOKUP(A3,Costos_Inventario!A:A,Costos_Inventario!F:F,0,0)</f>
        <v>2493.75</v>
      </c>
      <c r="E3" s="10">
        <v>597</v>
      </c>
      <c r="F3" s="10">
        <v>907</v>
      </c>
      <c r="G3" s="10">
        <v>400</v>
      </c>
      <c r="H3" s="10">
        <v>170</v>
      </c>
    </row>
    <row r="4" spans="1:8">
      <c r="A4" s="5">
        <v>789</v>
      </c>
      <c r="B4" t="s">
        <v>26</v>
      </c>
      <c r="C4" t="s">
        <v>44</v>
      </c>
      <c r="D4" s="4">
        <f>_xlfn.XLOOKUP(A4,Costos_Inventario!A:A,Costos_Inventario!F:F,0,0)</f>
        <v>1443.75</v>
      </c>
      <c r="E4" s="10">
        <v>937</v>
      </c>
      <c r="F4" s="10">
        <v>1446</v>
      </c>
      <c r="G4" s="10">
        <v>340</v>
      </c>
      <c r="H4" s="10">
        <v>900</v>
      </c>
    </row>
    <row r="5" spans="1:8">
      <c r="A5" s="5">
        <v>321</v>
      </c>
      <c r="B5" t="s">
        <v>27</v>
      </c>
      <c r="C5" t="s">
        <v>44</v>
      </c>
      <c r="D5" s="4">
        <f>_xlfn.XLOOKUP(A5,Costos_Inventario!A:A,Costos_Inventario!F:F,0,0)</f>
        <v>196.875</v>
      </c>
      <c r="E5" s="10">
        <v>817</v>
      </c>
      <c r="F5" s="10">
        <v>944</v>
      </c>
      <c r="G5" s="10">
        <v>600</v>
      </c>
      <c r="H5" s="10">
        <v>150</v>
      </c>
    </row>
    <row r="6" spans="1:8">
      <c r="A6" s="5">
        <v>654</v>
      </c>
      <c r="B6" t="s">
        <v>28</v>
      </c>
      <c r="C6" t="s">
        <v>44</v>
      </c>
      <c r="D6" s="4">
        <f>_xlfn.XLOOKUP(A6,Costos_Inventario!A:A,Costos_Inventario!F:F,0,0)</f>
        <v>223.125</v>
      </c>
      <c r="E6" s="10">
        <v>619</v>
      </c>
      <c r="F6" s="10">
        <v>981</v>
      </c>
      <c r="G6" s="10">
        <v>70</v>
      </c>
      <c r="H6" s="10">
        <v>450</v>
      </c>
    </row>
    <row r="7" spans="1:8">
      <c r="A7" s="5">
        <v>987</v>
      </c>
      <c r="B7" t="s">
        <v>29</v>
      </c>
      <c r="C7" t="s">
        <v>44</v>
      </c>
      <c r="D7" s="4">
        <f>_xlfn.XLOOKUP(A7,Costos_Inventario!A:A,Costos_Inventario!F:F,0,0)</f>
        <v>3281.25</v>
      </c>
      <c r="E7" s="10">
        <v>614</v>
      </c>
      <c r="F7" s="10">
        <v>1366</v>
      </c>
      <c r="G7" s="10">
        <v>10000</v>
      </c>
      <c r="H7" s="10">
        <v>500</v>
      </c>
    </row>
    <row r="8" spans="1:8">
      <c r="A8" s="5">
        <v>741</v>
      </c>
      <c r="B8" t="s">
        <v>34</v>
      </c>
      <c r="C8" t="s">
        <v>44</v>
      </c>
      <c r="D8" s="4">
        <f>_xlfn.XLOOKUP(A8,Costos_Inventario!A:A,Costos_Inventario!F:F,0,0)</f>
        <v>203.4375</v>
      </c>
      <c r="E8" s="10">
        <v>511</v>
      </c>
      <c r="F8" s="10">
        <v>1135</v>
      </c>
      <c r="G8" s="10">
        <v>50</v>
      </c>
      <c r="H8" s="10">
        <v>2500</v>
      </c>
    </row>
    <row r="9" spans="1:8">
      <c r="A9" s="5">
        <v>852</v>
      </c>
      <c r="B9" t="s">
        <v>30</v>
      </c>
      <c r="C9" t="s">
        <v>44</v>
      </c>
      <c r="D9" s="4">
        <f>_xlfn.XLOOKUP(A9,Costos_Inventario!A:A,Costos_Inventario!F:F,0,0)</f>
        <v>249.375</v>
      </c>
      <c r="E9" s="10">
        <v>752</v>
      </c>
      <c r="F9" s="10">
        <v>1246</v>
      </c>
      <c r="G9" s="10">
        <v>100</v>
      </c>
      <c r="H9" s="10">
        <v>100</v>
      </c>
    </row>
    <row r="10" spans="1:8">
      <c r="A10" s="5">
        <v>963</v>
      </c>
      <c r="B10" t="s">
        <v>31</v>
      </c>
      <c r="C10" t="s">
        <v>44</v>
      </c>
      <c r="D10" s="4">
        <f>_xlfn.XLOOKUP(A10,Costos_Inventario!A:A,Costos_Inventario!F:F,0,0)</f>
        <v>328.125</v>
      </c>
      <c r="E10" s="10">
        <v>674</v>
      </c>
      <c r="F10" s="10">
        <v>1149</v>
      </c>
      <c r="G10" s="10">
        <v>3400</v>
      </c>
      <c r="H10" s="10">
        <v>2300</v>
      </c>
    </row>
    <row r="11" spans="1:8">
      <c r="A11" s="5">
        <v>357</v>
      </c>
      <c r="B11" t="s">
        <v>33</v>
      </c>
      <c r="C11" t="s">
        <v>44</v>
      </c>
      <c r="D11" s="4">
        <f>_xlfn.XLOOKUP(A11,Costos_Inventario!A:A,Costos_Inventario!F:F,0,0)</f>
        <v>261.1875</v>
      </c>
      <c r="E11" s="10">
        <v>888</v>
      </c>
      <c r="F11" s="10">
        <v>975</v>
      </c>
      <c r="G11" s="10">
        <v>3344.4444444444398</v>
      </c>
      <c r="H11" s="10">
        <v>1608.3333333333301</v>
      </c>
    </row>
    <row r="12" spans="1:8">
      <c r="A12" s="5">
        <v>159</v>
      </c>
      <c r="B12" t="s">
        <v>35</v>
      </c>
      <c r="C12" t="s">
        <v>44</v>
      </c>
      <c r="D12" s="4">
        <f>_xlfn.XLOOKUP(A12,Costos_Inventario!A:A,Costos_Inventario!F:F,0,0)</f>
        <v>52.5</v>
      </c>
      <c r="E12" s="10">
        <v>987</v>
      </c>
      <c r="F12" s="10">
        <v>1322</v>
      </c>
      <c r="G12" s="10">
        <v>200</v>
      </c>
      <c r="H12" s="10">
        <v>1750.6666666666599</v>
      </c>
    </row>
    <row r="13" spans="1:8">
      <c r="A13" s="5">
        <v>486</v>
      </c>
      <c r="B13" t="s">
        <v>40</v>
      </c>
      <c r="C13" t="s">
        <v>44</v>
      </c>
      <c r="D13" s="4">
        <f>_xlfn.XLOOKUP(A13,Costos_Inventario!A:A,Costos_Inventario!F:F,0,0)</f>
        <v>19.6875</v>
      </c>
      <c r="E13" s="10">
        <v>572</v>
      </c>
      <c r="F13" s="10">
        <v>1288</v>
      </c>
      <c r="G13" s="10">
        <v>3995.1111111111099</v>
      </c>
      <c r="H13" s="10">
        <v>1893</v>
      </c>
    </row>
    <row r="14" spans="1:8">
      <c r="A14" s="5">
        <v>624</v>
      </c>
      <c r="B14" t="s">
        <v>41</v>
      </c>
      <c r="C14" t="s">
        <v>44</v>
      </c>
      <c r="D14" s="4">
        <f>_xlfn.XLOOKUP(A14,Costos_Inventario!A:A,Costos_Inventario!F:F,0,0)</f>
        <v>161.4375</v>
      </c>
      <c r="E14" s="10">
        <v>807</v>
      </c>
      <c r="F14" s="10">
        <v>930</v>
      </c>
      <c r="G14" s="10">
        <v>4320.4444444444498</v>
      </c>
      <c r="H14" s="10">
        <v>2035.3333333333301</v>
      </c>
    </row>
    <row r="15" spans="1:8">
      <c r="A15" s="5">
        <v>684</v>
      </c>
      <c r="B15" t="s">
        <v>36</v>
      </c>
      <c r="C15" t="s">
        <v>44</v>
      </c>
      <c r="D15" s="4">
        <f>_xlfn.XLOOKUP(A15,Costos_Inventario!A:A,Costos_Inventario!F:F,0,0)</f>
        <v>1706.25</v>
      </c>
      <c r="E15" s="10">
        <v>919</v>
      </c>
      <c r="F15" s="10">
        <v>1366</v>
      </c>
      <c r="G15" s="10">
        <v>4645.7777777777801</v>
      </c>
      <c r="H15" s="10">
        <v>2177.6666666666601</v>
      </c>
    </row>
    <row r="16" spans="1:8">
      <c r="A16" s="5">
        <v>426</v>
      </c>
      <c r="B16" t="s">
        <v>37</v>
      </c>
      <c r="C16" t="s">
        <v>44</v>
      </c>
      <c r="D16" s="4">
        <f>_xlfn.XLOOKUP(A16,Costos_Inventario!A:A,Costos_Inventario!F:F,0,0)</f>
        <v>1050</v>
      </c>
      <c r="E16" s="10">
        <v>631</v>
      </c>
      <c r="F16" s="10">
        <v>1491</v>
      </c>
      <c r="G16" s="10">
        <v>4971.1111111111104</v>
      </c>
      <c r="H16" s="10">
        <v>2320</v>
      </c>
    </row>
    <row r="17" spans="1:8">
      <c r="A17" s="5">
        <v>597</v>
      </c>
      <c r="B17" t="s">
        <v>38</v>
      </c>
      <c r="C17" t="s">
        <v>44</v>
      </c>
      <c r="D17" s="4">
        <f>_xlfn.XLOOKUP(A17,Costos_Inventario!A:A,Costos_Inventario!F:F,0,0)</f>
        <v>393.75</v>
      </c>
      <c r="E17" s="10">
        <v>517</v>
      </c>
      <c r="F17" s="10">
        <v>986</v>
      </c>
      <c r="G17" s="10">
        <v>2000</v>
      </c>
      <c r="H17" s="10">
        <v>2462.3333333333298</v>
      </c>
    </row>
    <row r="18" spans="1:8">
      <c r="A18" s="5">
        <v>600</v>
      </c>
      <c r="B18" t="s">
        <v>42</v>
      </c>
      <c r="C18" t="s">
        <v>44</v>
      </c>
      <c r="D18" s="4">
        <f>_xlfn.XLOOKUP(A18,Costos_Inventario!A:A,Costos_Inventario!F:F,0,0)</f>
        <v>393.75</v>
      </c>
      <c r="E18" s="10">
        <v>667</v>
      </c>
      <c r="F18" s="10">
        <v>1343</v>
      </c>
      <c r="G18" s="10">
        <v>5621.7777777777801</v>
      </c>
      <c r="H18" s="10">
        <v>2604.6666666666601</v>
      </c>
    </row>
    <row r="19" spans="1:8">
      <c r="A19" s="5">
        <v>951</v>
      </c>
      <c r="B19" t="s">
        <v>43</v>
      </c>
      <c r="C19" t="s">
        <v>44</v>
      </c>
      <c r="D19" s="4">
        <f>_xlfn.XLOOKUP(A19,Costos_Inventario!A:A,Costos_Inventario!F:F,0,0)</f>
        <v>472.5</v>
      </c>
      <c r="E19" s="10">
        <v>705</v>
      </c>
      <c r="F19" s="10">
        <v>1187</v>
      </c>
      <c r="G19" s="10">
        <v>5947.1111111111004</v>
      </c>
      <c r="H19" s="10">
        <v>2747</v>
      </c>
    </row>
    <row r="20" spans="1:8">
      <c r="A20" s="5">
        <v>753</v>
      </c>
      <c r="B20" t="s">
        <v>39</v>
      </c>
      <c r="C20" t="s">
        <v>44</v>
      </c>
      <c r="D20" s="4">
        <f>_xlfn.XLOOKUP(A20,Costos_Inventario!A:A,Costos_Inventario!F:F,0,0)</f>
        <v>404.25</v>
      </c>
      <c r="E20" s="10">
        <v>10</v>
      </c>
      <c r="F20" s="10">
        <v>10</v>
      </c>
      <c r="G20" s="10">
        <v>6272.4444444444398</v>
      </c>
      <c r="H20" s="10">
        <v>2889.3333333333298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AA9A3-95A4-4CD8-8D47-EB1934A2ADEB}">
  <dimension ref="A1:E20"/>
  <sheetViews>
    <sheetView workbookViewId="0">
      <selection sqref="A1:E20"/>
    </sheetView>
  </sheetViews>
  <sheetFormatPr defaultRowHeight="15"/>
  <cols>
    <col min="1" max="1" width="10.85546875" style="5" bestFit="1" customWidth="1"/>
    <col min="2" max="2" width="19.7109375" bestFit="1" customWidth="1"/>
    <col min="3" max="3" width="9.7109375" bestFit="1" customWidth="1"/>
    <col min="4" max="5" width="12.7109375" style="8" bestFit="1" customWidth="1"/>
  </cols>
  <sheetData>
    <row r="1" spans="1:5" ht="15.75" thickBot="1">
      <c r="A1" s="12" t="s">
        <v>12</v>
      </c>
      <c r="B1" s="12" t="s">
        <v>0</v>
      </c>
      <c r="C1" s="12" t="s">
        <v>2</v>
      </c>
      <c r="D1" s="20" t="s">
        <v>47</v>
      </c>
      <c r="E1" s="20" t="s">
        <v>48</v>
      </c>
    </row>
    <row r="2" spans="1:5">
      <c r="A2" s="5">
        <v>123</v>
      </c>
      <c r="B2" t="s">
        <v>32</v>
      </c>
      <c r="C2" t="s">
        <v>9</v>
      </c>
      <c r="D2" s="8">
        <v>560</v>
      </c>
      <c r="E2" s="8">
        <v>560</v>
      </c>
    </row>
    <row r="3" spans="1:5">
      <c r="A3" s="5">
        <v>456</v>
      </c>
      <c r="B3" t="s">
        <v>25</v>
      </c>
      <c r="C3" t="s">
        <v>3</v>
      </c>
      <c r="D3" s="8">
        <v>1881</v>
      </c>
      <c r="E3" s="8">
        <v>1882</v>
      </c>
    </row>
    <row r="4" spans="1:5">
      <c r="A4" s="5">
        <v>789</v>
      </c>
      <c r="B4" t="s">
        <v>26</v>
      </c>
      <c r="C4" t="s">
        <v>4</v>
      </c>
      <c r="D4" s="8">
        <v>1296</v>
      </c>
      <c r="E4" s="8">
        <v>1500</v>
      </c>
    </row>
    <row r="5" spans="1:5">
      <c r="A5" s="5">
        <v>321</v>
      </c>
      <c r="B5" t="s">
        <v>27</v>
      </c>
      <c r="C5" t="s">
        <v>11</v>
      </c>
      <c r="D5" s="8">
        <v>313</v>
      </c>
      <c r="E5" s="8">
        <v>400</v>
      </c>
    </row>
    <row r="6" spans="1:5">
      <c r="A6" s="5">
        <v>654</v>
      </c>
      <c r="B6" t="s">
        <v>28</v>
      </c>
      <c r="C6" t="s">
        <v>9</v>
      </c>
      <c r="D6" s="8">
        <v>150</v>
      </c>
      <c r="E6" s="8">
        <v>200</v>
      </c>
    </row>
    <row r="7" spans="1:5">
      <c r="A7" s="5">
        <v>987</v>
      </c>
      <c r="B7" t="s">
        <v>29</v>
      </c>
      <c r="C7" t="s">
        <v>3</v>
      </c>
      <c r="D7" s="8">
        <v>1950</v>
      </c>
      <c r="E7" s="8">
        <v>2000</v>
      </c>
    </row>
    <row r="8" spans="1:5">
      <c r="A8" s="5">
        <v>741</v>
      </c>
      <c r="B8" t="s">
        <v>34</v>
      </c>
      <c r="C8" t="s">
        <v>4</v>
      </c>
      <c r="D8" s="8">
        <v>700</v>
      </c>
      <c r="E8" s="8">
        <v>700</v>
      </c>
    </row>
    <row r="9" spans="1:5">
      <c r="A9" s="5">
        <v>852</v>
      </c>
      <c r="B9" t="s">
        <v>30</v>
      </c>
      <c r="C9" t="s">
        <v>11</v>
      </c>
      <c r="D9" s="8">
        <v>600</v>
      </c>
      <c r="E9" s="8">
        <v>600</v>
      </c>
    </row>
    <row r="10" spans="1:5">
      <c r="A10" s="5">
        <v>963</v>
      </c>
      <c r="B10" t="s">
        <v>31</v>
      </c>
      <c r="C10" t="s">
        <v>9</v>
      </c>
      <c r="D10" s="8">
        <v>525</v>
      </c>
      <c r="E10" s="8">
        <v>525</v>
      </c>
    </row>
    <row r="11" spans="1:5">
      <c r="A11" s="5">
        <v>357</v>
      </c>
      <c r="B11" t="s">
        <v>33</v>
      </c>
      <c r="C11" t="s">
        <v>3</v>
      </c>
      <c r="D11" s="8">
        <v>3080</v>
      </c>
      <c r="E11" s="8">
        <v>3500</v>
      </c>
    </row>
    <row r="12" spans="1:5">
      <c r="A12" s="5">
        <v>159</v>
      </c>
      <c r="B12" t="s">
        <v>35</v>
      </c>
      <c r="C12" t="s">
        <v>4</v>
      </c>
      <c r="D12" s="8">
        <v>38</v>
      </c>
      <c r="E12" s="8">
        <v>50</v>
      </c>
    </row>
    <row r="13" spans="1:5">
      <c r="A13" s="5">
        <v>486</v>
      </c>
      <c r="B13" t="s">
        <v>40</v>
      </c>
      <c r="C13" t="s">
        <v>11</v>
      </c>
      <c r="D13" s="8">
        <v>39</v>
      </c>
      <c r="E13" s="8">
        <v>39</v>
      </c>
    </row>
    <row r="14" spans="1:5">
      <c r="A14" s="5">
        <v>624</v>
      </c>
      <c r="B14" t="s">
        <v>41</v>
      </c>
      <c r="C14" t="s">
        <v>9</v>
      </c>
      <c r="D14" s="8">
        <v>150</v>
      </c>
      <c r="E14" s="8">
        <v>200</v>
      </c>
    </row>
    <row r="15" spans="1:5">
      <c r="A15" s="5">
        <v>684</v>
      </c>
      <c r="B15" t="s">
        <v>36</v>
      </c>
      <c r="C15" t="s">
        <v>3</v>
      </c>
      <c r="D15" s="8">
        <v>2000</v>
      </c>
      <c r="E15" s="8">
        <v>2000</v>
      </c>
    </row>
    <row r="16" spans="1:5">
      <c r="A16" s="5">
        <v>426</v>
      </c>
      <c r="B16" t="s">
        <v>37</v>
      </c>
      <c r="C16" t="s">
        <v>4</v>
      </c>
      <c r="D16" s="8">
        <v>2000</v>
      </c>
      <c r="E16" s="8">
        <v>2000</v>
      </c>
    </row>
    <row r="17" spans="1:5">
      <c r="A17" s="5">
        <v>597</v>
      </c>
      <c r="B17" t="s">
        <v>38</v>
      </c>
      <c r="C17" t="s">
        <v>11</v>
      </c>
      <c r="D17" s="8">
        <v>307</v>
      </c>
      <c r="E17" s="8">
        <v>500</v>
      </c>
    </row>
    <row r="18" spans="1:5">
      <c r="A18" s="5">
        <v>600</v>
      </c>
      <c r="B18" t="s">
        <v>42</v>
      </c>
      <c r="C18" t="s">
        <v>9</v>
      </c>
      <c r="D18" s="8">
        <v>469</v>
      </c>
      <c r="E18" s="8">
        <v>469</v>
      </c>
    </row>
    <row r="19" spans="1:5">
      <c r="A19" s="5">
        <v>951</v>
      </c>
      <c r="B19" t="s">
        <v>43</v>
      </c>
      <c r="C19" t="s">
        <v>3</v>
      </c>
      <c r="D19" s="8">
        <v>80</v>
      </c>
      <c r="E19" s="8">
        <v>350</v>
      </c>
    </row>
    <row r="20" spans="1:5">
      <c r="A20" s="5">
        <v>753</v>
      </c>
      <c r="B20" t="s">
        <v>39</v>
      </c>
      <c r="C20" t="s">
        <v>4</v>
      </c>
      <c r="D20" s="8">
        <v>380</v>
      </c>
      <c r="E20" s="8">
        <v>380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4300E-2D94-43DC-94DF-AFA9106E05AC}">
  <dimension ref="A1:I21"/>
  <sheetViews>
    <sheetView workbookViewId="0">
      <selection activeCell="D4" sqref="D4"/>
    </sheetView>
  </sheetViews>
  <sheetFormatPr defaultRowHeight="15"/>
  <cols>
    <col min="1" max="1" width="11.28515625" style="7" bestFit="1" customWidth="1"/>
    <col min="2" max="2" width="19.7109375" bestFit="1" customWidth="1"/>
    <col min="3" max="3" width="9.7109375" bestFit="1" customWidth="1"/>
    <col min="4" max="4" width="10.5703125" style="9" bestFit="1" customWidth="1"/>
    <col min="5" max="5" width="15.5703125" style="9" bestFit="1" customWidth="1"/>
    <col min="6" max="6" width="33" style="7" bestFit="1" customWidth="1"/>
    <col min="7" max="7" width="31.85546875" bestFit="1" customWidth="1"/>
    <col min="8" max="8" width="17.7109375" style="4" bestFit="1" customWidth="1"/>
    <col min="9" max="9" width="14.5703125" bestFit="1" customWidth="1"/>
  </cols>
  <sheetData>
    <row r="1" spans="1:9" ht="15.75" thickBot="1">
      <c r="A1" s="17" t="s">
        <v>12</v>
      </c>
      <c r="B1" s="15" t="s">
        <v>16</v>
      </c>
      <c r="C1" s="15" t="s">
        <v>2</v>
      </c>
      <c r="D1" s="18" t="s">
        <v>1</v>
      </c>
      <c r="E1" s="18" t="s">
        <v>21</v>
      </c>
      <c r="F1" s="30" t="s">
        <v>13</v>
      </c>
      <c r="G1" s="31" t="s">
        <v>14</v>
      </c>
      <c r="H1" s="32" t="s">
        <v>15</v>
      </c>
      <c r="I1" s="32" t="s">
        <v>53</v>
      </c>
    </row>
    <row r="2" spans="1:9">
      <c r="A2" s="5">
        <v>123</v>
      </c>
      <c r="B2" t="str">
        <f>_xlfn.XLOOKUP(A2,'Base de Datos Competencia'!A:A,'Base de Datos Competencia'!B:B,0,)</f>
        <v>Solenoide</v>
      </c>
      <c r="C2" t="str">
        <f>_xlfn.XLOOKUP(A2,'Base de Datos Competencia'!A:A,'Base de Datos Competencia'!C:C,0,)</f>
        <v>Sirilo</v>
      </c>
      <c r="D2" s="9">
        <f>_xlfn.XLOOKUP(A2,'Base de Datos Competencia'!A:A,'Base de Datos Competencia'!E:E,0,)</f>
        <v>560</v>
      </c>
      <c r="E2" s="9">
        <f>_xlfn.XLOOKUP(A2,Costos_Inventario!A:A,Costos_Inventario!F:F,0,0)</f>
        <v>525</v>
      </c>
      <c r="F2" s="6" t="str">
        <f>IF(E2&gt;D2, "+", "-")</f>
        <v>-</v>
      </c>
      <c r="G2" s="6" t="str">
        <f>IF('Base de Datos Competencia'!D2 &lt;&gt;'Base de Datos Competencia'!E2,"sí","no")</f>
        <v>no</v>
      </c>
      <c r="H2" s="11">
        <f>IF(G2="no", 0, IF(F2="+",E2*0.99,0))</f>
        <v>0</v>
      </c>
      <c r="I2" s="11">
        <f>IF(G2="no", 0, IF(F2="-",E2,0))</f>
        <v>0</v>
      </c>
    </row>
    <row r="3" spans="1:9">
      <c r="A3" s="5">
        <v>456</v>
      </c>
      <c r="B3" t="str">
        <f>_xlfn.XLOOKUP(A3,'Base de Datos Competencia'!A:A,'Base de Datos Competencia'!B:B,0,)</f>
        <v>Motoventilador</v>
      </c>
      <c r="C3" t="str">
        <f>_xlfn.XLOOKUP(A3,'Base de Datos Competencia'!A:A,'Base de Datos Competencia'!C:C,0,)</f>
        <v>Amarea</v>
      </c>
      <c r="D3" s="9">
        <f>_xlfn.XLOOKUP(A3,'Base de Datos Competencia'!A:A,'Base de Datos Competencia'!E:E,0,)</f>
        <v>1882</v>
      </c>
      <c r="E3" s="9">
        <f>_xlfn.XLOOKUP(A3,Costos_Inventario!A:A,Costos_Inventario!F:F,0,0)</f>
        <v>2493.75</v>
      </c>
      <c r="F3" s="6" t="str">
        <f t="shared" ref="F3:F20" si="0">IF(E3&gt;D3, "+", "-")</f>
        <v>+</v>
      </c>
      <c r="G3" s="6" t="str">
        <f>IF('Base de Datos Competencia'!D3 &lt;&gt;'Base de Datos Competencia'!E3,"sí","no")</f>
        <v>sí</v>
      </c>
      <c r="H3" s="11">
        <f t="shared" ref="H3:H20" si="1">IF(G3="no", 0, IF(F3="+",E3*0.99,0))</f>
        <v>2468.8125</v>
      </c>
      <c r="I3" s="11">
        <f t="shared" ref="I3:I20" si="2">IF(G3="no", 0, IF(F3="-",E3,0))</f>
        <v>0</v>
      </c>
    </row>
    <row r="4" spans="1:9">
      <c r="A4" s="5">
        <v>789</v>
      </c>
      <c r="B4" t="str">
        <f>_xlfn.XLOOKUP(A4,'Base de Datos Competencia'!A:A,'Base de Datos Competencia'!B:B,0,)</f>
        <v>Marcha</v>
      </c>
      <c r="C4" t="str">
        <f>_xlfn.XLOOKUP(A4,'Base de Datos Competencia'!A:A,'Base de Datos Competencia'!C:C,0,)</f>
        <v>Kana</v>
      </c>
      <c r="D4" s="9">
        <f>_xlfn.XLOOKUP(A4,'Base de Datos Competencia'!A:A,'Base de Datos Competencia'!E:E,0,)</f>
        <v>1500</v>
      </c>
      <c r="E4" s="9">
        <f>_xlfn.XLOOKUP(A4,Costos_Inventario!A:A,Costos_Inventario!F:F,0,0)</f>
        <v>1443.75</v>
      </c>
      <c r="F4" s="6" t="str">
        <f t="shared" si="0"/>
        <v>-</v>
      </c>
      <c r="G4" s="6" t="str">
        <f>IF('Base de Datos Competencia'!D4 &lt;&gt;'Base de Datos Competencia'!E4,"sí","no")</f>
        <v>sí</v>
      </c>
      <c r="H4" s="11">
        <f t="shared" si="1"/>
        <v>0</v>
      </c>
      <c r="I4" s="11">
        <f t="shared" si="2"/>
        <v>1443.75</v>
      </c>
    </row>
    <row r="5" spans="1:9">
      <c r="A5" s="5">
        <v>321</v>
      </c>
      <c r="B5" t="str">
        <f>_xlfn.XLOOKUP(A5,'Base de Datos Competencia'!A:A,'Base de Datos Competencia'!B:B,0,)</f>
        <v>Bujías</v>
      </c>
      <c r="C5" t="str">
        <f>_xlfn.XLOOKUP(A5,'Base de Datos Competencia'!A:A,'Base de Datos Competencia'!C:C,0,)</f>
        <v>Donna</v>
      </c>
      <c r="D5" s="9">
        <f>_xlfn.XLOOKUP(A5,'Base de Datos Competencia'!A:A,'Base de Datos Competencia'!E:E,0,)</f>
        <v>400</v>
      </c>
      <c r="E5" s="9">
        <f>_xlfn.XLOOKUP(A5,Costos_Inventario!A:A,Costos_Inventario!F:F,0,0)</f>
        <v>196.875</v>
      </c>
      <c r="F5" s="6" t="str">
        <f t="shared" si="0"/>
        <v>-</v>
      </c>
      <c r="G5" s="6" t="str">
        <f>IF('Base de Datos Competencia'!D5 &lt;&gt;'Base de Datos Competencia'!E5,"sí","no")</f>
        <v>sí</v>
      </c>
      <c r="H5" s="11">
        <f t="shared" si="1"/>
        <v>0</v>
      </c>
      <c r="I5" s="11">
        <f t="shared" si="2"/>
        <v>196.875</v>
      </c>
    </row>
    <row r="6" spans="1:9">
      <c r="A6" s="5">
        <v>654</v>
      </c>
      <c r="B6" t="str">
        <f>_xlfn.XLOOKUP(A6,'Base de Datos Competencia'!A:A,'Base de Datos Competencia'!B:B,0,)</f>
        <v>Válvulas</v>
      </c>
      <c r="C6" t="str">
        <f>_xlfn.XLOOKUP(A6,'Base de Datos Competencia'!A:A,'Base de Datos Competencia'!C:C,0,)</f>
        <v>Sirilo</v>
      </c>
      <c r="D6" s="9">
        <f>_xlfn.XLOOKUP(A6,'Base de Datos Competencia'!A:A,'Base de Datos Competencia'!E:E,0,)</f>
        <v>200</v>
      </c>
      <c r="E6" s="9">
        <f>_xlfn.XLOOKUP(A6,Costos_Inventario!A:A,Costos_Inventario!F:F,0,0)</f>
        <v>223.125</v>
      </c>
      <c r="F6" s="6" t="str">
        <f t="shared" si="0"/>
        <v>+</v>
      </c>
      <c r="G6" s="6" t="str">
        <f>IF('Base de Datos Competencia'!D6 &lt;&gt;'Base de Datos Competencia'!E6,"sí","no")</f>
        <v>sí</v>
      </c>
      <c r="H6" s="11">
        <f t="shared" si="1"/>
        <v>220.89375000000001</v>
      </c>
      <c r="I6" s="11">
        <f t="shared" si="2"/>
        <v>0</v>
      </c>
    </row>
    <row r="7" spans="1:9">
      <c r="A7" s="5">
        <v>987</v>
      </c>
      <c r="B7" t="str">
        <f>_xlfn.XLOOKUP(A7,'Base de Datos Competencia'!A:A,'Base de Datos Competencia'!B:B,0,)</f>
        <v>Alternadores</v>
      </c>
      <c r="C7" t="str">
        <f>_xlfn.XLOOKUP(A7,'Base de Datos Competencia'!A:A,'Base de Datos Competencia'!C:C,0,)</f>
        <v>Amarea</v>
      </c>
      <c r="D7" s="9">
        <f>_xlfn.XLOOKUP(A7,'Base de Datos Competencia'!A:A,'Base de Datos Competencia'!E:E,0,)</f>
        <v>2000</v>
      </c>
      <c r="E7" s="9">
        <f>_xlfn.XLOOKUP(A7,Costos_Inventario!A:A,Costos_Inventario!F:F,0,0)</f>
        <v>3281.25</v>
      </c>
      <c r="F7" s="6" t="str">
        <f t="shared" si="0"/>
        <v>+</v>
      </c>
      <c r="G7" s="6" t="str">
        <f>IF('Base de Datos Competencia'!D7 &lt;&gt;'Base de Datos Competencia'!E7,"sí","no")</f>
        <v>sí</v>
      </c>
      <c r="H7" s="11">
        <f t="shared" si="1"/>
        <v>3248.4375</v>
      </c>
      <c r="I7" s="11">
        <f t="shared" si="2"/>
        <v>0</v>
      </c>
    </row>
    <row r="8" spans="1:9">
      <c r="A8" s="5">
        <v>741</v>
      </c>
      <c r="B8" t="str">
        <f>_xlfn.XLOOKUP(A8,'Base de Datos Competencia'!A:A,'Base de Datos Competencia'!B:B,0,)</f>
        <v>Bobina Encendido</v>
      </c>
      <c r="C8" t="str">
        <f>_xlfn.XLOOKUP(A8,'Base de Datos Competencia'!A:A,'Base de Datos Competencia'!C:C,0,)</f>
        <v>Kana</v>
      </c>
      <c r="D8" s="9">
        <f>_xlfn.XLOOKUP(A8,'Base de Datos Competencia'!A:A,'Base de Datos Competencia'!E:E,0,)</f>
        <v>700</v>
      </c>
      <c r="E8" s="9">
        <f>_xlfn.XLOOKUP(A8,Costos_Inventario!A:A,Costos_Inventario!F:F,0,0)</f>
        <v>203.4375</v>
      </c>
      <c r="F8" s="6" t="str">
        <f t="shared" si="0"/>
        <v>-</v>
      </c>
      <c r="G8" s="6" t="str">
        <f>IF('Base de Datos Competencia'!D8 &lt;&gt;'Base de Datos Competencia'!E8,"sí","no")</f>
        <v>no</v>
      </c>
      <c r="H8" s="11">
        <f t="shared" si="1"/>
        <v>0</v>
      </c>
      <c r="I8" s="11">
        <f t="shared" si="2"/>
        <v>0</v>
      </c>
    </row>
    <row r="9" spans="1:9">
      <c r="A9" s="5">
        <v>852</v>
      </c>
      <c r="B9" t="str">
        <f>_xlfn.XLOOKUP(A9,'Base de Datos Competencia'!A:A,'Base de Datos Competencia'!B:B,0,)</f>
        <v>Faros</v>
      </c>
      <c r="C9" t="str">
        <f>_xlfn.XLOOKUP(A9,'Base de Datos Competencia'!A:A,'Base de Datos Competencia'!C:C,0,)</f>
        <v>Donna</v>
      </c>
      <c r="D9" s="9">
        <f>_xlfn.XLOOKUP(A9,'Base de Datos Competencia'!A:A,'Base de Datos Competencia'!E:E,0,)</f>
        <v>600</v>
      </c>
      <c r="E9" s="9">
        <f>_xlfn.XLOOKUP(A9,Costos_Inventario!A:A,Costos_Inventario!F:F,0,0)</f>
        <v>249.375</v>
      </c>
      <c r="F9" s="6" t="str">
        <f t="shared" si="0"/>
        <v>-</v>
      </c>
      <c r="G9" s="6" t="str">
        <f>IF('Base de Datos Competencia'!D9 &lt;&gt;'Base de Datos Competencia'!E9,"sí","no")</f>
        <v>no</v>
      </c>
      <c r="H9" s="11">
        <f t="shared" si="1"/>
        <v>0</v>
      </c>
      <c r="I9" s="11">
        <f t="shared" si="2"/>
        <v>0</v>
      </c>
    </row>
    <row r="10" spans="1:9">
      <c r="A10" s="5">
        <v>963</v>
      </c>
      <c r="B10" t="str">
        <f>_xlfn.XLOOKUP(A10,'Base de Datos Competencia'!A:A,'Base de Datos Competencia'!B:B,0,)</f>
        <v>Poleas</v>
      </c>
      <c r="C10" t="str">
        <f>_xlfn.XLOOKUP(A10,'Base de Datos Competencia'!A:A,'Base de Datos Competencia'!C:C,0,)</f>
        <v>Sirilo</v>
      </c>
      <c r="D10" s="9">
        <f>_xlfn.XLOOKUP(A10,'Base de Datos Competencia'!A:A,'Base de Datos Competencia'!E:E,0,)</f>
        <v>525</v>
      </c>
      <c r="E10" s="9">
        <f>_xlfn.XLOOKUP(A10,Costos_Inventario!A:A,Costos_Inventario!F:F,0,0)</f>
        <v>328.125</v>
      </c>
      <c r="F10" s="6" t="str">
        <f t="shared" si="0"/>
        <v>-</v>
      </c>
      <c r="G10" s="6" t="str">
        <f>IF('Base de Datos Competencia'!D10 &lt;&gt;'Base de Datos Competencia'!E10,"sí","no")</f>
        <v>no</v>
      </c>
      <c r="H10" s="11">
        <f t="shared" si="1"/>
        <v>0</v>
      </c>
      <c r="I10" s="11">
        <f t="shared" si="2"/>
        <v>0</v>
      </c>
    </row>
    <row r="11" spans="1:9">
      <c r="A11" s="5">
        <v>357</v>
      </c>
      <c r="B11" t="str">
        <f>_xlfn.XLOOKUP(A11,'Base de Datos Competencia'!A:A,'Base de Datos Competencia'!B:B,0,)</f>
        <v>Motor de arranque</v>
      </c>
      <c r="C11" t="str">
        <f>_xlfn.XLOOKUP(A11,'Base de Datos Competencia'!A:A,'Base de Datos Competencia'!C:C,0,)</f>
        <v>Amarea</v>
      </c>
      <c r="D11" s="9">
        <f>_xlfn.XLOOKUP(A11,'Base de Datos Competencia'!A:A,'Base de Datos Competencia'!E:E,0,)</f>
        <v>3500</v>
      </c>
      <c r="E11" s="9">
        <f>_xlfn.XLOOKUP(A11,Costos_Inventario!A:A,Costos_Inventario!F:F,0,0)</f>
        <v>261.1875</v>
      </c>
      <c r="F11" s="6" t="str">
        <f t="shared" si="0"/>
        <v>-</v>
      </c>
      <c r="G11" s="6" t="str">
        <f>IF('Base de Datos Competencia'!D11 &lt;&gt;'Base de Datos Competencia'!E11,"sí","no")</f>
        <v>sí</v>
      </c>
      <c r="H11" s="11">
        <f t="shared" si="1"/>
        <v>0</v>
      </c>
      <c r="I11" s="11">
        <f t="shared" si="2"/>
        <v>261.1875</v>
      </c>
    </row>
    <row r="12" spans="1:9">
      <c r="A12" s="5">
        <v>159</v>
      </c>
      <c r="B12" t="str">
        <f>_xlfn.XLOOKUP(A12,'Base de Datos Competencia'!A:A,'Base de Datos Competencia'!B:B,0,)</f>
        <v>Bulbo sensor</v>
      </c>
      <c r="C12" t="str">
        <f>_xlfn.XLOOKUP(A12,'Base de Datos Competencia'!A:A,'Base de Datos Competencia'!C:C,0,)</f>
        <v>Kana</v>
      </c>
      <c r="D12" s="9">
        <f>_xlfn.XLOOKUP(A12,'Base de Datos Competencia'!A:A,'Base de Datos Competencia'!E:E,0,)</f>
        <v>50</v>
      </c>
      <c r="E12" s="9">
        <f>_xlfn.XLOOKUP(A12,Costos_Inventario!A:A,Costos_Inventario!F:F,0,0)</f>
        <v>52.5</v>
      </c>
      <c r="F12" s="6" t="str">
        <f t="shared" si="0"/>
        <v>+</v>
      </c>
      <c r="G12" s="6" t="str">
        <f>IF('Base de Datos Competencia'!D12 &lt;&gt;'Base de Datos Competencia'!E12,"sí","no")</f>
        <v>sí</v>
      </c>
      <c r="H12" s="11">
        <f t="shared" si="1"/>
        <v>51.975000000000001</v>
      </c>
      <c r="I12" s="11">
        <f t="shared" si="2"/>
        <v>0</v>
      </c>
    </row>
    <row r="13" spans="1:9">
      <c r="A13" s="5">
        <v>486</v>
      </c>
      <c r="B13" t="str">
        <f>_xlfn.XLOOKUP(A13,'Base de Datos Competencia'!A:A,'Base de Datos Competencia'!B:B,0,)</f>
        <v>Manguera corrugada</v>
      </c>
      <c r="C13" t="str">
        <f>_xlfn.XLOOKUP(A13,'Base de Datos Competencia'!A:A,'Base de Datos Competencia'!C:C,0,)</f>
        <v>Donna</v>
      </c>
      <c r="D13" s="9">
        <f>_xlfn.XLOOKUP(A13,'Base de Datos Competencia'!A:A,'Base de Datos Competencia'!E:E,0,)</f>
        <v>39</v>
      </c>
      <c r="E13" s="9">
        <f>_xlfn.XLOOKUP(A13,Costos_Inventario!A:A,Costos_Inventario!F:F,0,0)</f>
        <v>19.6875</v>
      </c>
      <c r="F13" s="6" t="str">
        <f t="shared" si="0"/>
        <v>-</v>
      </c>
      <c r="G13" s="6" t="str">
        <f>IF('Base de Datos Competencia'!D13 &lt;&gt;'Base de Datos Competencia'!E13,"sí","no")</f>
        <v>no</v>
      </c>
      <c r="H13" s="11">
        <f t="shared" si="1"/>
        <v>0</v>
      </c>
      <c r="I13" s="11">
        <f t="shared" si="2"/>
        <v>0</v>
      </c>
    </row>
    <row r="14" spans="1:9">
      <c r="A14" s="5">
        <v>624</v>
      </c>
      <c r="B14" t="str">
        <f>_xlfn.XLOOKUP(A14,'Base de Datos Competencia'!A:A,'Base de Datos Competencia'!B:B,0,)</f>
        <v>Cable pasa corriente</v>
      </c>
      <c r="C14" t="str">
        <f>_xlfn.XLOOKUP(A14,'Base de Datos Competencia'!A:A,'Base de Datos Competencia'!C:C,0,)</f>
        <v>Sirilo</v>
      </c>
      <c r="D14" s="9">
        <f>_xlfn.XLOOKUP(A14,'Base de Datos Competencia'!A:A,'Base de Datos Competencia'!E:E,0,)</f>
        <v>200</v>
      </c>
      <c r="E14" s="9">
        <f>_xlfn.XLOOKUP(A14,Costos_Inventario!A:A,Costos_Inventario!F:F,0,0)</f>
        <v>161.4375</v>
      </c>
      <c r="F14" s="6" t="str">
        <f t="shared" si="0"/>
        <v>-</v>
      </c>
      <c r="G14" s="6" t="str">
        <f>IF('Base de Datos Competencia'!D14 &lt;&gt;'Base de Datos Competencia'!E14,"sí","no")</f>
        <v>sí</v>
      </c>
      <c r="H14" s="11">
        <f t="shared" si="1"/>
        <v>0</v>
      </c>
      <c r="I14" s="11">
        <f t="shared" si="2"/>
        <v>161.4375</v>
      </c>
    </row>
    <row r="15" spans="1:9">
      <c r="A15" s="5">
        <v>684</v>
      </c>
      <c r="B15" t="str">
        <f>_xlfn.XLOOKUP(A15,'Base de Datos Competencia'!A:A,'Base de Datos Competencia'!B:B,0,)</f>
        <v>Carburador</v>
      </c>
      <c r="C15" t="str">
        <f>_xlfn.XLOOKUP(A15,'Base de Datos Competencia'!A:A,'Base de Datos Competencia'!C:C,0,)</f>
        <v>Amarea</v>
      </c>
      <c r="D15" s="9">
        <f>_xlfn.XLOOKUP(A15,'Base de Datos Competencia'!A:A,'Base de Datos Competencia'!E:E,0,)</f>
        <v>2000</v>
      </c>
      <c r="E15" s="9">
        <f>_xlfn.XLOOKUP(A15,Costos_Inventario!A:A,Costos_Inventario!F:F,0,0)</f>
        <v>1706.25</v>
      </c>
      <c r="F15" s="6" t="str">
        <f t="shared" si="0"/>
        <v>-</v>
      </c>
      <c r="G15" s="6" t="str">
        <f>IF('Base de Datos Competencia'!D15 &lt;&gt;'Base de Datos Competencia'!E15,"sí","no")</f>
        <v>no</v>
      </c>
      <c r="H15" s="11">
        <f t="shared" si="1"/>
        <v>0</v>
      </c>
      <c r="I15" s="11">
        <f t="shared" si="2"/>
        <v>0</v>
      </c>
    </row>
    <row r="16" spans="1:9">
      <c r="A16" s="5">
        <v>426</v>
      </c>
      <c r="B16" t="str">
        <f>_xlfn.XLOOKUP(A16,'Base de Datos Competencia'!A:A,'Base de Datos Competencia'!B:B,0,)</f>
        <v>Bomba gasolina</v>
      </c>
      <c r="C16" t="str">
        <f>_xlfn.XLOOKUP(A16,'Base de Datos Competencia'!A:A,'Base de Datos Competencia'!C:C,0,)</f>
        <v>Kana</v>
      </c>
      <c r="D16" s="9">
        <f>_xlfn.XLOOKUP(A16,'Base de Datos Competencia'!A:A,'Base de Datos Competencia'!E:E,0,)</f>
        <v>2000</v>
      </c>
      <c r="E16" s="9">
        <f>_xlfn.XLOOKUP(A16,Costos_Inventario!A:A,Costos_Inventario!F:F,0,0)</f>
        <v>1050</v>
      </c>
      <c r="F16" s="6" t="str">
        <f t="shared" si="0"/>
        <v>-</v>
      </c>
      <c r="G16" s="6" t="str">
        <f>IF('Base de Datos Competencia'!D16 &lt;&gt;'Base de Datos Competencia'!E16,"sí","no")</f>
        <v>no</v>
      </c>
      <c r="H16" s="11">
        <f t="shared" si="1"/>
        <v>0</v>
      </c>
      <c r="I16" s="11">
        <f t="shared" si="2"/>
        <v>0</v>
      </c>
    </row>
    <row r="17" spans="1:9">
      <c r="A17" s="5">
        <v>597</v>
      </c>
      <c r="B17" t="str">
        <f>_xlfn.XLOOKUP(A17,'Base de Datos Competencia'!A:A,'Base de Datos Competencia'!B:B,0,)</f>
        <v>Bujes</v>
      </c>
      <c r="C17" t="str">
        <f>_xlfn.XLOOKUP(A17,'Base de Datos Competencia'!A:A,'Base de Datos Competencia'!C:C,0,)</f>
        <v>Donna</v>
      </c>
      <c r="D17" s="9">
        <f>_xlfn.XLOOKUP(A17,'Base de Datos Competencia'!A:A,'Base de Datos Competencia'!E:E,0,)</f>
        <v>500</v>
      </c>
      <c r="E17" s="9">
        <f>_xlfn.XLOOKUP(A17,Costos_Inventario!A:A,Costos_Inventario!F:F,0,0)</f>
        <v>393.75</v>
      </c>
      <c r="F17" s="6" t="str">
        <f t="shared" si="0"/>
        <v>-</v>
      </c>
      <c r="G17" s="6" t="str">
        <f>IF('Base de Datos Competencia'!D17 &lt;&gt;'Base de Datos Competencia'!E17,"sí","no")</f>
        <v>sí</v>
      </c>
      <c r="H17" s="11">
        <f t="shared" si="1"/>
        <v>0</v>
      </c>
      <c r="I17" s="11">
        <f t="shared" si="2"/>
        <v>393.75</v>
      </c>
    </row>
    <row r="18" spans="1:9">
      <c r="A18" s="5">
        <v>600</v>
      </c>
      <c r="B18" t="str">
        <f>_xlfn.XLOOKUP(A18,'Base de Datos Competencia'!A:A,'Base de Datos Competencia'!B:B,0,)</f>
        <v>Baleros</v>
      </c>
      <c r="C18" t="str">
        <f>_xlfn.XLOOKUP(A18,'Base de Datos Competencia'!A:A,'Base de Datos Competencia'!C:C,0,)</f>
        <v>Sirilo</v>
      </c>
      <c r="D18" s="9">
        <f>_xlfn.XLOOKUP(A18,'Base de Datos Competencia'!A:A,'Base de Datos Competencia'!E:E,0,)</f>
        <v>469</v>
      </c>
      <c r="E18" s="9">
        <f>_xlfn.XLOOKUP(A18,Costos_Inventario!A:A,Costos_Inventario!F:F,0,0)</f>
        <v>393.75</v>
      </c>
      <c r="F18" s="6" t="str">
        <f t="shared" si="0"/>
        <v>-</v>
      </c>
      <c r="G18" s="6" t="str">
        <f>IF('Base de Datos Competencia'!D18 &lt;&gt;'Base de Datos Competencia'!E18,"sí","no")</f>
        <v>no</v>
      </c>
      <c r="H18" s="11">
        <f t="shared" si="1"/>
        <v>0</v>
      </c>
      <c r="I18" s="11">
        <f t="shared" si="2"/>
        <v>0</v>
      </c>
    </row>
    <row r="19" spans="1:9">
      <c r="A19" s="5">
        <v>951</v>
      </c>
      <c r="B19" t="str">
        <f>_xlfn.XLOOKUP(A19,'Base de Datos Competencia'!A:A,'Base de Datos Competencia'!B:B,0,)</f>
        <v>Torre alternador</v>
      </c>
      <c r="C19" t="str">
        <f>_xlfn.XLOOKUP(A19,'Base de Datos Competencia'!A:A,'Base de Datos Competencia'!C:C,0,)</f>
        <v>Amarea</v>
      </c>
      <c r="D19" s="9">
        <f>_xlfn.XLOOKUP(A19,'Base de Datos Competencia'!A:A,'Base de Datos Competencia'!E:E,0,)</f>
        <v>350</v>
      </c>
      <c r="E19" s="9">
        <f>_xlfn.XLOOKUP(A19,Costos_Inventario!A:A,Costos_Inventario!F:F,0,0)</f>
        <v>472.5</v>
      </c>
      <c r="F19" s="6" t="str">
        <f t="shared" si="0"/>
        <v>+</v>
      </c>
      <c r="G19" s="6" t="str">
        <f>IF('Base de Datos Competencia'!D19 &lt;&gt;'Base de Datos Competencia'!E19,"sí","no")</f>
        <v>sí</v>
      </c>
      <c r="H19" s="11">
        <f t="shared" si="1"/>
        <v>467.77499999999998</v>
      </c>
      <c r="I19" s="11">
        <f t="shared" si="2"/>
        <v>0</v>
      </c>
    </row>
    <row r="20" spans="1:9">
      <c r="A20" s="5">
        <v>753</v>
      </c>
      <c r="B20" t="str">
        <f>_xlfn.XLOOKUP(A20,'Base de Datos Competencia'!A:A,'Base de Datos Competencia'!B:B,0,)</f>
        <v>Volante Motor</v>
      </c>
      <c r="C20" t="str">
        <f>_xlfn.XLOOKUP(A20,'Base de Datos Competencia'!A:A,'Base de Datos Competencia'!C:C,0,)</f>
        <v>Kana</v>
      </c>
      <c r="D20" s="9">
        <f>_xlfn.XLOOKUP(A20,'Base de Datos Competencia'!A:A,'Base de Datos Competencia'!E:E,0,)</f>
        <v>380</v>
      </c>
      <c r="E20" s="9">
        <f>_xlfn.XLOOKUP(A20,Costos_Inventario!A:A,Costos_Inventario!F:F,0,0)</f>
        <v>404.25</v>
      </c>
      <c r="F20" s="6" t="str">
        <f t="shared" si="0"/>
        <v>+</v>
      </c>
      <c r="G20" s="6" t="str">
        <f>IF('Base de Datos Competencia'!D20 &lt;&gt;'Base de Datos Competencia'!E20,"sí","no")</f>
        <v>no</v>
      </c>
      <c r="H20" s="11">
        <f t="shared" si="1"/>
        <v>0</v>
      </c>
      <c r="I20" s="11">
        <f t="shared" si="2"/>
        <v>0</v>
      </c>
    </row>
    <row r="21" spans="1:9">
      <c r="A21" s="5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7F804-4A75-48DC-9D46-1B36A67865ED}">
  <dimension ref="A1:X24"/>
  <sheetViews>
    <sheetView workbookViewId="0">
      <selection activeCell="H24" sqref="H24"/>
    </sheetView>
  </sheetViews>
  <sheetFormatPr defaultRowHeight="15"/>
  <cols>
    <col min="1" max="1" width="13.140625" style="7" bestFit="1" customWidth="1"/>
    <col min="2" max="2" width="19.42578125" bestFit="1" customWidth="1"/>
    <col min="3" max="3" width="12" bestFit="1" customWidth="1"/>
    <col min="4" max="4" width="23.28515625" style="1" bestFit="1" customWidth="1"/>
    <col min="5" max="5" width="18.28515625" style="1" bestFit="1" customWidth="1"/>
    <col min="6" max="6" width="23.85546875" bestFit="1" customWidth="1"/>
    <col min="7" max="7" width="23.28515625" style="34" bestFit="1" customWidth="1"/>
    <col min="8" max="8" width="14.7109375" style="25" bestFit="1" customWidth="1"/>
    <col min="9" max="9" width="20.28515625" bestFit="1" customWidth="1"/>
  </cols>
  <sheetData>
    <row r="1" spans="1:9" ht="15.75" thickBot="1">
      <c r="A1" s="12" t="s">
        <v>12</v>
      </c>
      <c r="B1" s="12" t="s">
        <v>16</v>
      </c>
      <c r="C1" s="12" t="s">
        <v>2</v>
      </c>
      <c r="D1" s="26" t="s">
        <v>19</v>
      </c>
      <c r="E1" s="35" t="s">
        <v>21</v>
      </c>
      <c r="F1" s="22" t="s">
        <v>54</v>
      </c>
      <c r="G1" s="37" t="s">
        <v>22</v>
      </c>
      <c r="H1" s="24" t="s">
        <v>23</v>
      </c>
      <c r="I1" s="22" t="s">
        <v>24</v>
      </c>
    </row>
    <row r="2" spans="1:9">
      <c r="A2" s="7" t="str">
        <f>IF('Filtros 1-3'!H2&lt;&gt;0,'Filtros 1-3'!$A2," ")</f>
        <v xml:space="preserve"> </v>
      </c>
      <c r="B2" t="str">
        <f>IF(A2 = " ", " ", VLOOKUP(A2, 'Filtros 1-3'!A:B, 2, FALSE))</f>
        <v xml:space="preserve"> </v>
      </c>
      <c r="C2" t="str">
        <f>IF(B2 = " ", " ", VLOOKUP(B2, 'Filtros 1-3'!B:C, 2, FALSE))</f>
        <v xml:space="preserve"> </v>
      </c>
      <c r="D2" s="23" t="str">
        <f>IF( $A2 = " ", " ",  VLOOKUP($B2, 'Filtros 1-3'!B:D, 3, FALSE))</f>
        <v xml:space="preserve"> </v>
      </c>
      <c r="E2" s="36" t="str">
        <f>IF(A2 = " ", " ",  _xlfn.XLOOKUP(A2, 'Base de Datos Negocio'!A:A, 'Base de Datos Negocio'!D:D,0,0))</f>
        <v xml:space="preserve"> </v>
      </c>
      <c r="F2" s="33" t="str">
        <f>IF( A2 = " ", " ",  _xlfn.XLOOKUP(A2,'Filtros 1-3'!A:A,'Filtros 1-3'!H:H,0,0))</f>
        <v xml:space="preserve"> </v>
      </c>
      <c r="G2" s="38" t="str">
        <f>IF( $A2 = " ", " ",(F2-Costos_Inventario!E2)/Costos_Inventario!E2)</f>
        <v xml:space="preserve"> </v>
      </c>
      <c r="H2" s="6" t="str">
        <f>IF($A2 = " ", " ", VLOOKUP($B2, Costos_Inventario!B:G, 6, FALSE))</f>
        <v xml:space="preserve"> </v>
      </c>
      <c r="I2" s="6" t="str">
        <f>IF( A2 = " ", " ", IF('Base de Datos Negocio'!H2*1.75&gt;'Base de Datos Negocio'!G2, "Sucursal", "Online"))</f>
        <v xml:space="preserve"> </v>
      </c>
    </row>
    <row r="3" spans="1:9">
      <c r="A3" s="7">
        <f>IF('Filtros 1-3'!H3&lt;&gt;0,'Filtros 1-3'!$A3," ")</f>
        <v>456</v>
      </c>
      <c r="B3" t="str">
        <f>IF(A3 = " ", " ", VLOOKUP(A3, 'Filtros 1-3'!A:B, 2, FALSE))</f>
        <v>Motoventilador</v>
      </c>
      <c r="C3" t="str">
        <f>IF(B3 = " ", " ", VLOOKUP(B3, 'Filtros 1-3'!B:C, 2, FALSE))</f>
        <v>Amarea</v>
      </c>
      <c r="D3" s="23">
        <f>IF( $A3 = " ", " ",  VLOOKUP($B3, 'Filtros 1-3'!B:D, 3, FALSE))</f>
        <v>1882</v>
      </c>
      <c r="E3" s="36">
        <f>IF(A3 = " ", " ",  _xlfn.XLOOKUP(A3, 'Base de Datos Negocio'!A:A, 'Base de Datos Negocio'!D:D,0,0))</f>
        <v>2493.75</v>
      </c>
      <c r="F3" s="33">
        <f>IF( A3 = " ", " ",  _xlfn.XLOOKUP(A3,'Filtros 1-3'!A:A,'Filtros 1-3'!H:H,0,0))</f>
        <v>2468.8125</v>
      </c>
      <c r="G3" s="38">
        <f>IF( $A3 = " ", " ",(F3-Costos_Inventario!E3)/Costos_Inventario!E3)</f>
        <v>0.23749999999999999</v>
      </c>
      <c r="H3" s="6">
        <f>IF($A3 = " ", " ", VLOOKUP($B3, Costos_Inventario!B:G, 6, FALSE))</f>
        <v>15000</v>
      </c>
      <c r="I3" s="6" t="str">
        <f>IF( A3 = " ", " ", IF('Base de Datos Negocio'!H3*1.75&gt;'Base de Datos Negocio'!G3, "Sucursal", "Online"))</f>
        <v>Online</v>
      </c>
    </row>
    <row r="4" spans="1:9">
      <c r="A4" s="7" t="str">
        <f>IF('Filtros 1-3'!H4&lt;&gt;0,'Filtros 1-3'!$A4," ")</f>
        <v xml:space="preserve"> </v>
      </c>
      <c r="B4" t="str">
        <f>IF(A4 = " ", " ", VLOOKUP(A4, 'Filtros 1-3'!A:B, 2, FALSE))</f>
        <v xml:space="preserve"> </v>
      </c>
      <c r="C4" t="str">
        <f>IF(B4 = " ", " ", VLOOKUP(B4, 'Filtros 1-3'!B:C, 2, FALSE))</f>
        <v xml:space="preserve"> </v>
      </c>
      <c r="D4" s="23" t="str">
        <f>IF( $A4 = " ", " ",  VLOOKUP($B4, 'Filtros 1-3'!B:D, 3, FALSE))</f>
        <v xml:space="preserve"> </v>
      </c>
      <c r="E4" s="36" t="str">
        <f>IF(A4 = " ", " ",  _xlfn.XLOOKUP(A4, 'Base de Datos Negocio'!A:A, 'Base de Datos Negocio'!D:D,0,0))</f>
        <v xml:space="preserve"> </v>
      </c>
      <c r="F4" s="33" t="str">
        <f>IF( A4 = " ", " ",  _xlfn.XLOOKUP(A4,'Filtros 1-3'!A:A,'Filtros 1-3'!H:H,0,0))</f>
        <v xml:space="preserve"> </v>
      </c>
      <c r="G4" s="38" t="str">
        <f>IF( $A4 = " ", " ",(F4-Costos_Inventario!E4)/Costos_Inventario!E4)</f>
        <v xml:space="preserve"> </v>
      </c>
      <c r="H4" s="6" t="str">
        <f>IF($A4 = " ", " ", VLOOKUP($B4, Costos_Inventario!B:G, 6, FALSE))</f>
        <v xml:space="preserve"> </v>
      </c>
      <c r="I4" s="6" t="str">
        <f>IF( A4 = " ", " ", IF('Base de Datos Negocio'!H4*1.75&gt;'Base de Datos Negocio'!G4, "Sucursal", "Online"))</f>
        <v xml:space="preserve"> </v>
      </c>
    </row>
    <row r="5" spans="1:9">
      <c r="A5" s="7" t="str">
        <f>IF('Filtros 1-3'!H5&lt;&gt;0,'Filtros 1-3'!$A5," ")</f>
        <v xml:space="preserve"> </v>
      </c>
      <c r="B5" t="str">
        <f>IF(A5 = " ", " ", VLOOKUP(A5, 'Filtros 1-3'!A:B, 2, FALSE))</f>
        <v xml:space="preserve"> </v>
      </c>
      <c r="C5" t="str">
        <f>IF(B5 = " ", " ", VLOOKUP(B5, 'Filtros 1-3'!B:C, 2, FALSE))</f>
        <v xml:space="preserve"> </v>
      </c>
      <c r="D5" s="23" t="str">
        <f>IF( $A5 = " ", " ",  VLOOKUP($B5, 'Filtros 1-3'!B:D, 3, FALSE))</f>
        <v xml:space="preserve"> </v>
      </c>
      <c r="E5" s="36" t="str">
        <f>IF(A5 = " ", " ",  _xlfn.XLOOKUP(A5, 'Base de Datos Negocio'!A:A, 'Base de Datos Negocio'!D:D,0,0))</f>
        <v xml:space="preserve"> </v>
      </c>
      <c r="F5" s="33" t="str">
        <f>IF( A5 = " ", " ",  _xlfn.XLOOKUP(A5,'Filtros 1-3'!A:A,'Filtros 1-3'!H:H,0,0))</f>
        <v xml:space="preserve"> </v>
      </c>
      <c r="G5" s="38" t="str">
        <f>IF( $A5 = " ", " ",(F5-Costos_Inventario!E5)/Costos_Inventario!E5)</f>
        <v xml:space="preserve"> </v>
      </c>
      <c r="H5" s="6" t="str">
        <f>IF($A5 = " ", " ", VLOOKUP($B5, Costos_Inventario!B:G, 6, FALSE))</f>
        <v xml:space="preserve"> </v>
      </c>
      <c r="I5" s="6" t="str">
        <f>IF( A5 = " ", " ", IF('Base de Datos Negocio'!H5*1.75&gt;'Base de Datos Negocio'!G5, "Sucursal", "Online"))</f>
        <v xml:space="preserve"> </v>
      </c>
    </row>
    <row r="6" spans="1:9">
      <c r="A6" s="7">
        <f>IF('Filtros 1-3'!H6&lt;&gt;0,'Filtros 1-3'!$A6," ")</f>
        <v>654</v>
      </c>
      <c r="B6" t="str">
        <f>IF(A6 = " ", " ", VLOOKUP(A6, 'Filtros 1-3'!A:B, 2, FALSE))</f>
        <v>Válvulas</v>
      </c>
      <c r="C6" t="str">
        <f>IF(B6 = " ", " ", VLOOKUP(B6, 'Filtros 1-3'!B:C, 2, FALSE))</f>
        <v>Sirilo</v>
      </c>
      <c r="D6" s="23">
        <f>IF( $A6 = " ", " ",  VLOOKUP($B6, 'Filtros 1-3'!B:D, 3, FALSE))</f>
        <v>200</v>
      </c>
      <c r="E6" s="36">
        <f>IF(A6 = " ", " ",  _xlfn.XLOOKUP(A6, 'Base de Datos Negocio'!A:A, 'Base de Datos Negocio'!D:D,0,0))</f>
        <v>223.125</v>
      </c>
      <c r="F6" s="33">
        <f>IF( A6 = " ", " ",  _xlfn.XLOOKUP(A6,'Filtros 1-3'!A:A,'Filtros 1-3'!H:H,0,0))</f>
        <v>220.89375000000001</v>
      </c>
      <c r="G6" s="38">
        <f>IF( $A6 = " ", " ",(F6-Costos_Inventario!E6)/Costos_Inventario!E6)</f>
        <v>0.23750000000000007</v>
      </c>
      <c r="H6" s="6">
        <f>IF($A6 = " ", " ", VLOOKUP($B6, Costos_Inventario!B:G, 6, FALSE))</f>
        <v>25000</v>
      </c>
      <c r="I6" s="6" t="str">
        <f>IF( A6 = " ", " ", IF('Base de Datos Negocio'!H6*1.75&gt;'Base de Datos Negocio'!G6, "Sucursal", "Online"))</f>
        <v>Sucursal</v>
      </c>
    </row>
    <row r="7" spans="1:9">
      <c r="A7" s="7">
        <f>IF('Filtros 1-3'!H7&lt;&gt;0,'Filtros 1-3'!$A7," ")</f>
        <v>987</v>
      </c>
      <c r="B7" t="str">
        <f>IF(A7 = " ", " ", VLOOKUP(A7, 'Filtros 1-3'!A:B, 2, FALSE))</f>
        <v>Alternadores</v>
      </c>
      <c r="C7" t="str">
        <f>IF(B7 = " ", " ", VLOOKUP(B7, 'Filtros 1-3'!B:C, 2, FALSE))</f>
        <v>Amarea</v>
      </c>
      <c r="D7" s="23">
        <f>IF( $A7 = " ", " ",  VLOOKUP($B7, 'Filtros 1-3'!B:D, 3, FALSE))</f>
        <v>2000</v>
      </c>
      <c r="E7" s="36">
        <f>IF(A7 = " ", " ",  _xlfn.XLOOKUP(A7, 'Base de Datos Negocio'!A:A, 'Base de Datos Negocio'!D:D,0,0))</f>
        <v>3281.25</v>
      </c>
      <c r="F7" s="33">
        <f>IF( A7 = " ", " ",  _xlfn.XLOOKUP(A7,'Filtros 1-3'!A:A,'Filtros 1-3'!H:H,0,0))</f>
        <v>3248.4375</v>
      </c>
      <c r="G7" s="38">
        <f>IF( $A7 = " ", " ",(F7-Costos_Inventario!E7)/Costos_Inventario!E7)</f>
        <v>0.23749999999999999</v>
      </c>
      <c r="H7" s="6">
        <f>IF($A7 = " ", " ", VLOOKUP($B7, Costos_Inventario!B:G, 6, FALSE))</f>
        <v>25</v>
      </c>
      <c r="I7" s="6" t="str">
        <f>IF( A7 = " ", " ", IF('Base de Datos Negocio'!H7*1.75&gt;'Base de Datos Negocio'!G7, "Sucursal", "Online"))</f>
        <v>Online</v>
      </c>
    </row>
    <row r="8" spans="1:9">
      <c r="A8" s="7" t="str">
        <f>IF('Filtros 1-3'!H8&lt;&gt;0,'Filtros 1-3'!$A8," ")</f>
        <v xml:space="preserve"> </v>
      </c>
      <c r="B8" t="str">
        <f>IF(A8 = " ", " ", VLOOKUP(A8, 'Filtros 1-3'!A:B, 2, FALSE))</f>
        <v xml:space="preserve"> </v>
      </c>
      <c r="C8" t="str">
        <f>IF(B8 = " ", " ", VLOOKUP(B8, 'Filtros 1-3'!B:C, 2, FALSE))</f>
        <v xml:space="preserve"> </v>
      </c>
      <c r="D8" s="23" t="str">
        <f>IF( $A8 = " ", " ",  VLOOKUP($B8, 'Filtros 1-3'!B:D, 3, FALSE))</f>
        <v xml:space="preserve"> </v>
      </c>
      <c r="E8" s="36" t="str">
        <f>IF(A8 = " ", " ",  _xlfn.XLOOKUP(A8, 'Base de Datos Negocio'!A:A, 'Base de Datos Negocio'!D:D,0,0))</f>
        <v xml:space="preserve"> </v>
      </c>
      <c r="F8" s="33" t="str">
        <f>IF( A8 = " ", " ",  _xlfn.XLOOKUP(A8,'Filtros 1-3'!A:A,'Filtros 1-3'!H:H,0,0))</f>
        <v xml:space="preserve"> </v>
      </c>
      <c r="G8" s="38" t="str">
        <f>IF( $A8 = " ", " ",(F8-Costos_Inventario!E8)/Costos_Inventario!E8)</f>
        <v xml:space="preserve"> </v>
      </c>
      <c r="H8" s="6" t="str">
        <f>IF($A8 = " ", " ", VLOOKUP($B8, Costos_Inventario!B:G, 6, FALSE))</f>
        <v xml:space="preserve"> </v>
      </c>
      <c r="I8" s="6" t="str">
        <f>IF( A8 = " ", " ", IF('Base de Datos Negocio'!H8*1.75&gt;'Base de Datos Negocio'!G8, "Sucursal", "Online"))</f>
        <v xml:space="preserve"> </v>
      </c>
    </row>
    <row r="9" spans="1:9">
      <c r="A9" s="7" t="str">
        <f>IF('Filtros 1-3'!H9&lt;&gt;0,'Filtros 1-3'!$A9," ")</f>
        <v xml:space="preserve"> </v>
      </c>
      <c r="B9" t="str">
        <f>IF(A9 = " ", " ", VLOOKUP(A9, 'Filtros 1-3'!A:B, 2, FALSE))</f>
        <v xml:space="preserve"> </v>
      </c>
      <c r="C9" t="str">
        <f>IF(B9 = " ", " ", VLOOKUP(B9, 'Filtros 1-3'!B:C, 2, FALSE))</f>
        <v xml:space="preserve"> </v>
      </c>
      <c r="D9" s="23" t="str">
        <f>IF( $A9 = " ", " ",  VLOOKUP($B9, 'Filtros 1-3'!B:D, 3, FALSE))</f>
        <v xml:space="preserve"> </v>
      </c>
      <c r="E9" s="36" t="str">
        <f>IF(A9 = " ", " ",  _xlfn.XLOOKUP(A9, 'Base de Datos Negocio'!A:A, 'Base de Datos Negocio'!D:D,0,0))</f>
        <v xml:space="preserve"> </v>
      </c>
      <c r="F9" s="33" t="str">
        <f>IF( A9 = " ", " ",  _xlfn.XLOOKUP(A9,'Filtros 1-3'!A:A,'Filtros 1-3'!H:H,0,0))</f>
        <v xml:space="preserve"> </v>
      </c>
      <c r="G9" s="38" t="str">
        <f>IF( $A9 = " ", " ",(F9-Costos_Inventario!E9)/Costos_Inventario!E9)</f>
        <v xml:space="preserve"> </v>
      </c>
      <c r="H9" s="6" t="str">
        <f>IF($A9 = " ", " ", VLOOKUP($B9, Costos_Inventario!B:G, 6, FALSE))</f>
        <v xml:space="preserve"> </v>
      </c>
      <c r="I9" s="6" t="str">
        <f>IF( A9 = " ", " ", IF('Base de Datos Negocio'!H9*1.75&gt;'Base de Datos Negocio'!G9, "Sucursal", "Online"))</f>
        <v xml:space="preserve"> </v>
      </c>
    </row>
    <row r="10" spans="1:9">
      <c r="A10" s="7" t="str">
        <f>IF('Filtros 1-3'!H10&lt;&gt;0,'Filtros 1-3'!$A10," ")</f>
        <v xml:space="preserve"> </v>
      </c>
      <c r="B10" t="str">
        <f>IF(A10 = " ", " ", VLOOKUP(A10, 'Filtros 1-3'!A:B, 2, FALSE))</f>
        <v xml:space="preserve"> </v>
      </c>
      <c r="C10" t="str">
        <f>IF(B10 = " ", " ", VLOOKUP(B10, 'Filtros 1-3'!B:C, 2, FALSE))</f>
        <v xml:space="preserve"> </v>
      </c>
      <c r="D10" s="23" t="str">
        <f>IF( $A10 = " ", " ",  VLOOKUP($B10, 'Filtros 1-3'!B:D, 3, FALSE))</f>
        <v xml:space="preserve"> </v>
      </c>
      <c r="E10" s="36" t="str">
        <f>IF(A10 = " ", " ",  _xlfn.XLOOKUP(A10, 'Base de Datos Negocio'!A:A, 'Base de Datos Negocio'!D:D,0,0))</f>
        <v xml:space="preserve"> </v>
      </c>
      <c r="F10" s="33" t="str">
        <f>IF( A10 = " ", " ",  _xlfn.XLOOKUP(A10,'Filtros 1-3'!A:A,'Filtros 1-3'!H:H,0,0))</f>
        <v xml:space="preserve"> </v>
      </c>
      <c r="G10" s="38" t="str">
        <f>IF( $A10 = " ", " ",(F10-Costos_Inventario!E10)/Costos_Inventario!E10)</f>
        <v xml:space="preserve"> </v>
      </c>
      <c r="H10" s="6" t="str">
        <f>IF($A10 = " ", " ", VLOOKUP($B10, Costos_Inventario!B:G, 6, FALSE))</f>
        <v xml:space="preserve"> </v>
      </c>
      <c r="I10" s="6" t="str">
        <f>IF( A10 = " ", " ", IF('Base de Datos Negocio'!H10*1.75&gt;'Base de Datos Negocio'!G10, "Sucursal", "Online"))</f>
        <v xml:space="preserve"> </v>
      </c>
    </row>
    <row r="11" spans="1:9">
      <c r="A11" s="7" t="str">
        <f>IF('Filtros 1-3'!H11&lt;&gt;0,'Filtros 1-3'!$A11," ")</f>
        <v xml:space="preserve"> </v>
      </c>
      <c r="B11" t="str">
        <f>IF(A11 = " ", " ", VLOOKUP(A11, 'Filtros 1-3'!A:B, 2, FALSE))</f>
        <v xml:space="preserve"> </v>
      </c>
      <c r="C11" t="str">
        <f>IF(B11 = " ", " ", VLOOKUP(B11, 'Filtros 1-3'!B:C, 2, FALSE))</f>
        <v xml:space="preserve"> </v>
      </c>
      <c r="D11" s="23" t="str">
        <f>IF( $A11 = " ", " ",  VLOOKUP($B11, 'Filtros 1-3'!B:D, 3, FALSE))</f>
        <v xml:space="preserve"> </v>
      </c>
      <c r="E11" s="36" t="str">
        <f>IF(A11 = " ", " ",  _xlfn.XLOOKUP(A11, 'Base de Datos Negocio'!A:A, 'Base de Datos Negocio'!D:D,0,0))</f>
        <v xml:space="preserve"> </v>
      </c>
      <c r="F11" s="33" t="str">
        <f>IF( A11 = " ", " ",  _xlfn.XLOOKUP(A11,'Filtros 1-3'!A:A,'Filtros 1-3'!H:H,0,0))</f>
        <v xml:space="preserve"> </v>
      </c>
      <c r="G11" s="38" t="str">
        <f>IF( $A11 = " ", " ",(F11-Costos_Inventario!E11)/Costos_Inventario!E11)</f>
        <v xml:space="preserve"> </v>
      </c>
      <c r="H11" s="6" t="str">
        <f>IF($A11 = " ", " ", VLOOKUP($B11, Costos_Inventario!B:G, 6, FALSE))</f>
        <v xml:space="preserve"> </v>
      </c>
      <c r="I11" s="6" t="str">
        <f>IF( A11 = " ", " ", IF('Base de Datos Negocio'!H11*1.75&gt;'Base de Datos Negocio'!G11, "Sucursal", "Online"))</f>
        <v xml:space="preserve"> </v>
      </c>
    </row>
    <row r="12" spans="1:9">
      <c r="A12" s="7">
        <f>IF('Filtros 1-3'!H12&lt;&gt;0,'Filtros 1-3'!$A12," ")</f>
        <v>159</v>
      </c>
      <c r="B12" t="str">
        <f>IF(A12 = " ", " ", VLOOKUP(A12, 'Filtros 1-3'!A:B, 2, FALSE))</f>
        <v>Bulbo sensor</v>
      </c>
      <c r="C12" t="str">
        <f>IF(B12 = " ", " ", VLOOKUP(B12, 'Filtros 1-3'!B:C, 2, FALSE))</f>
        <v>Kana</v>
      </c>
      <c r="D12" s="23">
        <f>IF( $A12 = " ", " ",  VLOOKUP($B12, 'Filtros 1-3'!B:D, 3, FALSE))</f>
        <v>50</v>
      </c>
      <c r="E12" s="36">
        <f>IF(A12 = " ", " ",  _xlfn.XLOOKUP(A12, 'Base de Datos Negocio'!A:A, 'Base de Datos Negocio'!D:D,0,0))</f>
        <v>52.5</v>
      </c>
      <c r="F12" s="33">
        <f>IF( A12 = " ", " ",  _xlfn.XLOOKUP(A12,'Filtros 1-3'!A:A,'Filtros 1-3'!H:H,0,0))</f>
        <v>51.975000000000001</v>
      </c>
      <c r="G12" s="38">
        <f>IF( $A12 = " ", " ",(F12-Costos_Inventario!E12)/Costos_Inventario!E12)</f>
        <v>0.23750000000000004</v>
      </c>
      <c r="H12" s="6">
        <f>IF($A12 = " ", " ", VLOOKUP($B12, Costos_Inventario!B:G, 6, FALSE))</f>
        <v>4561</v>
      </c>
      <c r="I12" s="6" t="str">
        <f>IF( A12 = " ", " ", IF('Base de Datos Negocio'!H12*1.75&gt;'Base de Datos Negocio'!G12, "Sucursal", "Online"))</f>
        <v>Sucursal</v>
      </c>
    </row>
    <row r="13" spans="1:9">
      <c r="A13" s="7" t="str">
        <f>IF('Filtros 1-3'!H13&lt;&gt;0,'Filtros 1-3'!$A13," ")</f>
        <v xml:space="preserve"> </v>
      </c>
      <c r="B13" t="str">
        <f>IF(A13 = " ", " ", VLOOKUP(A13, 'Filtros 1-3'!A:B, 2, FALSE))</f>
        <v xml:space="preserve"> </v>
      </c>
      <c r="C13" t="str">
        <f>IF(B13 = " ", " ", VLOOKUP(B13, 'Filtros 1-3'!B:C, 2, FALSE))</f>
        <v xml:space="preserve"> </v>
      </c>
      <c r="D13" s="23" t="str">
        <f>IF( $A13 = " ", " ",  VLOOKUP($B13, 'Filtros 1-3'!B:D, 3, FALSE))</f>
        <v xml:space="preserve"> </v>
      </c>
      <c r="E13" s="36" t="str">
        <f>IF(A13 = " ", " ",  _xlfn.XLOOKUP(A13, 'Base de Datos Negocio'!A:A, 'Base de Datos Negocio'!D:D,0,0))</f>
        <v xml:space="preserve"> </v>
      </c>
      <c r="F13" s="33" t="str">
        <f>IF( A13 = " ", " ",  _xlfn.XLOOKUP(A13,'Filtros 1-3'!A:A,'Filtros 1-3'!H:H,0,0))</f>
        <v xml:space="preserve"> </v>
      </c>
      <c r="G13" s="38" t="str">
        <f>IF( $A13 = " ", " ",(F13-Costos_Inventario!E13)/Costos_Inventario!E13)</f>
        <v xml:space="preserve"> </v>
      </c>
      <c r="H13" s="6" t="str">
        <f>IF($A13 = " ", " ", VLOOKUP($B13, Costos_Inventario!B:G, 6, FALSE))</f>
        <v xml:space="preserve"> </v>
      </c>
      <c r="I13" s="6" t="str">
        <f>IF( A13 = " ", " ", IF('Base de Datos Negocio'!H13*1.75&gt;'Base de Datos Negocio'!G13, "Sucursal", "Online"))</f>
        <v xml:space="preserve"> </v>
      </c>
    </row>
    <row r="14" spans="1:9">
      <c r="A14" s="7" t="str">
        <f>IF('Filtros 1-3'!H14&lt;&gt;0,'Filtros 1-3'!$A14," ")</f>
        <v xml:space="preserve"> </v>
      </c>
      <c r="B14" t="str">
        <f>IF(A14 = " ", " ", VLOOKUP(A14, 'Filtros 1-3'!A:B, 2, FALSE))</f>
        <v xml:space="preserve"> </v>
      </c>
      <c r="C14" t="str">
        <f>IF(B14 = " ", " ", VLOOKUP(B14, 'Filtros 1-3'!B:C, 2, FALSE))</f>
        <v xml:space="preserve"> </v>
      </c>
      <c r="D14" s="23" t="str">
        <f>IF( $A14 = " ", " ",  VLOOKUP($B14, 'Filtros 1-3'!B:D, 3, FALSE))</f>
        <v xml:space="preserve"> </v>
      </c>
      <c r="E14" s="36" t="str">
        <f>IF(A14 = " ", " ",  _xlfn.XLOOKUP(A14, 'Base de Datos Negocio'!A:A, 'Base de Datos Negocio'!D:D,0,0))</f>
        <v xml:space="preserve"> </v>
      </c>
      <c r="F14" s="33" t="str">
        <f>IF( A14 = " ", " ",  _xlfn.XLOOKUP(A14,'Filtros 1-3'!A:A,'Filtros 1-3'!H:H,0,0))</f>
        <v xml:space="preserve"> </v>
      </c>
      <c r="G14" s="38" t="str">
        <f>IF( $A14 = " ", " ",(F14-Costos_Inventario!E14)/Costos_Inventario!E14)</f>
        <v xml:space="preserve"> </v>
      </c>
      <c r="H14" s="6" t="str">
        <f>IF($A14 = " ", " ", VLOOKUP($B14, Costos_Inventario!B:G, 6, FALSE))</f>
        <v xml:space="preserve"> </v>
      </c>
      <c r="I14" s="6" t="str">
        <f>IF( A14 = " ", " ", IF('Base de Datos Negocio'!H14*1.75&gt;'Base de Datos Negocio'!G14, "Sucursal", "Online"))</f>
        <v xml:space="preserve"> </v>
      </c>
    </row>
    <row r="15" spans="1:9">
      <c r="A15" s="7" t="str">
        <f>IF('Filtros 1-3'!H15&lt;&gt;0,'Filtros 1-3'!$A15," ")</f>
        <v xml:space="preserve"> </v>
      </c>
      <c r="B15" t="str">
        <f>IF(A15 = " ", " ", VLOOKUP(A15, 'Filtros 1-3'!A:B, 2, FALSE))</f>
        <v xml:space="preserve"> </v>
      </c>
      <c r="C15" t="str">
        <f>IF(B15 = " ", " ", VLOOKUP(B15, 'Filtros 1-3'!B:C, 2, FALSE))</f>
        <v xml:space="preserve"> </v>
      </c>
      <c r="D15" s="23" t="str">
        <f>IF( $A15 = " ", " ",  VLOOKUP($B15, 'Filtros 1-3'!B:D, 3, FALSE))</f>
        <v xml:space="preserve"> </v>
      </c>
      <c r="E15" s="36" t="str">
        <f>IF(A15 = " ", " ",  _xlfn.XLOOKUP(A15, 'Base de Datos Negocio'!A:A, 'Base de Datos Negocio'!D:D,0,0))</f>
        <v xml:space="preserve"> </v>
      </c>
      <c r="F15" s="33" t="str">
        <f>IF( A15 = " ", " ",  _xlfn.XLOOKUP(A15,'Filtros 1-3'!A:A,'Filtros 1-3'!H:H,0,0))</f>
        <v xml:space="preserve"> </v>
      </c>
      <c r="G15" s="38" t="str">
        <f>IF( $A15 = " ", " ",(F15-Costos_Inventario!E15)/Costos_Inventario!E15)</f>
        <v xml:space="preserve"> </v>
      </c>
      <c r="H15" s="6" t="str">
        <f>IF($A15 = " ", " ", VLOOKUP($B15, Costos_Inventario!B:G, 6, FALSE))</f>
        <v xml:space="preserve"> </v>
      </c>
      <c r="I15" s="6" t="str">
        <f>IF( A15 = " ", " ", IF('Base de Datos Negocio'!H15*1.75&gt;'Base de Datos Negocio'!G15, "Sucursal", "Online"))</f>
        <v xml:space="preserve"> </v>
      </c>
    </row>
    <row r="16" spans="1:9">
      <c r="A16" s="7" t="str">
        <f>IF('Filtros 1-3'!H16&lt;&gt;0,'Filtros 1-3'!$A16," ")</f>
        <v xml:space="preserve"> </v>
      </c>
      <c r="B16" t="str">
        <f>IF(A16 = " ", " ", VLOOKUP(A16, 'Filtros 1-3'!A:B, 2, FALSE))</f>
        <v xml:space="preserve"> </v>
      </c>
      <c r="C16" t="str">
        <f>IF(B16 = " ", " ", VLOOKUP(B16, 'Filtros 1-3'!B:C, 2, FALSE))</f>
        <v xml:space="preserve"> </v>
      </c>
      <c r="D16" s="23" t="str">
        <f>IF( $A16 = " ", " ",  VLOOKUP($B16, 'Filtros 1-3'!B:D, 3, FALSE))</f>
        <v xml:space="preserve"> </v>
      </c>
      <c r="E16" s="36" t="str">
        <f>IF(A16 = " ", " ",  _xlfn.XLOOKUP(A16, 'Base de Datos Negocio'!A:A, 'Base de Datos Negocio'!D:D,0,0))</f>
        <v xml:space="preserve"> </v>
      </c>
      <c r="F16" s="33" t="str">
        <f>IF( A16 = " ", " ",  _xlfn.XLOOKUP(A16,'Filtros 1-3'!A:A,'Filtros 1-3'!H:H,0,0))</f>
        <v xml:space="preserve"> </v>
      </c>
      <c r="G16" s="38" t="str">
        <f>IF( $A16 = " ", " ",(F16-Costos_Inventario!E16)/Costos_Inventario!E16)</f>
        <v xml:space="preserve"> </v>
      </c>
      <c r="H16" s="6" t="str">
        <f>IF($A16 = " ", " ", VLOOKUP($B16, Costos_Inventario!B:G, 6, FALSE))</f>
        <v xml:space="preserve"> </v>
      </c>
      <c r="I16" s="6" t="str">
        <f>IF( A16 = " ", " ", IF('Base de Datos Negocio'!H16*1.75&gt;'Base de Datos Negocio'!G16, "Sucursal", "Online"))</f>
        <v xml:space="preserve"> </v>
      </c>
    </row>
    <row r="17" spans="1:24">
      <c r="A17" s="7" t="str">
        <f>IF('Filtros 1-3'!H17&lt;&gt;0,'Filtros 1-3'!$A17," ")</f>
        <v xml:space="preserve"> </v>
      </c>
      <c r="B17" t="str">
        <f>IF(A17 = " ", " ", VLOOKUP(A17, 'Filtros 1-3'!A:B, 2, FALSE))</f>
        <v xml:space="preserve"> </v>
      </c>
      <c r="C17" t="str">
        <f>IF(B17 = " ", " ", VLOOKUP(B17, 'Filtros 1-3'!B:C, 2, FALSE))</f>
        <v xml:space="preserve"> </v>
      </c>
      <c r="D17" s="23" t="str">
        <f>IF( $A17 = " ", " ",  VLOOKUP($B17, 'Filtros 1-3'!B:D, 3, FALSE))</f>
        <v xml:space="preserve"> </v>
      </c>
      <c r="E17" s="36" t="str">
        <f>IF(A17 = " ", " ",  _xlfn.XLOOKUP(A17, 'Base de Datos Negocio'!A:A, 'Base de Datos Negocio'!D:D,0,0))</f>
        <v xml:space="preserve"> </v>
      </c>
      <c r="F17" s="33" t="str">
        <f>IF( A17 = " ", " ",  _xlfn.XLOOKUP(A17,'Filtros 1-3'!A:A,'Filtros 1-3'!H:H,0,0))</f>
        <v xml:space="preserve"> </v>
      </c>
      <c r="G17" s="38" t="str">
        <f>IF( $A17 = " ", " ",(F17-Costos_Inventario!E17)/Costos_Inventario!E17)</f>
        <v xml:space="preserve"> </v>
      </c>
      <c r="H17" s="6" t="str">
        <f>IF($A17 = " ", " ", VLOOKUP($B17, Costos_Inventario!B:G, 6, FALSE))</f>
        <v xml:space="preserve"> </v>
      </c>
      <c r="I17" s="6" t="str">
        <f>IF( A17 = " ", " ", IF('Base de Datos Negocio'!H17*1.75&gt;'Base de Datos Negocio'!G17, "Sucursal", "Online"))</f>
        <v xml:space="preserve"> </v>
      </c>
    </row>
    <row r="18" spans="1:24">
      <c r="A18" s="7" t="str">
        <f>IF('Filtros 1-3'!H18&lt;&gt;0,'Filtros 1-3'!$A18," ")</f>
        <v xml:space="preserve"> </v>
      </c>
      <c r="B18" t="str">
        <f>IF(A18 = " ", " ", VLOOKUP(A18, 'Filtros 1-3'!A:B, 2, FALSE))</f>
        <v xml:space="preserve"> </v>
      </c>
      <c r="C18" t="str">
        <f>IF(B18 = " ", " ", VLOOKUP(B18, 'Filtros 1-3'!B:C, 2, FALSE))</f>
        <v xml:space="preserve"> </v>
      </c>
      <c r="D18" s="23" t="str">
        <f>IF( $A18 = " ", " ",  VLOOKUP($B18, 'Filtros 1-3'!B:D, 3, FALSE))</f>
        <v xml:space="preserve"> </v>
      </c>
      <c r="E18" s="36" t="str">
        <f>IF(A18 = " ", " ",  _xlfn.XLOOKUP(A18, 'Base de Datos Negocio'!A:A, 'Base de Datos Negocio'!D:D,0,0))</f>
        <v xml:space="preserve"> </v>
      </c>
      <c r="F18" s="33" t="str">
        <f>IF( A18 = " ", " ",  _xlfn.XLOOKUP(A18,'Filtros 1-3'!A:A,'Filtros 1-3'!H:H,0,0))</f>
        <v xml:space="preserve"> </v>
      </c>
      <c r="G18" s="38" t="str">
        <f>IF( $A18 = " ", " ",(F18-Costos_Inventario!E18)/Costos_Inventario!E18)</f>
        <v xml:space="preserve"> </v>
      </c>
      <c r="H18" s="6" t="str">
        <f>IF($A18 = " ", " ", VLOOKUP($B18, Costos_Inventario!B:G, 6, FALSE))</f>
        <v xml:space="preserve"> </v>
      </c>
      <c r="I18" s="6" t="str">
        <f>IF( A18 = " ", " ", IF('Base de Datos Negocio'!H18*1.75&gt;'Base de Datos Negocio'!G18, "Sucursal", "Online"))</f>
        <v xml:space="preserve"> </v>
      </c>
    </row>
    <row r="19" spans="1:24">
      <c r="A19" s="7">
        <f>IF('Filtros 1-3'!H19&lt;&gt;0,'Filtros 1-3'!$A19," ")</f>
        <v>951</v>
      </c>
      <c r="B19" t="str">
        <f>IF(A19 = " ", " ", VLOOKUP(A19, 'Filtros 1-3'!A:B, 2, FALSE))</f>
        <v>Torre alternador</v>
      </c>
      <c r="C19" t="str">
        <f>IF(B19 = " ", " ", VLOOKUP(B19, 'Filtros 1-3'!B:C, 2, FALSE))</f>
        <v>Amarea</v>
      </c>
      <c r="D19" s="23">
        <f>IF( $A19 = " ", " ",  VLOOKUP($B19, 'Filtros 1-3'!B:D, 3, FALSE))</f>
        <v>350</v>
      </c>
      <c r="E19" s="36">
        <f>IF(A19 = " ", " ",  _xlfn.XLOOKUP(A19, 'Base de Datos Negocio'!A:A, 'Base de Datos Negocio'!D:D,0,0))</f>
        <v>472.5</v>
      </c>
      <c r="F19" s="33">
        <f>IF( A19 = " ", " ",  _xlfn.XLOOKUP(A19,'Filtros 1-3'!A:A,'Filtros 1-3'!H:H,0,0))</f>
        <v>467.77499999999998</v>
      </c>
      <c r="G19" s="38">
        <f>IF( $A19 = " ", " ",(F19-Costos_Inventario!E19)/Costos_Inventario!E19)</f>
        <v>0.23749999999999993</v>
      </c>
      <c r="H19" s="6">
        <f>IF($A19 = " ", " ", VLOOKUP($B19, Costos_Inventario!B:G, 6, FALSE))</f>
        <v>500</v>
      </c>
      <c r="I19" s="6" t="str">
        <f>IF( A19 = " ", " ", IF('Base de Datos Negocio'!H19*1.75&gt;'Base de Datos Negocio'!G19, "Sucursal", "Online"))</f>
        <v>Online</v>
      </c>
    </row>
    <row r="20" spans="1:24">
      <c r="A20" s="7" t="str">
        <f>IF('Filtros 1-3'!H20&lt;&gt;0,'Filtros 1-3'!$A20," ")</f>
        <v xml:space="preserve"> </v>
      </c>
      <c r="B20" t="str">
        <f>IF(A20 = " ", " ", VLOOKUP(A20, 'Filtros 1-3'!A:B, 2, FALSE))</f>
        <v xml:space="preserve"> </v>
      </c>
      <c r="C20" t="str">
        <f>IF(B20 = " ", " ", VLOOKUP(B20, 'Filtros 1-3'!B:C, 2, FALSE))</f>
        <v xml:space="preserve"> </v>
      </c>
      <c r="D20" s="23" t="str">
        <f>IF( $A20 = " ", " ",  VLOOKUP($B20, 'Filtros 1-3'!B:D, 3, FALSE))</f>
        <v xml:space="preserve"> </v>
      </c>
      <c r="E20" s="36" t="str">
        <f>IF(A20 = " ", " ",  _xlfn.XLOOKUP(A20, 'Base de Datos Negocio'!A:A, 'Base de Datos Negocio'!D:D,0,0))</f>
        <v xml:space="preserve"> </v>
      </c>
      <c r="F20" s="33" t="str">
        <f>IF( A20 = " ", " ",  _xlfn.XLOOKUP(A20,'Filtros 1-3'!A:A,'Filtros 1-3'!H:H,0,0))</f>
        <v xml:space="preserve"> </v>
      </c>
      <c r="G20" s="38" t="str">
        <f>IF( $A20 = " ", " ",(F20-Costos_Inventario!E20)/Costos_Inventario!E20)</f>
        <v xml:space="preserve"> </v>
      </c>
      <c r="H20" s="6" t="str">
        <f>IF($A20 = " ", " ", VLOOKUP($B20, Costos_Inventario!B:G, 6, FALSE))</f>
        <v xml:space="preserve"> </v>
      </c>
      <c r="I20" s="6" t="str">
        <f>IF( A20 = " ", " ", IF('Base de Datos Negocio'!H20*1.75&gt;'Base de Datos Negocio'!G20, "Sucursal", "Online"))</f>
        <v xml:space="preserve"> </v>
      </c>
    </row>
    <row r="22" spans="1:24">
      <c r="X22" t="s">
        <v>12</v>
      </c>
    </row>
    <row r="23" spans="1:24">
      <c r="X23" t="s">
        <v>17</v>
      </c>
    </row>
    <row r="24" spans="1:24">
      <c r="X24" t="s">
        <v>18</v>
      </c>
    </row>
  </sheetData>
  <autoFilter ref="A1:I20" xr:uid="{8337F804-4A75-48DC-9D46-1B36A67865ED}"/>
  <conditionalFormatting sqref="H2:H20">
    <cfRule type="iconSet" priority="2">
      <iconSet>
        <cfvo type="percent" val="0"/>
        <cfvo type="num" val="2250"/>
        <cfvo type="num" val="12500"/>
      </iconSet>
    </cfRule>
  </conditionalFormatting>
  <conditionalFormatting sqref="H2">
    <cfRule type="iconSet" priority="1">
      <iconSet>
        <cfvo type="percent" val="0"/>
        <cfvo type="num" val="1000"/>
        <cfvo type="num" val="10000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3E145-1245-4B08-88E6-4133845FB66B}">
  <dimension ref="A1:J20"/>
  <sheetViews>
    <sheetView tabSelected="1" workbookViewId="0">
      <selection activeCell="H23" sqref="H23"/>
    </sheetView>
  </sheetViews>
  <sheetFormatPr defaultRowHeight="15"/>
  <cols>
    <col min="1" max="1" width="13.140625" style="7" bestFit="1" customWidth="1"/>
    <col min="2" max="2" width="19.7109375" bestFit="1" customWidth="1"/>
    <col min="3" max="3" width="12" bestFit="1" customWidth="1"/>
    <col min="4" max="4" width="23.28515625" bestFit="1" customWidth="1"/>
    <col min="5" max="5" width="16.85546875" bestFit="1" customWidth="1"/>
    <col min="6" max="6" width="27.85546875" style="7" bestFit="1" customWidth="1"/>
    <col min="7" max="7" width="30.7109375" bestFit="1" customWidth="1"/>
    <col min="8" max="8" width="23.28515625" bestFit="1" customWidth="1"/>
    <col min="9" max="9" width="12.42578125" bestFit="1" customWidth="1"/>
    <col min="10" max="10" width="20.28515625" bestFit="1" customWidth="1"/>
  </cols>
  <sheetData>
    <row r="1" spans="1:10" ht="15.75" thickBot="1">
      <c r="A1" s="12" t="s">
        <v>12</v>
      </c>
      <c r="B1" s="12" t="s">
        <v>16</v>
      </c>
      <c r="C1" s="12" t="s">
        <v>2</v>
      </c>
      <c r="D1" s="26" t="s">
        <v>19</v>
      </c>
      <c r="E1" s="14" t="s">
        <v>20</v>
      </c>
      <c r="F1" s="47" t="s">
        <v>55</v>
      </c>
      <c r="G1" s="21" t="s">
        <v>56</v>
      </c>
      <c r="H1" s="21" t="s">
        <v>22</v>
      </c>
      <c r="I1" s="48" t="s">
        <v>23</v>
      </c>
      <c r="J1" s="22" t="s">
        <v>24</v>
      </c>
    </row>
    <row r="2" spans="1:10">
      <c r="A2" s="7" t="str">
        <f>IF('Filtros 1-3'!I2&lt;&gt;0,'Filtros 1-3'!$A2," ")</f>
        <v xml:space="preserve"> </v>
      </c>
      <c r="B2" t="str">
        <f>IF(A2 = " ", " ", VLOOKUP(A2, 'Filtros 1-3'!A:B, 2, FALSE))</f>
        <v xml:space="preserve"> </v>
      </c>
      <c r="C2" t="str">
        <f>IF(B2 = " ", " ", VLOOKUP(B2, 'Filtros 1-3'!B:C, 2, FALSE))</f>
        <v xml:space="preserve"> </v>
      </c>
      <c r="D2" s="23" t="str">
        <f>IF( $A2 = " ", " ",  VLOOKUP($B2, 'Filtros 1-3'!B:D, 3, FALSE))</f>
        <v xml:space="preserve"> </v>
      </c>
      <c r="E2" s="9" t="str">
        <f>IF( A2 = " ", " ",  _xlfn.XLOOKUP(A2,'Base de Datos Negocio'!A:A,'Base de Datos Negocio'!D:D,0,0))</f>
        <v xml:space="preserve"> </v>
      </c>
      <c r="F2" s="27" t="str">
        <f>IF( A2 = " ", " ", ('Base de Datos Competencia'!E2-'Base de Datos Competencia'!D2)/'Base de Datos Competencia'!D2)</f>
        <v xml:space="preserve"> </v>
      </c>
      <c r="G2" s="33" t="str">
        <f>IF( A2 = " ", " ", D2-E2)</f>
        <v xml:space="preserve"> </v>
      </c>
      <c r="H2" s="27" t="str">
        <f>IF( $A2 = " ", " ",Costos_Inventario!$J$8)</f>
        <v xml:space="preserve"> </v>
      </c>
      <c r="I2" s="6" t="str">
        <f>IF($A2 = " ", " ", VLOOKUP($B2, Costos_Inventario!B:G, 6, FALSE))</f>
        <v xml:space="preserve"> </v>
      </c>
      <c r="J2" s="6" t="str">
        <f>IF( A2 = " ", " ", IF('Base de Datos Negocio'!H2*1.75&gt;'Base de Datos Negocio'!G2, "Sucursal", "Online"))</f>
        <v xml:space="preserve"> </v>
      </c>
    </row>
    <row r="3" spans="1:10">
      <c r="A3" s="7" t="str">
        <f>IF('Filtros 1-3'!I3&lt;&gt;0,'Filtros 1-3'!$A3," ")</f>
        <v xml:space="preserve"> </v>
      </c>
      <c r="B3" t="str">
        <f>IF(A3 = " ", " ", VLOOKUP(A3, 'Filtros 1-3'!A:B, 2, FALSE))</f>
        <v xml:space="preserve"> </v>
      </c>
      <c r="C3" t="str">
        <f>IF(B3 = " ", " ", VLOOKUP(B3, 'Filtros 1-3'!B:C, 2, FALSE))</f>
        <v xml:space="preserve"> </v>
      </c>
      <c r="D3" s="23" t="str">
        <f>IF( $A3 = " ", " ",  VLOOKUP($B3, 'Filtros 1-3'!B:D, 3, FALSE))</f>
        <v xml:space="preserve"> </v>
      </c>
      <c r="E3" s="9" t="str">
        <f>IF( A3 = " ", " ",  _xlfn.XLOOKUP(A3,'Base de Datos Negocio'!A:A,'Base de Datos Negocio'!D:D,0,0))</f>
        <v xml:space="preserve"> </v>
      </c>
      <c r="F3" s="27" t="str">
        <f>IF( A3 = " ", " ", ('Base de Datos Competencia'!E3-'Base de Datos Competencia'!D3)/'Base de Datos Competencia'!D3)</f>
        <v xml:space="preserve"> </v>
      </c>
      <c r="G3" s="33" t="str">
        <f t="shared" ref="G3:G20" si="0">IF( A3 = " ", " ", D3-E3)</f>
        <v xml:space="preserve"> </v>
      </c>
      <c r="H3" s="27" t="str">
        <f>IF( $A3 = " ", " ",Costos_Inventario!$J$8)</f>
        <v xml:space="preserve"> </v>
      </c>
      <c r="I3" s="6" t="str">
        <f>IF($A3 = " ", " ", VLOOKUP($B3, Costos_Inventario!B:G, 6, FALSE))</f>
        <v xml:space="preserve"> </v>
      </c>
      <c r="J3" s="6" t="str">
        <f>IF( A3 = " ", " ", IF('Base de Datos Negocio'!H3*1.75&gt;'Base de Datos Negocio'!G3, "Sucursal", "Online"))</f>
        <v xml:space="preserve"> </v>
      </c>
    </row>
    <row r="4" spans="1:10">
      <c r="A4" s="7">
        <f>IF('Filtros 1-3'!I4&lt;&gt;0,'Filtros 1-3'!$A4," ")</f>
        <v>789</v>
      </c>
      <c r="B4" t="str">
        <f>IF(A4 = " ", " ", VLOOKUP(A4, 'Filtros 1-3'!A:B, 2, FALSE))</f>
        <v>Marcha</v>
      </c>
      <c r="C4" t="str">
        <f>IF(B4 = " ", " ", VLOOKUP(B4, 'Filtros 1-3'!B:C, 2, FALSE))</f>
        <v>Kana</v>
      </c>
      <c r="D4" s="23">
        <f>IF( $A4 = " ", " ",  VLOOKUP($B4, 'Filtros 1-3'!B:D, 3, FALSE))</f>
        <v>1500</v>
      </c>
      <c r="E4" s="9">
        <f>IF( A4 = " ", " ",  _xlfn.XLOOKUP(A4,'Base de Datos Negocio'!A:A,'Base de Datos Negocio'!D:D,0,0))</f>
        <v>1443.75</v>
      </c>
      <c r="F4" s="27">
        <f>IF( A4 = " ", " ", ('Base de Datos Competencia'!E4-'Base de Datos Competencia'!D4)/'Base de Datos Competencia'!D4)</f>
        <v>0.15740740740740741</v>
      </c>
      <c r="G4" s="33">
        <f t="shared" si="0"/>
        <v>56.25</v>
      </c>
      <c r="H4" s="38">
        <f>IF( $A4 = " ", " ",(E4-Costos_Inventario!E4)/Costos_Inventario!E4)</f>
        <v>0.25</v>
      </c>
      <c r="I4" s="6">
        <f>IF($A4 = " ", " ", VLOOKUP($B4, Costos_Inventario!B:G, 6, FALSE))</f>
        <v>8000</v>
      </c>
      <c r="J4" s="6" t="str">
        <f>IF( A4 = " ", " ", IF('Base de Datos Negocio'!H4*1.75&gt;'Base de Datos Negocio'!G4, "Sucursal", "Online"))</f>
        <v>Sucursal</v>
      </c>
    </row>
    <row r="5" spans="1:10">
      <c r="A5" s="7">
        <f>IF('Filtros 1-3'!I5&lt;&gt;0,'Filtros 1-3'!$A5," ")</f>
        <v>321</v>
      </c>
      <c r="B5" t="str">
        <f>IF(A5 = " ", " ", VLOOKUP(A5, 'Filtros 1-3'!A:B, 2, FALSE))</f>
        <v>Bujías</v>
      </c>
      <c r="C5" t="str">
        <f>IF(B5 = " ", " ", VLOOKUP(B5, 'Filtros 1-3'!B:C, 2, FALSE))</f>
        <v>Donna</v>
      </c>
      <c r="D5" s="23">
        <f>IF( $A5 = " ", " ",  VLOOKUP($B5, 'Filtros 1-3'!B:D, 3, FALSE))</f>
        <v>400</v>
      </c>
      <c r="E5" s="9">
        <f>IF( A5 = " ", " ",  _xlfn.XLOOKUP(A5,'Base de Datos Negocio'!A:A,'Base de Datos Negocio'!D:D,0,0))</f>
        <v>196.875</v>
      </c>
      <c r="F5" s="27">
        <f>IF( A5 = " ", " ", ('Base de Datos Competencia'!E5-'Base de Datos Competencia'!D5)/'Base de Datos Competencia'!D5)</f>
        <v>0.27795527156549521</v>
      </c>
      <c r="G5" s="33">
        <f t="shared" si="0"/>
        <v>203.125</v>
      </c>
      <c r="H5" s="38">
        <f>IF( $A5 = " ", " ",(E5-Costos_Inventario!E5)/Costos_Inventario!E5)</f>
        <v>0.25</v>
      </c>
      <c r="I5" s="6">
        <f>IF($A5 = " ", " ", VLOOKUP($B5, Costos_Inventario!B:G, 6, FALSE))</f>
        <v>30000</v>
      </c>
      <c r="J5" s="6" t="str">
        <f>IF( A5 = " ", " ", IF('Base de Datos Negocio'!H5*1.75&gt;'Base de Datos Negocio'!G5, "Sucursal", "Online"))</f>
        <v>Online</v>
      </c>
    </row>
    <row r="6" spans="1:10">
      <c r="A6" s="7" t="str">
        <f>IF('Filtros 1-3'!I6&lt;&gt;0,'Filtros 1-3'!$A6," ")</f>
        <v xml:space="preserve"> </v>
      </c>
      <c r="B6" t="str">
        <f>IF(A6 = " ", " ", VLOOKUP(A6, 'Filtros 1-3'!A:B, 2, FALSE))</f>
        <v xml:space="preserve"> </v>
      </c>
      <c r="C6" t="str">
        <f>IF(B6 = " ", " ", VLOOKUP(B6, 'Filtros 1-3'!B:C, 2, FALSE))</f>
        <v xml:space="preserve"> </v>
      </c>
      <c r="D6" s="23" t="str">
        <f>IF( $A6 = " ", " ",  VLOOKUP($B6, 'Filtros 1-3'!B:D, 3, FALSE))</f>
        <v xml:space="preserve"> </v>
      </c>
      <c r="E6" s="9" t="str">
        <f>IF( A6 = " ", " ",  _xlfn.XLOOKUP(A6,'Base de Datos Negocio'!A:A,'Base de Datos Negocio'!D:D,0,0))</f>
        <v xml:space="preserve"> </v>
      </c>
      <c r="F6" s="27" t="str">
        <f>IF( A6 = " ", " ", ('Base de Datos Competencia'!E6-'Base de Datos Competencia'!D6)/'Base de Datos Competencia'!D6)</f>
        <v xml:space="preserve"> </v>
      </c>
      <c r="G6" s="33" t="str">
        <f t="shared" si="0"/>
        <v xml:space="preserve"> </v>
      </c>
      <c r="H6" s="38" t="str">
        <f>IF( $A6 = " ", " ",(E6-Costos_Inventario!E6)/Costos_Inventario!E6)</f>
        <v xml:space="preserve"> </v>
      </c>
      <c r="I6" s="6" t="str">
        <f>IF($A6 = " ", " ", VLOOKUP($B6, Costos_Inventario!B:G, 6, FALSE))</f>
        <v xml:space="preserve"> </v>
      </c>
      <c r="J6" s="6" t="str">
        <f>IF( A6 = " ", " ", IF('Base de Datos Negocio'!H6*1.75&gt;'Base de Datos Negocio'!G6, "Sucursal", "Online"))</f>
        <v xml:space="preserve"> </v>
      </c>
    </row>
    <row r="7" spans="1:10">
      <c r="A7" s="7" t="str">
        <f>IF('Filtros 1-3'!I7&lt;&gt;0,'Filtros 1-3'!$A7," ")</f>
        <v xml:space="preserve"> </v>
      </c>
      <c r="B7" t="str">
        <f>IF(A7 = " ", " ", VLOOKUP(A7, 'Filtros 1-3'!A:B, 2, FALSE))</f>
        <v xml:space="preserve"> </v>
      </c>
      <c r="C7" t="str">
        <f>IF(B7 = " ", " ", VLOOKUP(B7, 'Filtros 1-3'!B:C, 2, FALSE))</f>
        <v xml:space="preserve"> </v>
      </c>
      <c r="D7" s="23" t="str">
        <f>IF( $A7 = " ", " ",  VLOOKUP($B7, 'Filtros 1-3'!B:D, 3, FALSE))</f>
        <v xml:space="preserve"> </v>
      </c>
      <c r="E7" s="9" t="str">
        <f>IF( A7 = " ", " ",  _xlfn.XLOOKUP(A7,'Base de Datos Negocio'!A:A,'Base de Datos Negocio'!D:D,0,0))</f>
        <v xml:space="preserve"> </v>
      </c>
      <c r="F7" s="27" t="str">
        <f>IF( A7 = " ", " ", ('Base de Datos Competencia'!E7-'Base de Datos Competencia'!D7)/'Base de Datos Competencia'!D7)</f>
        <v xml:space="preserve"> </v>
      </c>
      <c r="G7" s="33" t="str">
        <f t="shared" si="0"/>
        <v xml:space="preserve"> </v>
      </c>
      <c r="H7" s="38" t="str">
        <f>IF( $A7 = " ", " ",(E7-Costos_Inventario!E7)/Costos_Inventario!E7)</f>
        <v xml:space="preserve"> </v>
      </c>
      <c r="I7" s="6" t="str">
        <f>IF($A7 = " ", " ", VLOOKUP($B7, Costos_Inventario!B:G, 6, FALSE))</f>
        <v xml:space="preserve"> </v>
      </c>
      <c r="J7" s="6" t="str">
        <f>IF( A7 = " ", " ", IF('Base de Datos Negocio'!H7*1.75&gt;'Base de Datos Negocio'!G7, "Sucursal", "Online"))</f>
        <v xml:space="preserve"> </v>
      </c>
    </row>
    <row r="8" spans="1:10">
      <c r="A8" s="7" t="str">
        <f>IF('Filtros 1-3'!I8&lt;&gt;0,'Filtros 1-3'!$A8," ")</f>
        <v xml:space="preserve"> </v>
      </c>
      <c r="B8" t="str">
        <f>IF(A8 = " ", " ", VLOOKUP(A8, 'Filtros 1-3'!A:B, 2, FALSE))</f>
        <v xml:space="preserve"> </v>
      </c>
      <c r="C8" t="str">
        <f>IF(B8 = " ", " ", VLOOKUP(B8, 'Filtros 1-3'!B:C, 2, FALSE))</f>
        <v xml:space="preserve"> </v>
      </c>
      <c r="D8" s="23" t="str">
        <f>IF( $A8 = " ", " ",  VLOOKUP($B8, 'Filtros 1-3'!B:D, 3, FALSE))</f>
        <v xml:space="preserve"> </v>
      </c>
      <c r="E8" s="9" t="str">
        <f>IF( A8 = " ", " ",  _xlfn.XLOOKUP(A8,'Base de Datos Negocio'!A:A,'Base de Datos Negocio'!D:D,0,0))</f>
        <v xml:space="preserve"> </v>
      </c>
      <c r="F8" s="27" t="str">
        <f>IF( A8 = " ", " ", ('Base de Datos Competencia'!E8-'Base de Datos Competencia'!D8)/'Base de Datos Competencia'!D8)</f>
        <v xml:space="preserve"> </v>
      </c>
      <c r="G8" s="33" t="str">
        <f t="shared" si="0"/>
        <v xml:space="preserve"> </v>
      </c>
      <c r="H8" s="38" t="str">
        <f>IF( $A8 = " ", " ",(E8-Costos_Inventario!E8)/Costos_Inventario!E8)</f>
        <v xml:space="preserve"> </v>
      </c>
      <c r="I8" s="6" t="str">
        <f>IF($A8 = " ", " ", VLOOKUP($B8, Costos_Inventario!B:G, 6, FALSE))</f>
        <v xml:space="preserve"> </v>
      </c>
      <c r="J8" s="6" t="str">
        <f>IF( A8 = " ", " ", IF('Base de Datos Negocio'!H8*1.75&gt;'Base de Datos Negocio'!G8, "Sucursal", "Online"))</f>
        <v xml:space="preserve"> </v>
      </c>
    </row>
    <row r="9" spans="1:10">
      <c r="A9" s="7" t="str">
        <f>IF('Filtros 1-3'!I9&lt;&gt;0,'Filtros 1-3'!$A9," ")</f>
        <v xml:space="preserve"> </v>
      </c>
      <c r="B9" t="str">
        <f>IF(A9 = " ", " ", VLOOKUP(A9, 'Filtros 1-3'!A:B, 2, FALSE))</f>
        <v xml:space="preserve"> </v>
      </c>
      <c r="C9" t="str">
        <f>IF(B9 = " ", " ", VLOOKUP(B9, 'Filtros 1-3'!B:C, 2, FALSE))</f>
        <v xml:space="preserve"> </v>
      </c>
      <c r="D9" s="23" t="str">
        <f>IF( $A9 = " ", " ",  VLOOKUP($B9, 'Filtros 1-3'!B:D, 3, FALSE))</f>
        <v xml:space="preserve"> </v>
      </c>
      <c r="E9" s="9" t="str">
        <f>IF( A9 = " ", " ",  _xlfn.XLOOKUP(A9,'Base de Datos Negocio'!A:A,'Base de Datos Negocio'!D:D,0,0))</f>
        <v xml:space="preserve"> </v>
      </c>
      <c r="F9" s="27" t="str">
        <f>IF( A9 = " ", " ", ('Base de Datos Competencia'!E9-'Base de Datos Competencia'!D9)/'Base de Datos Competencia'!D9)</f>
        <v xml:space="preserve"> </v>
      </c>
      <c r="G9" s="33" t="str">
        <f t="shared" si="0"/>
        <v xml:space="preserve"> </v>
      </c>
      <c r="H9" s="38" t="str">
        <f>IF( $A9 = " ", " ",(E9-Costos_Inventario!E9)/Costos_Inventario!E9)</f>
        <v xml:space="preserve"> </v>
      </c>
      <c r="I9" s="6" t="str">
        <f>IF($A9 = " ", " ", VLOOKUP($B9, Costos_Inventario!B:G, 6, FALSE))</f>
        <v xml:space="preserve"> </v>
      </c>
      <c r="J9" s="6" t="str">
        <f>IF( A9 = " ", " ", IF('Base de Datos Negocio'!H9*1.75&gt;'Base de Datos Negocio'!G9, "Sucursal", "Online"))</f>
        <v xml:space="preserve"> </v>
      </c>
    </row>
    <row r="10" spans="1:10">
      <c r="A10" s="7" t="str">
        <f>IF('Filtros 1-3'!I10&lt;&gt;0,'Filtros 1-3'!$A10," ")</f>
        <v xml:space="preserve"> </v>
      </c>
      <c r="B10" t="str">
        <f>IF(A10 = " ", " ", VLOOKUP(A10, 'Filtros 1-3'!A:B, 2, FALSE))</f>
        <v xml:space="preserve"> </v>
      </c>
      <c r="C10" t="str">
        <f>IF(B10 = " ", " ", VLOOKUP(B10, 'Filtros 1-3'!B:C, 2, FALSE))</f>
        <v xml:space="preserve"> </v>
      </c>
      <c r="D10" s="23" t="str">
        <f>IF( $A10 = " ", " ",  VLOOKUP($B10, 'Filtros 1-3'!B:D, 3, FALSE))</f>
        <v xml:space="preserve"> </v>
      </c>
      <c r="E10" s="9" t="str">
        <f>IF( A10 = " ", " ",  _xlfn.XLOOKUP(A10,'Base de Datos Negocio'!A:A,'Base de Datos Negocio'!D:D,0,0))</f>
        <v xml:space="preserve"> </v>
      </c>
      <c r="F10" s="27" t="str">
        <f>IF( A10 = " ", " ", ('Base de Datos Competencia'!E10-'Base de Datos Competencia'!D10)/'Base de Datos Competencia'!D10)</f>
        <v xml:space="preserve"> </v>
      </c>
      <c r="G10" s="33" t="str">
        <f t="shared" si="0"/>
        <v xml:space="preserve"> </v>
      </c>
      <c r="H10" s="38" t="str">
        <f>IF( $A10 = " ", " ",(E10-Costos_Inventario!E10)/Costos_Inventario!E10)</f>
        <v xml:space="preserve"> </v>
      </c>
      <c r="I10" s="6" t="str">
        <f>IF($A10 = " ", " ", VLOOKUP($B10, Costos_Inventario!B:G, 6, FALSE))</f>
        <v xml:space="preserve"> </v>
      </c>
      <c r="J10" s="6" t="str">
        <f>IF( A10 = " ", " ", IF('Base de Datos Negocio'!H10*1.75&gt;'Base de Datos Negocio'!G10, "Sucursal", "Online"))</f>
        <v xml:space="preserve"> </v>
      </c>
    </row>
    <row r="11" spans="1:10">
      <c r="A11" s="7">
        <f>IF('Filtros 1-3'!I11&lt;&gt;0,'Filtros 1-3'!$A11," ")</f>
        <v>357</v>
      </c>
      <c r="B11" t="str">
        <f>IF(A11 = " ", " ", VLOOKUP(A11, 'Filtros 1-3'!A:B, 2, FALSE))</f>
        <v>Motor de arranque</v>
      </c>
      <c r="C11" t="str">
        <f>IF(B11 = " ", " ", VLOOKUP(B11, 'Filtros 1-3'!B:C, 2, FALSE))</f>
        <v>Amarea</v>
      </c>
      <c r="D11" s="23">
        <f>IF( $A11 = " ", " ",  VLOOKUP($B11, 'Filtros 1-3'!B:D, 3, FALSE))</f>
        <v>3500</v>
      </c>
      <c r="E11" s="9">
        <f>IF( A11 = " ", " ",  _xlfn.XLOOKUP(A11,'Base de Datos Negocio'!A:A,'Base de Datos Negocio'!D:D,0,0))</f>
        <v>261.1875</v>
      </c>
      <c r="F11" s="27">
        <f>IF( A11 = " ", " ", ('Base de Datos Competencia'!E11-'Base de Datos Competencia'!D11)/'Base de Datos Competencia'!D11)</f>
        <v>0.13636363636363635</v>
      </c>
      <c r="G11" s="33">
        <f t="shared" si="0"/>
        <v>3238.8125</v>
      </c>
      <c r="H11" s="38">
        <f>IF( $A11 = " ", " ",(E11-Costos_Inventario!E11)/Costos_Inventario!E11)</f>
        <v>0.25000000000000006</v>
      </c>
      <c r="I11" s="6">
        <f>IF($A11 = " ", " ", VLOOKUP($B11, Costos_Inventario!B:G, 6, FALSE))</f>
        <v>5379</v>
      </c>
      <c r="J11" s="6" t="str">
        <f>IF( A11 = " ", " ", IF('Base de Datos Negocio'!H11*1.75&gt;'Base de Datos Negocio'!G11, "Sucursal", "Online"))</f>
        <v>Online</v>
      </c>
    </row>
    <row r="12" spans="1:10">
      <c r="A12" s="7" t="str">
        <f>IF('Filtros 1-3'!I12&lt;&gt;0,'Filtros 1-3'!$A12," ")</f>
        <v xml:space="preserve"> </v>
      </c>
      <c r="B12" t="str">
        <f>IF(A12 = " ", " ", VLOOKUP(A12, 'Filtros 1-3'!A:B, 2, FALSE))</f>
        <v xml:space="preserve"> </v>
      </c>
      <c r="C12" t="str">
        <f>IF(B12 = " ", " ", VLOOKUP(B12, 'Filtros 1-3'!B:C, 2, FALSE))</f>
        <v xml:space="preserve"> </v>
      </c>
      <c r="D12" s="23" t="str">
        <f>IF( $A12 = " ", " ",  VLOOKUP($B12, 'Filtros 1-3'!B:D, 3, FALSE))</f>
        <v xml:space="preserve"> </v>
      </c>
      <c r="E12" s="9" t="str">
        <f>IF( A12 = " ", " ",  _xlfn.XLOOKUP(A12,'Base de Datos Negocio'!A:A,'Base de Datos Negocio'!D:D,0,0))</f>
        <v xml:space="preserve"> </v>
      </c>
      <c r="F12" s="27" t="str">
        <f>IF( A12 = " ", " ", ('Base de Datos Competencia'!E12-'Base de Datos Competencia'!D12)/'Base de Datos Competencia'!D12)</f>
        <v xml:space="preserve"> </v>
      </c>
      <c r="G12" s="33" t="str">
        <f t="shared" si="0"/>
        <v xml:space="preserve"> </v>
      </c>
      <c r="H12" s="38" t="str">
        <f>IF( $A12 = " ", " ",(E12-Costos_Inventario!E12)/Costos_Inventario!E12)</f>
        <v xml:space="preserve"> </v>
      </c>
      <c r="I12" s="6" t="str">
        <f>IF($A12 = " ", " ", VLOOKUP($B12, Costos_Inventario!B:G, 6, FALSE))</f>
        <v xml:space="preserve"> </v>
      </c>
      <c r="J12" s="6" t="str">
        <f>IF( A12 = " ", " ", IF('Base de Datos Negocio'!H12*1.75&gt;'Base de Datos Negocio'!G12, "Sucursal", "Online"))</f>
        <v xml:space="preserve"> </v>
      </c>
    </row>
    <row r="13" spans="1:10">
      <c r="A13" s="7" t="str">
        <f>IF('Filtros 1-3'!I13&lt;&gt;0,'Filtros 1-3'!$A13," ")</f>
        <v xml:space="preserve"> </v>
      </c>
      <c r="B13" t="str">
        <f>IF(A13 = " ", " ", VLOOKUP(A13, 'Filtros 1-3'!A:B, 2, FALSE))</f>
        <v xml:space="preserve"> </v>
      </c>
      <c r="C13" t="str">
        <f>IF(B13 = " ", " ", VLOOKUP(B13, 'Filtros 1-3'!B:C, 2, FALSE))</f>
        <v xml:space="preserve"> </v>
      </c>
      <c r="D13" s="23" t="str">
        <f>IF( $A13 = " ", " ",  VLOOKUP($B13, 'Filtros 1-3'!B:D, 3, FALSE))</f>
        <v xml:space="preserve"> </v>
      </c>
      <c r="E13" s="9" t="str">
        <f>IF( A13 = " ", " ",  _xlfn.XLOOKUP(A13,'Base de Datos Negocio'!A:A,'Base de Datos Negocio'!D:D,0,0))</f>
        <v xml:space="preserve"> </v>
      </c>
      <c r="F13" s="27" t="str">
        <f>IF( A13 = " ", " ", ('Base de Datos Competencia'!E13-'Base de Datos Competencia'!D13)/'Base de Datos Competencia'!D13)</f>
        <v xml:space="preserve"> </v>
      </c>
      <c r="G13" s="33" t="str">
        <f t="shared" si="0"/>
        <v xml:space="preserve"> </v>
      </c>
      <c r="H13" s="38" t="str">
        <f>IF( $A13 = " ", " ",(E13-Costos_Inventario!E13)/Costos_Inventario!E13)</f>
        <v xml:space="preserve"> </v>
      </c>
      <c r="I13" s="6" t="str">
        <f>IF($A13 = " ", " ", VLOOKUP($B13, Costos_Inventario!B:G, 6, FALSE))</f>
        <v xml:space="preserve"> </v>
      </c>
      <c r="J13" s="6" t="str">
        <f>IF( A13 = " ", " ", IF('Base de Datos Negocio'!H13*1.75&gt;'Base de Datos Negocio'!G13, "Sucursal", "Online"))</f>
        <v xml:space="preserve"> </v>
      </c>
    </row>
    <row r="14" spans="1:10">
      <c r="A14" s="7">
        <f>IF('Filtros 1-3'!I14&lt;&gt;0,'Filtros 1-3'!$A14," ")</f>
        <v>624</v>
      </c>
      <c r="B14" t="str">
        <f>IF(A14 = " ", " ", VLOOKUP(A14, 'Filtros 1-3'!A:B, 2, FALSE))</f>
        <v>Cable pasa corriente</v>
      </c>
      <c r="C14" t="str">
        <f>IF(B14 = " ", " ", VLOOKUP(B14, 'Filtros 1-3'!B:C, 2, FALSE))</f>
        <v>Sirilo</v>
      </c>
      <c r="D14" s="23">
        <f>IF( $A14 = " ", " ",  VLOOKUP($B14, 'Filtros 1-3'!B:D, 3, FALSE))</f>
        <v>200</v>
      </c>
      <c r="E14" s="9">
        <f>IF( A14 = " ", " ",  _xlfn.XLOOKUP(A14,'Base de Datos Negocio'!A:A,'Base de Datos Negocio'!D:D,0,0))</f>
        <v>161.4375</v>
      </c>
      <c r="F14" s="27">
        <f>IF( A14 = " ", " ", ('Base de Datos Competencia'!E14-'Base de Datos Competencia'!D14)/'Base de Datos Competencia'!D14)</f>
        <v>0.33333333333333331</v>
      </c>
      <c r="G14" s="33">
        <f t="shared" si="0"/>
        <v>38.5625</v>
      </c>
      <c r="H14" s="38">
        <f>IF( $A14 = " ", " ",(E14-Costos_Inventario!E14)/Costos_Inventario!E14)</f>
        <v>0.24999999999999994</v>
      </c>
      <c r="I14" s="6">
        <f>IF($A14 = " ", " ", VLOOKUP($B14, Costos_Inventario!B:G, 6, FALSE))</f>
        <v>2925</v>
      </c>
      <c r="J14" s="6" t="str">
        <f>IF( A14 = " ", " ", IF('Base de Datos Negocio'!H14*1.75&gt;'Base de Datos Negocio'!G14, "Sucursal", "Online"))</f>
        <v>Online</v>
      </c>
    </row>
    <row r="15" spans="1:10">
      <c r="A15" s="7" t="str">
        <f>IF('Filtros 1-3'!I15&lt;&gt;0,'Filtros 1-3'!$A15," ")</f>
        <v xml:space="preserve"> </v>
      </c>
      <c r="B15" t="str">
        <f>IF(A15 = " ", " ", VLOOKUP(A15, 'Filtros 1-3'!A:B, 2, FALSE))</f>
        <v xml:space="preserve"> </v>
      </c>
      <c r="C15" t="str">
        <f>IF(B15 = " ", " ", VLOOKUP(B15, 'Filtros 1-3'!B:C, 2, FALSE))</f>
        <v xml:space="preserve"> </v>
      </c>
      <c r="D15" s="23" t="str">
        <f>IF( $A15 = " ", " ",  VLOOKUP($B15, 'Filtros 1-3'!B:D, 3, FALSE))</f>
        <v xml:space="preserve"> </v>
      </c>
      <c r="E15" s="9" t="str">
        <f>IF( A15 = " ", " ",  _xlfn.XLOOKUP(A15,'Base de Datos Negocio'!A:A,'Base de Datos Negocio'!D:D,0,0))</f>
        <v xml:space="preserve"> </v>
      </c>
      <c r="F15" s="27" t="str">
        <f>IF( A15 = " ", " ", ('Base de Datos Competencia'!E15-'Base de Datos Competencia'!D15)/'Base de Datos Competencia'!D15)</f>
        <v xml:space="preserve"> </v>
      </c>
      <c r="G15" s="33" t="str">
        <f t="shared" si="0"/>
        <v xml:space="preserve"> </v>
      </c>
      <c r="H15" s="38" t="str">
        <f>IF( $A15 = " ", " ",(E15-Costos_Inventario!E15)/Costos_Inventario!E15)</f>
        <v xml:space="preserve"> </v>
      </c>
      <c r="I15" s="6" t="str">
        <f>IF($A15 = " ", " ", VLOOKUP($B15, Costos_Inventario!B:G, 6, FALSE))</f>
        <v xml:space="preserve"> </v>
      </c>
      <c r="J15" s="6" t="str">
        <f>IF( A15 = " ", " ", IF('Base de Datos Negocio'!H15*1.75&gt;'Base de Datos Negocio'!G15, "Sucursal", "Online"))</f>
        <v xml:space="preserve"> </v>
      </c>
    </row>
    <row r="16" spans="1:10">
      <c r="A16" s="7" t="str">
        <f>IF('Filtros 1-3'!I16&lt;&gt;0,'Filtros 1-3'!$A16," ")</f>
        <v xml:space="preserve"> </v>
      </c>
      <c r="B16" t="str">
        <f>IF(A16 = " ", " ", VLOOKUP(A16, 'Filtros 1-3'!A:B, 2, FALSE))</f>
        <v xml:space="preserve"> </v>
      </c>
      <c r="C16" t="str">
        <f>IF(B16 = " ", " ", VLOOKUP(B16, 'Filtros 1-3'!B:C, 2, FALSE))</f>
        <v xml:space="preserve"> </v>
      </c>
      <c r="D16" s="23" t="str">
        <f>IF( $A16 = " ", " ",  VLOOKUP($B16, 'Filtros 1-3'!B:D, 3, FALSE))</f>
        <v xml:space="preserve"> </v>
      </c>
      <c r="E16" s="9" t="str">
        <f>IF( A16 = " ", " ",  _xlfn.XLOOKUP(A16,'Base de Datos Negocio'!A:A,'Base de Datos Negocio'!D:D,0,0))</f>
        <v xml:space="preserve"> </v>
      </c>
      <c r="F16" s="27" t="str">
        <f>IF( A16 = " ", " ", ('Base de Datos Competencia'!E16-'Base de Datos Competencia'!D16)/'Base de Datos Competencia'!D16)</f>
        <v xml:space="preserve"> </v>
      </c>
      <c r="G16" s="33" t="str">
        <f t="shared" si="0"/>
        <v xml:space="preserve"> </v>
      </c>
      <c r="H16" s="38" t="str">
        <f>IF( $A16 = " ", " ",(E16-Costos_Inventario!E16)/Costos_Inventario!E16)</f>
        <v xml:space="preserve"> </v>
      </c>
      <c r="I16" s="6" t="str">
        <f>IF($A16 = " ", " ", VLOOKUP($B16, Costos_Inventario!B:G, 6, FALSE))</f>
        <v xml:space="preserve"> </v>
      </c>
      <c r="J16" s="6" t="str">
        <f>IF( A16 = " ", " ", IF('Base de Datos Negocio'!H16*1.75&gt;'Base de Datos Negocio'!G16, "Sucursal", "Online"))</f>
        <v xml:space="preserve"> </v>
      </c>
    </row>
    <row r="17" spans="1:10">
      <c r="A17" s="7">
        <f>IF('Filtros 1-3'!I17&lt;&gt;0,'Filtros 1-3'!$A17," ")</f>
        <v>597</v>
      </c>
      <c r="B17" t="str">
        <f>IF(A17 = " ", " ", VLOOKUP(A17, 'Filtros 1-3'!A:B, 2, FALSE))</f>
        <v>Bujes</v>
      </c>
      <c r="C17" t="str">
        <f>IF(B17 = " ", " ", VLOOKUP(B17, 'Filtros 1-3'!B:C, 2, FALSE))</f>
        <v>Donna</v>
      </c>
      <c r="D17" s="23">
        <f>IF( $A17 = " ", " ",  VLOOKUP($B17, 'Filtros 1-3'!B:D, 3, FALSE))</f>
        <v>500</v>
      </c>
      <c r="E17" s="9">
        <f>IF( A17 = " ", " ",  _xlfn.XLOOKUP(A17,'Base de Datos Negocio'!A:A,'Base de Datos Negocio'!D:D,0,0))</f>
        <v>393.75</v>
      </c>
      <c r="F17" s="27">
        <f>IF( A17 = " ", " ", ('Base de Datos Competencia'!E17-'Base de Datos Competencia'!D17)/'Base de Datos Competencia'!D17)</f>
        <v>0.62866449511400646</v>
      </c>
      <c r="G17" s="33">
        <f t="shared" si="0"/>
        <v>106.25</v>
      </c>
      <c r="H17" s="38">
        <f>IF( $A17 = " ", " ",(E17-Costos_Inventario!E17)/Costos_Inventario!E17)</f>
        <v>0.25</v>
      </c>
      <c r="I17" s="6">
        <f>IF($A17 = " ", " ", VLOOKUP($B17, Costos_Inventario!B:G, 6, FALSE))</f>
        <v>4700</v>
      </c>
      <c r="J17" s="6" t="str">
        <f>IF( A17 = " ", " ", IF('Base de Datos Negocio'!H17*1.75&gt;'Base de Datos Negocio'!G17, "Sucursal", "Online"))</f>
        <v>Sucursal</v>
      </c>
    </row>
    <row r="18" spans="1:10">
      <c r="A18" s="7" t="str">
        <f>IF('Filtros 1-3'!I18&lt;&gt;0,'Filtros 1-3'!$A18," ")</f>
        <v xml:space="preserve"> </v>
      </c>
      <c r="B18" t="str">
        <f>IF(A18 = " ", " ", VLOOKUP(A18, 'Filtros 1-3'!A:B, 2, FALSE))</f>
        <v xml:space="preserve"> </v>
      </c>
      <c r="C18" t="str">
        <f>IF(B18 = " ", " ", VLOOKUP(B18, 'Filtros 1-3'!B:C, 2, FALSE))</f>
        <v xml:space="preserve"> </v>
      </c>
      <c r="D18" s="23" t="str">
        <f>IF( $A18 = " ", " ",  VLOOKUP($B18, 'Filtros 1-3'!B:D, 3, FALSE))</f>
        <v xml:space="preserve"> </v>
      </c>
      <c r="E18" s="9" t="str">
        <f>IF( A18 = " ", " ",  _xlfn.XLOOKUP(A18,'Base de Datos Negocio'!A:A,'Base de Datos Negocio'!D:D,0,0))</f>
        <v xml:space="preserve"> </v>
      </c>
      <c r="F18" s="27" t="str">
        <f>IF( A18 = " ", " ", ('Base de Datos Competencia'!E18-'Base de Datos Competencia'!D18)/'Base de Datos Competencia'!D18)</f>
        <v xml:space="preserve"> </v>
      </c>
      <c r="G18" s="33" t="str">
        <f t="shared" si="0"/>
        <v xml:space="preserve"> </v>
      </c>
      <c r="H18" s="38" t="str">
        <f>IF( $A18 = " ", " ",(E18-Costos_Inventario!E18)/Costos_Inventario!E18)</f>
        <v xml:space="preserve"> </v>
      </c>
      <c r="I18" s="6" t="str">
        <f>IF($A18 = " ", " ", VLOOKUP($B18, Costos_Inventario!B:G, 6, FALSE))</f>
        <v xml:space="preserve"> </v>
      </c>
      <c r="J18" s="6" t="str">
        <f>IF( A18 = " ", " ", IF('Base de Datos Negocio'!H18*1.75&gt;'Base de Datos Negocio'!G18, "Sucursal", "Online"))</f>
        <v xml:space="preserve"> </v>
      </c>
    </row>
    <row r="19" spans="1:10">
      <c r="A19" s="7" t="str">
        <f>IF('Filtros 1-3'!I19&lt;&gt;0,'Filtros 1-3'!$A19," ")</f>
        <v xml:space="preserve"> </v>
      </c>
      <c r="B19" t="str">
        <f>IF(A19 = " ", " ", VLOOKUP(A19, 'Filtros 1-3'!A:B, 2, FALSE))</f>
        <v xml:space="preserve"> </v>
      </c>
      <c r="C19" t="str">
        <f>IF(B19 = " ", " ", VLOOKUP(B19, 'Filtros 1-3'!B:C, 2, FALSE))</f>
        <v xml:space="preserve"> </v>
      </c>
      <c r="D19" s="23" t="str">
        <f>IF( $A19 = " ", " ",  VLOOKUP($B19, 'Filtros 1-3'!B:D, 3, FALSE))</f>
        <v xml:space="preserve"> </v>
      </c>
      <c r="E19" s="9" t="str">
        <f>IF( A19 = " ", " ",  _xlfn.XLOOKUP(A19,'Base de Datos Negocio'!A:A,'Base de Datos Negocio'!D:D,0,0))</f>
        <v xml:space="preserve"> </v>
      </c>
      <c r="F19" s="27" t="str">
        <f>IF( A19 = " ", " ", ('Base de Datos Competencia'!E19-'Base de Datos Competencia'!D19)/'Base de Datos Competencia'!D19)</f>
        <v xml:space="preserve"> </v>
      </c>
      <c r="G19" s="33" t="str">
        <f t="shared" si="0"/>
        <v xml:space="preserve"> </v>
      </c>
      <c r="H19" s="38" t="str">
        <f>IF( $A19 = " ", " ",(E19-Costos_Inventario!E19)/Costos_Inventario!E19)</f>
        <v xml:space="preserve"> </v>
      </c>
      <c r="I19" s="6" t="str">
        <f>IF($A19 = " ", " ", VLOOKUP($B19, Costos_Inventario!B:G, 6, FALSE))</f>
        <v xml:space="preserve"> </v>
      </c>
      <c r="J19" s="6" t="str">
        <f>IF( A19 = " ", " ", IF('Base de Datos Negocio'!H19*1.75&gt;'Base de Datos Negocio'!G19, "Sucursal", "Online"))</f>
        <v xml:space="preserve"> </v>
      </c>
    </row>
    <row r="20" spans="1:10">
      <c r="A20" s="7" t="str">
        <f>IF('Filtros 1-3'!I20&lt;&gt;0,'Filtros 1-3'!$A20," ")</f>
        <v xml:space="preserve"> </v>
      </c>
      <c r="B20" t="str">
        <f>IF(A20 = " ", " ", VLOOKUP(A20, 'Filtros 1-3'!A:B, 2, FALSE))</f>
        <v xml:space="preserve"> </v>
      </c>
      <c r="C20" t="str">
        <f>IF(B20 = " ", " ", VLOOKUP(B20, 'Filtros 1-3'!B:C, 2, FALSE))</f>
        <v xml:space="preserve"> </v>
      </c>
      <c r="D20" s="23" t="str">
        <f>IF( $A20 = " ", " ",  VLOOKUP($B20, 'Filtros 1-3'!B:D, 3, FALSE))</f>
        <v xml:space="preserve"> </v>
      </c>
      <c r="E20" s="9" t="str">
        <f>IF(A20=" "," ",_xlfn.XLOOKUP(A20,'Base de Datos Negocio'!A:A,'Base de Datos Negocio'!D:D,0,0))</f>
        <v xml:space="preserve"> </v>
      </c>
      <c r="F20" s="27" t="str">
        <f>IF( A20 = " ", " ", ('Base de Datos Competencia'!E20-'Base de Datos Competencia'!D20)/'Base de Datos Competencia'!D20)</f>
        <v xml:space="preserve"> </v>
      </c>
      <c r="G20" s="33" t="str">
        <f t="shared" si="0"/>
        <v xml:space="preserve"> </v>
      </c>
      <c r="H20" s="38" t="str">
        <f>IF( $A20 = " ", " ",(E20-Costos_Inventario!E20)/Costos_Inventario!E20)</f>
        <v xml:space="preserve"> </v>
      </c>
      <c r="I20" s="6" t="str">
        <f>IF($A20 = " ", " ", VLOOKUP($B20, Costos_Inventario!B:G, 6, FALSE))</f>
        <v xml:space="preserve"> </v>
      </c>
      <c r="J20" s="6" t="str">
        <f>IF( A20 = " ", " ", IF('Base de Datos Negocio'!H20*1.75&gt;'Base de Datos Negocio'!G20, "Sucursal", "Online"))</f>
        <v xml:space="preserve"> </v>
      </c>
    </row>
  </sheetData>
  <autoFilter ref="A1:J20" xr:uid="{8603E145-1245-4B08-88E6-4133845FB66B}"/>
  <conditionalFormatting sqref="I2:I20">
    <cfRule type="iconSet" priority="1">
      <iconSet>
        <cfvo type="percent" val="0"/>
        <cfvo type="num" val="2250"/>
        <cfvo type="num" val="1250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Costos_Inventario</vt:lpstr>
      <vt:lpstr>Base de Datos Negocio</vt:lpstr>
      <vt:lpstr>Base de Datos Competencia</vt:lpstr>
      <vt:lpstr>Filtros 1-3</vt:lpstr>
      <vt:lpstr>Filtros 4-6</vt:lpstr>
      <vt:lpstr>Filtro 7-9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Delatsa ML</dc:creator>
  <cp:lastModifiedBy>Delatsa ML</cp:lastModifiedBy>
  <dcterms:created xsi:type="dcterms:W3CDTF">2024-10-21T19:16:51Z</dcterms:created>
  <dcterms:modified xsi:type="dcterms:W3CDTF">2024-10-24T16:28:22Z</dcterms:modified>
</cp:coreProperties>
</file>